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defaultThemeVersion="124226"/>
  <bookViews>
    <workbookView xWindow="12030" yWindow="45" windowWidth="14535" windowHeight="12285" tabRatio="643" activeTab="2"/>
  </bookViews>
  <sheets>
    <sheet name="NEW Table 142" sheetId="19" r:id="rId1"/>
    <sheet name="OLD Table" sheetId="27" r:id="rId2"/>
    <sheet name="NEW Tables 143-161" sheetId="18" r:id="rId3"/>
    <sheet name="OLD Tables" sheetId="28" r:id="rId4"/>
    <sheet name="NEW Table 162" sheetId="21" r:id="rId5"/>
    <sheet name="OLD Table 162  " sheetId="29" r:id="rId6"/>
    <sheet name="Averages Pivot Table" sheetId="23" r:id="rId7"/>
    <sheet name="NEW Counts Pivot Table" sheetId="24" r:id="rId8"/>
    <sheet name="OLD Counts Pivot Table" sheetId="30" r:id="rId9"/>
    <sheet name="Faculty Salary Data" sheetId="4" r:id="rId10"/>
    <sheet name="Format for avgs table" sheetId="25" r:id="rId11"/>
    <sheet name="Format for counts table" sheetId="26" r:id="rId12"/>
  </sheets>
  <definedNames>
    <definedName name="APPHEAD" localSheetId="8">#REF!</definedName>
    <definedName name="APPHEAD" localSheetId="1">#REF!</definedName>
    <definedName name="APPHEAD" localSheetId="5">#REF!</definedName>
    <definedName name="APPHEAD" localSheetId="3">#REF!</definedName>
    <definedName name="APPHEAD">#REF!</definedName>
    <definedName name="CHHEAD" localSheetId="8">#REF!</definedName>
    <definedName name="CHHEAD" localSheetId="1">#REF!</definedName>
    <definedName name="CHHEAD" localSheetId="5">#REF!</definedName>
    <definedName name="CHHEAD" localSheetId="3">#REF!</definedName>
    <definedName name="CHHEAD">#REF!</definedName>
    <definedName name="PAGE_17" localSheetId="8">#REF!</definedName>
    <definedName name="PAGE_17" localSheetId="1">#REF!</definedName>
    <definedName name="PAGE_17" localSheetId="5">#REF!</definedName>
    <definedName name="PAGE_17" localSheetId="3">#REF!</definedName>
    <definedName name="PAGE_17">#REF!</definedName>
    <definedName name="PAGE1" localSheetId="8">#REF!</definedName>
    <definedName name="PAGE1" localSheetId="1">#REF!</definedName>
    <definedName name="PAGE1" localSheetId="5">#REF!</definedName>
    <definedName name="PAGE1" localSheetId="3">#REF!</definedName>
    <definedName name="PAGE1">#REF!</definedName>
    <definedName name="PAGE10" localSheetId="8">#REF!</definedName>
    <definedName name="PAGE10" localSheetId="1">#REF!</definedName>
    <definedName name="PAGE10" localSheetId="5">#REF!</definedName>
    <definedName name="PAGE10" localSheetId="3">#REF!</definedName>
    <definedName name="PAGE10">#REF!</definedName>
    <definedName name="PAGE11" localSheetId="8">#REF!</definedName>
    <definedName name="PAGE11" localSheetId="1">#REF!</definedName>
    <definedName name="PAGE11" localSheetId="5">#REF!</definedName>
    <definedName name="PAGE11" localSheetId="3">#REF!</definedName>
    <definedName name="PAGE11">#REF!</definedName>
    <definedName name="PAGE12" localSheetId="8">#REF!</definedName>
    <definedName name="PAGE12" localSheetId="1">#REF!</definedName>
    <definedName name="PAGE12" localSheetId="5">#REF!</definedName>
    <definedName name="PAGE12" localSheetId="3">#REF!</definedName>
    <definedName name="PAGE12">#REF!</definedName>
    <definedName name="PAGE13" localSheetId="8">#REF!</definedName>
    <definedName name="PAGE13" localSheetId="1">#REF!</definedName>
    <definedName name="PAGE13" localSheetId="5">#REF!</definedName>
    <definedName name="PAGE13" localSheetId="3">#REF!</definedName>
    <definedName name="PAGE13">#REF!</definedName>
    <definedName name="PAGE14" localSheetId="8">#REF!</definedName>
    <definedName name="PAGE14" localSheetId="1">#REF!</definedName>
    <definedName name="PAGE14" localSheetId="5">#REF!</definedName>
    <definedName name="PAGE14" localSheetId="3">#REF!</definedName>
    <definedName name="PAGE14">#REF!</definedName>
    <definedName name="PAGE15" localSheetId="8">#REF!</definedName>
    <definedName name="PAGE15" localSheetId="1">#REF!</definedName>
    <definedName name="PAGE15" localSheetId="5">#REF!</definedName>
    <definedName name="PAGE15" localSheetId="3">#REF!</definedName>
    <definedName name="PAGE15">#REF!</definedName>
    <definedName name="PAGE16" localSheetId="8">#REF!</definedName>
    <definedName name="PAGE16" localSheetId="1">#REF!</definedName>
    <definedName name="PAGE16" localSheetId="5">#REF!</definedName>
    <definedName name="PAGE16" localSheetId="3">#REF!</definedName>
    <definedName name="PAGE16">#REF!</definedName>
    <definedName name="PAGE17" localSheetId="8">#REF!</definedName>
    <definedName name="PAGE17" localSheetId="1">#REF!</definedName>
    <definedName name="PAGE17" localSheetId="5">#REF!</definedName>
    <definedName name="PAGE17" localSheetId="3">#REF!</definedName>
    <definedName name="PAGE17">#REF!</definedName>
    <definedName name="PAGE18" localSheetId="8">#REF!</definedName>
    <definedName name="PAGE18" localSheetId="1">#REF!</definedName>
    <definedName name="PAGE18" localSheetId="5">#REF!</definedName>
    <definedName name="PAGE18" localSheetId="3">#REF!</definedName>
    <definedName name="PAGE18">#REF!</definedName>
    <definedName name="PAGE19" localSheetId="8">#REF!</definedName>
    <definedName name="PAGE19" localSheetId="1">#REF!</definedName>
    <definedName name="PAGE19" localSheetId="5">#REF!</definedName>
    <definedName name="PAGE19" localSheetId="3">#REF!</definedName>
    <definedName name="PAGE19">#REF!</definedName>
    <definedName name="PAGE2" localSheetId="8">#REF!</definedName>
    <definedName name="PAGE2" localSheetId="1">#REF!</definedName>
    <definedName name="PAGE2" localSheetId="5">#REF!</definedName>
    <definedName name="PAGE2" localSheetId="3">#REF!</definedName>
    <definedName name="PAGE2">#REF!</definedName>
    <definedName name="PAGE20" localSheetId="8">#REF!</definedName>
    <definedName name="PAGE20" localSheetId="1">#REF!</definedName>
    <definedName name="PAGE20" localSheetId="5">#REF!</definedName>
    <definedName name="PAGE20" localSheetId="3">#REF!</definedName>
    <definedName name="PAGE20">#REF!</definedName>
    <definedName name="PAGE3" localSheetId="8">#REF!</definedName>
    <definedName name="PAGE3" localSheetId="1">#REF!</definedName>
    <definedName name="PAGE3" localSheetId="5">#REF!</definedName>
    <definedName name="PAGE3" localSheetId="3">#REF!</definedName>
    <definedName name="PAGE3">#REF!</definedName>
    <definedName name="PAGE4" localSheetId="8">#REF!</definedName>
    <definedName name="PAGE4" localSheetId="1">#REF!</definedName>
    <definedName name="PAGE4" localSheetId="5">#REF!</definedName>
    <definedName name="PAGE4" localSheetId="3">#REF!</definedName>
    <definedName name="PAGE4">#REF!</definedName>
    <definedName name="PAGE5" localSheetId="8">#REF!</definedName>
    <definedName name="PAGE5" localSheetId="1">#REF!</definedName>
    <definedName name="PAGE5" localSheetId="5">#REF!</definedName>
    <definedName name="PAGE5" localSheetId="3">#REF!</definedName>
    <definedName name="PAGE5">#REF!</definedName>
    <definedName name="PAGE6" localSheetId="8">#REF!</definedName>
    <definedName name="PAGE6" localSheetId="1">#REF!</definedName>
    <definedName name="PAGE6" localSheetId="5">#REF!</definedName>
    <definedName name="PAGE6" localSheetId="3">#REF!</definedName>
    <definedName name="PAGE6">#REF!</definedName>
    <definedName name="PAGE7" localSheetId="8">#REF!</definedName>
    <definedName name="PAGE7" localSheetId="1">#REF!</definedName>
    <definedName name="PAGE7" localSheetId="5">#REF!</definedName>
    <definedName name="PAGE7" localSheetId="3">#REF!</definedName>
    <definedName name="PAGE7">#REF!</definedName>
    <definedName name="PAGE8" localSheetId="8">#REF!</definedName>
    <definedName name="PAGE8" localSheetId="1">#REF!</definedName>
    <definedName name="PAGE8" localSheetId="5">#REF!</definedName>
    <definedName name="PAGE8" localSheetId="3">#REF!</definedName>
    <definedName name="PAGE8">#REF!</definedName>
    <definedName name="PAGE9" localSheetId="8">#REF!</definedName>
    <definedName name="PAGE9" localSheetId="1">#REF!</definedName>
    <definedName name="PAGE9" localSheetId="5">#REF!</definedName>
    <definedName name="PAGE9" localSheetId="3">#REF!</definedName>
    <definedName name="PAGE9">#REF!</definedName>
    <definedName name="PART1" localSheetId="8">#REF!</definedName>
    <definedName name="PART1" localSheetId="1">#REF!</definedName>
    <definedName name="PART1" localSheetId="5">#REF!</definedName>
    <definedName name="PART1" localSheetId="3">#REF!</definedName>
    <definedName name="PART1">#REF!</definedName>
    <definedName name="PART2" localSheetId="8">#REF!</definedName>
    <definedName name="PART2" localSheetId="1">#REF!</definedName>
    <definedName name="PART2" localSheetId="5">#REF!</definedName>
    <definedName name="PART2" localSheetId="3">#REF!</definedName>
    <definedName name="PART2">#REF!</definedName>
    <definedName name="PART3" localSheetId="8">#REF!</definedName>
    <definedName name="PART3" localSheetId="1">#REF!</definedName>
    <definedName name="PART3" localSheetId="5">#REF!</definedName>
    <definedName name="PART3" localSheetId="3">#REF!</definedName>
    <definedName name="PART3">#REF!</definedName>
    <definedName name="PART4A" localSheetId="8">#REF!</definedName>
    <definedName name="PART4A" localSheetId="1">#REF!</definedName>
    <definedName name="PART4A" localSheetId="5">#REF!</definedName>
    <definedName name="PART4A" localSheetId="3">#REF!</definedName>
    <definedName name="PART4A">#REF!</definedName>
    <definedName name="PART4B" localSheetId="8">#REF!</definedName>
    <definedName name="PART4B" localSheetId="1">#REF!</definedName>
    <definedName name="PART4B" localSheetId="5">#REF!</definedName>
    <definedName name="PART4B" localSheetId="3">#REF!</definedName>
    <definedName name="PART4B">#REF!</definedName>
    <definedName name="PART5" localSheetId="8">#REF!</definedName>
    <definedName name="PART5" localSheetId="1">#REF!</definedName>
    <definedName name="PART5" localSheetId="5">#REF!</definedName>
    <definedName name="PART5" localSheetId="3">#REF!</definedName>
    <definedName name="PART5">#REF!</definedName>
    <definedName name="PART6A" localSheetId="8">#REF!</definedName>
    <definedName name="PART6A" localSheetId="1">#REF!</definedName>
    <definedName name="PART6A" localSheetId="5">#REF!</definedName>
    <definedName name="PART6A" localSheetId="3">#REF!</definedName>
    <definedName name="PART6A">#REF!</definedName>
    <definedName name="PART6B" localSheetId="8">#REF!</definedName>
    <definedName name="PART6B" localSheetId="1">#REF!</definedName>
    <definedName name="PART6B" localSheetId="5">#REF!</definedName>
    <definedName name="PART6B" localSheetId="3">#REF!</definedName>
    <definedName name="PART6B">#REF!</definedName>
    <definedName name="PART6C" localSheetId="8">#REF!</definedName>
    <definedName name="PART6C" localSheetId="1">#REF!</definedName>
    <definedName name="PART6C" localSheetId="5">#REF!</definedName>
    <definedName name="PART6C" localSheetId="3">#REF!</definedName>
    <definedName name="PART6C">#REF!</definedName>
    <definedName name="PART7B" localSheetId="8">#REF!</definedName>
    <definedName name="PART7B" localSheetId="1">#REF!</definedName>
    <definedName name="PART7B" localSheetId="5">#REF!</definedName>
    <definedName name="PART7B" localSheetId="3">#REF!</definedName>
    <definedName name="PART7B">#REF!</definedName>
    <definedName name="PART7C" localSheetId="8">#REF!</definedName>
    <definedName name="PART7C" localSheetId="1">#REF!</definedName>
    <definedName name="PART7C" localSheetId="5">#REF!</definedName>
    <definedName name="PART7C" localSheetId="3">#REF!</definedName>
    <definedName name="PART7C">#REF!</definedName>
    <definedName name="PART8" localSheetId="8">#REF!</definedName>
    <definedName name="PART8" localSheetId="1">#REF!</definedName>
    <definedName name="PART8" localSheetId="5">#REF!</definedName>
    <definedName name="PART8" localSheetId="3">#REF!</definedName>
    <definedName name="PART8">#REF!</definedName>
    <definedName name="_xlnm.Print_Area" localSheetId="6">'Averages Pivot Table'!$C$6:$R$341</definedName>
    <definedName name="_xlnm.Print_Area" localSheetId="7">'NEW Counts Pivot Table'!$A$1</definedName>
    <definedName name="_xlnm.Print_Area" localSheetId="0">'NEW Table 142'!$A$1:$H$26</definedName>
    <definedName name="_xlnm.Print_Area" localSheetId="4">'NEW Table 162'!$A$11:$Q$130</definedName>
    <definedName name="_xlnm.Print_Area" localSheetId="2">'NEW Tables 143-161'!$A$1:$O$570</definedName>
    <definedName name="_xlnm.Print_Area" localSheetId="8">'OLD Counts Pivot Table'!$A$1</definedName>
    <definedName name="_xlnm.Print_Area" localSheetId="1">'OLD Table'!$A$1:$H$26</definedName>
    <definedName name="_xlnm.Print_Area" localSheetId="5">'OLD Table 162  '!$A$10:$Q$129</definedName>
    <definedName name="_xlnm.Print_Area" localSheetId="3">'OLD Tables'!$A$1:$O$570</definedName>
    <definedName name="_xlnm.Print_Area">#REF!</definedName>
    <definedName name="_xlnm.Print_Titles" localSheetId="6">'Averages Pivot Table'!$A:$B,'Averages Pivot Table'!$4:$5</definedName>
    <definedName name="_xlnm.Print_Titles" localSheetId="7">'NEW Counts Pivot Table'!$1:$5</definedName>
    <definedName name="_xlnm.Print_Titles" localSheetId="4">'NEW Table 162'!$3:$10</definedName>
    <definedName name="_xlnm.Print_Titles" localSheetId="8">'OLD Counts Pivot Table'!$1:$5</definedName>
    <definedName name="_xlnm.Print_Titles" localSheetId="5">'OLD Table 162  '!$2:$9</definedName>
    <definedName name="RATIONALE" localSheetId="8">#REF!</definedName>
    <definedName name="RATIONALE" localSheetId="1">#REF!</definedName>
    <definedName name="RATIONALE" localSheetId="5">#REF!</definedName>
    <definedName name="RATIONALE" localSheetId="3">#REF!</definedName>
    <definedName name="RATIONALE">#REF!</definedName>
    <definedName name="RATIONALE2" localSheetId="8">#REF!</definedName>
    <definedName name="RATIONALE2" localSheetId="1">#REF!</definedName>
    <definedName name="RATIONALE2" localSheetId="5">#REF!</definedName>
    <definedName name="RATIONALE2" localSheetId="3">#REF!</definedName>
    <definedName name="RATIONALE2">#REF!</definedName>
    <definedName name="SALHEAD" localSheetId="8">#REF!</definedName>
    <definedName name="SALHEAD" localSheetId="1">#REF!</definedName>
    <definedName name="SALHEAD" localSheetId="5">#REF!</definedName>
    <definedName name="SALHEAD" localSheetId="3">#REF!</definedName>
    <definedName name="SALHEAD">#REF!</definedName>
  </definedNames>
  <calcPr calcId="145621"/>
  <pivotCaches>
    <pivotCache cacheId="25" r:id="rId13"/>
  </pivotCaches>
</workbook>
</file>

<file path=xl/calcChain.xml><?xml version="1.0" encoding="utf-8"?>
<calcChain xmlns="http://schemas.openxmlformats.org/spreadsheetml/2006/main">
  <c r="BY589" i="4" l="1"/>
  <c r="BY590" i="4"/>
  <c r="BY591" i="4"/>
  <c r="BY592" i="4"/>
  <c r="BY593" i="4"/>
  <c r="BV589" i="4"/>
  <c r="BV590" i="4"/>
  <c r="BV591" i="4"/>
  <c r="BV592" i="4"/>
  <c r="AO590" i="4"/>
  <c r="AL590" i="4"/>
  <c r="S83" i="18"/>
  <c r="S88" i="18"/>
  <c r="S73" i="18"/>
  <c r="S78" i="18"/>
  <c r="S82" i="18"/>
  <c r="S87" i="18"/>
  <c r="S72" i="18"/>
  <c r="S77" i="18"/>
  <c r="S71" i="18"/>
  <c r="S86" i="18"/>
  <c r="S81" i="18"/>
  <c r="S68" i="18"/>
  <c r="S76" i="18"/>
  <c r="S85" i="18"/>
  <c r="S80" i="18"/>
  <c r="S75" i="18"/>
  <c r="S70" i="18"/>
  <c r="AV555" i="4" l="1"/>
  <c r="AP555" i="4"/>
  <c r="R555" i="4"/>
  <c r="AO51" i="4" l="1"/>
  <c r="AO50" i="4"/>
  <c r="AO49" i="4"/>
  <c r="AO48" i="4"/>
  <c r="AO47" i="4"/>
  <c r="AO46" i="4"/>
  <c r="AO45" i="4"/>
  <c r="AO44" i="4"/>
  <c r="AO43" i="4"/>
  <c r="AO42" i="4"/>
  <c r="AO41" i="4"/>
  <c r="AO40" i="4"/>
  <c r="AO39" i="4"/>
  <c r="AO38" i="4"/>
  <c r="AO37" i="4"/>
  <c r="AO36" i="4"/>
  <c r="AO35" i="4"/>
  <c r="AO34" i="4"/>
  <c r="AO33" i="4"/>
  <c r="AO32" i="4"/>
  <c r="AO31" i="4"/>
  <c r="AO30" i="4"/>
  <c r="AO29" i="4"/>
  <c r="AO28" i="4"/>
  <c r="AO27" i="4"/>
  <c r="AO26" i="4"/>
  <c r="AO25" i="4"/>
  <c r="AO24" i="4"/>
  <c r="AO23" i="4"/>
  <c r="AO22" i="4"/>
  <c r="AO21" i="4"/>
  <c r="AO20" i="4"/>
  <c r="AO19" i="4"/>
  <c r="AO18" i="4"/>
  <c r="AO17" i="4"/>
  <c r="AO16" i="4"/>
  <c r="AO15" i="4"/>
  <c r="AO14" i="4"/>
  <c r="AO13" i="4"/>
  <c r="AO12" i="4"/>
  <c r="AO11" i="4"/>
  <c r="AO10" i="4"/>
  <c r="AO9" i="4"/>
  <c r="AL50" i="4"/>
  <c r="AL49" i="4"/>
  <c r="AL48" i="4"/>
  <c r="AL47" i="4"/>
  <c r="AL46" i="4"/>
  <c r="AL45" i="4"/>
  <c r="AL44" i="4"/>
  <c r="AL43" i="4"/>
  <c r="AL42" i="4"/>
  <c r="AL41" i="4"/>
  <c r="AL40" i="4"/>
  <c r="AL39" i="4"/>
  <c r="AL38" i="4"/>
  <c r="AL37" i="4"/>
  <c r="AL36" i="4"/>
  <c r="AL35" i="4"/>
  <c r="AL34" i="4"/>
  <c r="AL33" i="4"/>
  <c r="AL32" i="4"/>
  <c r="AL31" i="4"/>
  <c r="AL30" i="4"/>
  <c r="AL29" i="4"/>
  <c r="AL28" i="4"/>
  <c r="AL27" i="4"/>
  <c r="AL26" i="4"/>
  <c r="AL25" i="4"/>
  <c r="AL24" i="4"/>
  <c r="AL23" i="4"/>
  <c r="AL22" i="4"/>
  <c r="AL21" i="4"/>
  <c r="AL20" i="4"/>
  <c r="AL19" i="4"/>
  <c r="AL18" i="4"/>
  <c r="AL17" i="4"/>
  <c r="AL16" i="4"/>
  <c r="AL15" i="4"/>
  <c r="AL14" i="4"/>
  <c r="AL13" i="4"/>
  <c r="AL12" i="4"/>
  <c r="AL11" i="4"/>
  <c r="AL10" i="4"/>
  <c r="AL9" i="4"/>
  <c r="AI51" i="4"/>
  <c r="AI50" i="4"/>
  <c r="AI49" i="4"/>
  <c r="AI48" i="4"/>
  <c r="AI47" i="4"/>
  <c r="AI46" i="4"/>
  <c r="AI45" i="4"/>
  <c r="AI44" i="4"/>
  <c r="AI43" i="4"/>
  <c r="AI42" i="4"/>
  <c r="AI41" i="4"/>
  <c r="AI40" i="4"/>
  <c r="AI39" i="4"/>
  <c r="AI38" i="4"/>
  <c r="AI37" i="4"/>
  <c r="AI36" i="4"/>
  <c r="AI35" i="4"/>
  <c r="AI34" i="4"/>
  <c r="AI33" i="4"/>
  <c r="AI32" i="4"/>
  <c r="AI31" i="4"/>
  <c r="AI30" i="4"/>
  <c r="AI29" i="4"/>
  <c r="AI28" i="4"/>
  <c r="AI27" i="4"/>
  <c r="AI26" i="4"/>
  <c r="AI25" i="4"/>
  <c r="AI24" i="4"/>
  <c r="AI23" i="4"/>
  <c r="AI22" i="4"/>
  <c r="AI21" i="4"/>
  <c r="AI20" i="4"/>
  <c r="AI19" i="4"/>
  <c r="AI18" i="4"/>
  <c r="AI17" i="4"/>
  <c r="AI16" i="4"/>
  <c r="AI15" i="4"/>
  <c r="AI14" i="4"/>
  <c r="AI13" i="4"/>
  <c r="AI12" i="4"/>
  <c r="AI11" i="4"/>
  <c r="AI10" i="4"/>
  <c r="AI9" i="4"/>
  <c r="AF48" i="4"/>
  <c r="AF47" i="4"/>
  <c r="AF46" i="4"/>
  <c r="AF45" i="4"/>
  <c r="AF44" i="4"/>
  <c r="AF43" i="4"/>
  <c r="AF42" i="4"/>
  <c r="AF41" i="4"/>
  <c r="AF40" i="4"/>
  <c r="AF39" i="4"/>
  <c r="AF38" i="4"/>
  <c r="AF37" i="4"/>
  <c r="AF36" i="4"/>
  <c r="AF35" i="4"/>
  <c r="AF34" i="4"/>
  <c r="AF33" i="4"/>
  <c r="AF32" i="4"/>
  <c r="AF31" i="4"/>
  <c r="AF30" i="4"/>
  <c r="AF29" i="4"/>
  <c r="AF28" i="4"/>
  <c r="AF27" i="4"/>
  <c r="AF26" i="4"/>
  <c r="AF25" i="4"/>
  <c r="AF24" i="4"/>
  <c r="AF23" i="4"/>
  <c r="AF22" i="4"/>
  <c r="AF21" i="4"/>
  <c r="AF20" i="4"/>
  <c r="AF19" i="4"/>
  <c r="AF18" i="4"/>
  <c r="AF17" i="4"/>
  <c r="AF16" i="4"/>
  <c r="AF15" i="4"/>
  <c r="AF14" i="4"/>
  <c r="AF13" i="4"/>
  <c r="AF12" i="4"/>
  <c r="AF11" i="4"/>
  <c r="AF10" i="4"/>
  <c r="AF9" i="4"/>
  <c r="AC48" i="4"/>
  <c r="AC47" i="4"/>
  <c r="AC46" i="4"/>
  <c r="AC45" i="4"/>
  <c r="AC44" i="4"/>
  <c r="AC43" i="4"/>
  <c r="AC42" i="4"/>
  <c r="AC41" i="4"/>
  <c r="AC40" i="4"/>
  <c r="AC39" i="4"/>
  <c r="AC38" i="4"/>
  <c r="AC37" i="4"/>
  <c r="AC36" i="4"/>
  <c r="AC35" i="4"/>
  <c r="AC34" i="4"/>
  <c r="AC33" i="4"/>
  <c r="AC32" i="4"/>
  <c r="AC31" i="4"/>
  <c r="AC30" i="4"/>
  <c r="AC29" i="4"/>
  <c r="AC28" i="4"/>
  <c r="AC27" i="4"/>
  <c r="AC26" i="4"/>
  <c r="AC25" i="4"/>
  <c r="AC24" i="4"/>
  <c r="AC23" i="4"/>
  <c r="AC22" i="4"/>
  <c r="AC21" i="4"/>
  <c r="AC20" i="4"/>
  <c r="AC19" i="4"/>
  <c r="AC18" i="4"/>
  <c r="AC17" i="4"/>
  <c r="AC16" i="4"/>
  <c r="AC15" i="4"/>
  <c r="AC14" i="4"/>
  <c r="AC13" i="4"/>
  <c r="AC12" i="4"/>
  <c r="AC11" i="4"/>
  <c r="AC10" i="4"/>
  <c r="AC9" i="4"/>
  <c r="Z50" i="4"/>
  <c r="Z49" i="4"/>
  <c r="Z48" i="4"/>
  <c r="Z47" i="4"/>
  <c r="Z46" i="4"/>
  <c r="Z45" i="4"/>
  <c r="Z44" i="4"/>
  <c r="Z43" i="4"/>
  <c r="Z42" i="4"/>
  <c r="Z41" i="4"/>
  <c r="Z40" i="4"/>
  <c r="Z39" i="4"/>
  <c r="Z38" i="4"/>
  <c r="Z37" i="4"/>
  <c r="Z36" i="4"/>
  <c r="Z35" i="4"/>
  <c r="Z34" i="4"/>
  <c r="Z33" i="4"/>
  <c r="Z32" i="4"/>
  <c r="Z31" i="4"/>
  <c r="Z30" i="4"/>
  <c r="Z29" i="4"/>
  <c r="Z28" i="4"/>
  <c r="Z27" i="4"/>
  <c r="Z26" i="4"/>
  <c r="Z25" i="4"/>
  <c r="Z24" i="4"/>
  <c r="Z23" i="4"/>
  <c r="Z22" i="4"/>
  <c r="Z21" i="4"/>
  <c r="Z20" i="4"/>
  <c r="Z19" i="4"/>
  <c r="Z18" i="4"/>
  <c r="Z17" i="4"/>
  <c r="Z16" i="4"/>
  <c r="Z15" i="4"/>
  <c r="Z14" i="4"/>
  <c r="Z13" i="4"/>
  <c r="Z12" i="4"/>
  <c r="Z11" i="4"/>
  <c r="Z10" i="4"/>
  <c r="Z9" i="4"/>
  <c r="W49" i="4"/>
  <c r="W48" i="4"/>
  <c r="W47" i="4"/>
  <c r="W46" i="4"/>
  <c r="W45" i="4"/>
  <c r="W44" i="4"/>
  <c r="W43" i="4"/>
  <c r="W42" i="4"/>
  <c r="W41" i="4"/>
  <c r="W40" i="4"/>
  <c r="W39" i="4"/>
  <c r="W38" i="4"/>
  <c r="W37" i="4"/>
  <c r="W36" i="4"/>
  <c r="W35" i="4"/>
  <c r="W34" i="4"/>
  <c r="W33" i="4"/>
  <c r="W32" i="4"/>
  <c r="W31" i="4"/>
  <c r="W30" i="4"/>
  <c r="W29" i="4"/>
  <c r="W28" i="4"/>
  <c r="W27" i="4"/>
  <c r="W26" i="4"/>
  <c r="W25" i="4"/>
  <c r="W24" i="4"/>
  <c r="W23" i="4"/>
  <c r="W22" i="4"/>
  <c r="W21" i="4"/>
  <c r="W20" i="4"/>
  <c r="W19" i="4"/>
  <c r="W18" i="4"/>
  <c r="W17" i="4"/>
  <c r="W16" i="4"/>
  <c r="W15" i="4"/>
  <c r="W14" i="4"/>
  <c r="W13" i="4"/>
  <c r="W12" i="4"/>
  <c r="W11" i="4"/>
  <c r="W10" i="4"/>
  <c r="W9" i="4"/>
  <c r="T49" i="4"/>
  <c r="T48" i="4"/>
  <c r="T47" i="4"/>
  <c r="T46" i="4"/>
  <c r="T45" i="4"/>
  <c r="T44" i="4"/>
  <c r="T43" i="4"/>
  <c r="T42" i="4"/>
  <c r="T41" i="4"/>
  <c r="T40" i="4"/>
  <c r="T39" i="4"/>
  <c r="T38" i="4"/>
  <c r="T37" i="4"/>
  <c r="T36" i="4"/>
  <c r="T35" i="4"/>
  <c r="T34" i="4"/>
  <c r="T33" i="4"/>
  <c r="T32" i="4"/>
  <c r="T31" i="4"/>
  <c r="T30" i="4"/>
  <c r="T29" i="4"/>
  <c r="T28" i="4"/>
  <c r="T27" i="4"/>
  <c r="T26" i="4"/>
  <c r="T25" i="4"/>
  <c r="T24" i="4"/>
  <c r="T23" i="4"/>
  <c r="T22" i="4"/>
  <c r="T21" i="4"/>
  <c r="T20" i="4"/>
  <c r="T19" i="4"/>
  <c r="T18" i="4"/>
  <c r="T17" i="4"/>
  <c r="T16" i="4"/>
  <c r="T15" i="4"/>
  <c r="T14" i="4"/>
  <c r="T13" i="4"/>
  <c r="T12" i="4"/>
  <c r="T11" i="4"/>
  <c r="T10" i="4"/>
  <c r="T9" i="4"/>
  <c r="Q48" i="4"/>
  <c r="Q47" i="4"/>
  <c r="Q46" i="4"/>
  <c r="Q45" i="4"/>
  <c r="Q44" i="4"/>
  <c r="Q43" i="4"/>
  <c r="Q42" i="4"/>
  <c r="Q41" i="4"/>
  <c r="Q40" i="4"/>
  <c r="Q39" i="4"/>
  <c r="Q38" i="4"/>
  <c r="Q37" i="4"/>
  <c r="Q36" i="4"/>
  <c r="Q35" i="4"/>
  <c r="Q34" i="4"/>
  <c r="Q33" i="4"/>
  <c r="Q32" i="4"/>
  <c r="Q31" i="4"/>
  <c r="Q30" i="4"/>
  <c r="Q29" i="4"/>
  <c r="Q28" i="4"/>
  <c r="Q27" i="4"/>
  <c r="Q26" i="4"/>
  <c r="Q25" i="4"/>
  <c r="Q24" i="4"/>
  <c r="Q23" i="4"/>
  <c r="Q22" i="4"/>
  <c r="Q21" i="4"/>
  <c r="Q20" i="4"/>
  <c r="Q19" i="4"/>
  <c r="Q18" i="4"/>
  <c r="Q17" i="4"/>
  <c r="Q16" i="4"/>
  <c r="Q15" i="4"/>
  <c r="Q14" i="4"/>
  <c r="Q13" i="4"/>
  <c r="Q12" i="4"/>
  <c r="Q11" i="4"/>
  <c r="Q10" i="4"/>
  <c r="Q9" i="4"/>
  <c r="N49" i="4"/>
  <c r="N48" i="4"/>
  <c r="N47" i="4"/>
  <c r="N46" i="4"/>
  <c r="N45" i="4"/>
  <c r="N44" i="4"/>
  <c r="N43" i="4"/>
  <c r="N42" i="4"/>
  <c r="N41" i="4"/>
  <c r="N40" i="4"/>
  <c r="N39" i="4"/>
  <c r="N38" i="4"/>
  <c r="N37" i="4"/>
  <c r="N36" i="4"/>
  <c r="N35" i="4"/>
  <c r="N34" i="4"/>
  <c r="N33" i="4"/>
  <c r="N32" i="4"/>
  <c r="N31" i="4"/>
  <c r="N30" i="4"/>
  <c r="N29" i="4"/>
  <c r="N28" i="4"/>
  <c r="N27" i="4"/>
  <c r="N26" i="4"/>
  <c r="N25" i="4"/>
  <c r="N24" i="4"/>
  <c r="N23" i="4"/>
  <c r="N22" i="4"/>
  <c r="N21" i="4"/>
  <c r="N20" i="4"/>
  <c r="N19" i="4"/>
  <c r="N18" i="4"/>
  <c r="N17" i="4"/>
  <c r="N16" i="4"/>
  <c r="N15" i="4"/>
  <c r="N14" i="4"/>
  <c r="N13" i="4"/>
  <c r="N12" i="4"/>
  <c r="N11" i="4"/>
  <c r="N10" i="4"/>
  <c r="N9" i="4"/>
  <c r="K48" i="4"/>
  <c r="K47" i="4"/>
  <c r="K46" i="4"/>
  <c r="K45" i="4"/>
  <c r="K44" i="4"/>
  <c r="K43" i="4"/>
  <c r="K42" i="4"/>
  <c r="K41" i="4"/>
  <c r="K40" i="4"/>
  <c r="K39" i="4"/>
  <c r="K38" i="4"/>
  <c r="K37" i="4"/>
  <c r="K36" i="4"/>
  <c r="K35" i="4"/>
  <c r="K34" i="4"/>
  <c r="K33" i="4"/>
  <c r="K32" i="4"/>
  <c r="K31" i="4"/>
  <c r="K30" i="4"/>
  <c r="K29" i="4"/>
  <c r="K28" i="4"/>
  <c r="K27" i="4"/>
  <c r="K26" i="4"/>
  <c r="K25" i="4"/>
  <c r="K24" i="4"/>
  <c r="K23" i="4"/>
  <c r="K22" i="4"/>
  <c r="K21" i="4"/>
  <c r="K20" i="4"/>
  <c r="K19" i="4"/>
  <c r="K18" i="4"/>
  <c r="K17" i="4"/>
  <c r="K16" i="4"/>
  <c r="K15" i="4"/>
  <c r="K14" i="4"/>
  <c r="K13" i="4"/>
  <c r="K12" i="4"/>
  <c r="K11" i="4"/>
  <c r="K10" i="4"/>
  <c r="K9" i="4"/>
  <c r="H48" i="4"/>
  <c r="H47" i="4"/>
  <c r="H46" i="4"/>
  <c r="H45" i="4"/>
  <c r="H44" i="4"/>
  <c r="H43" i="4"/>
  <c r="H42" i="4"/>
  <c r="H41" i="4"/>
  <c r="H40" i="4"/>
  <c r="H39" i="4"/>
  <c r="H38" i="4"/>
  <c r="H37" i="4"/>
  <c r="H36" i="4"/>
  <c r="H35" i="4"/>
  <c r="H34" i="4"/>
  <c r="H33" i="4"/>
  <c r="H32" i="4"/>
  <c r="H31" i="4"/>
  <c r="H30" i="4"/>
  <c r="H29" i="4"/>
  <c r="H28" i="4"/>
  <c r="H27" i="4"/>
  <c r="H26" i="4"/>
  <c r="H25" i="4"/>
  <c r="H24" i="4"/>
  <c r="H23" i="4"/>
  <c r="H22" i="4"/>
  <c r="H21" i="4"/>
  <c r="H20" i="4"/>
  <c r="H19" i="4"/>
  <c r="H18" i="4"/>
  <c r="H17" i="4"/>
  <c r="H16" i="4"/>
  <c r="H15" i="4"/>
  <c r="H14" i="4"/>
  <c r="H13" i="4"/>
  <c r="H12" i="4"/>
  <c r="H11" i="4"/>
  <c r="H10" i="4"/>
  <c r="H9" i="4"/>
  <c r="BY43" i="4"/>
  <c r="BY44" i="4"/>
  <c r="BY45" i="4"/>
  <c r="BY46" i="4"/>
  <c r="BY47" i="4"/>
  <c r="BY48" i="4"/>
  <c r="BY49" i="4"/>
  <c r="BY50" i="4"/>
  <c r="BS42" i="4"/>
  <c r="BS43" i="4"/>
  <c r="BS44" i="4"/>
  <c r="BS45" i="4"/>
  <c r="BS46" i="4"/>
  <c r="BS47" i="4"/>
  <c r="BS48" i="4"/>
  <c r="BS49" i="4"/>
  <c r="BS50" i="4"/>
  <c r="BS51" i="4"/>
  <c r="BP42" i="4"/>
  <c r="BP43" i="4"/>
  <c r="BP44" i="4"/>
  <c r="BP45" i="4"/>
  <c r="BP46" i="4"/>
  <c r="BP47" i="4"/>
  <c r="BP48" i="4"/>
  <c r="BP49" i="4"/>
  <c r="BP50" i="4"/>
  <c r="BP51" i="4"/>
  <c r="BM42" i="4"/>
  <c r="BM43" i="4"/>
  <c r="BM44" i="4"/>
  <c r="BM45" i="4"/>
  <c r="BM46" i="4"/>
  <c r="BM47" i="4"/>
  <c r="BM48" i="4"/>
  <c r="BM49" i="4"/>
  <c r="BM50" i="4"/>
  <c r="BJ44" i="4"/>
  <c r="BJ45" i="4"/>
  <c r="BJ46" i="4"/>
  <c r="BJ47" i="4"/>
  <c r="BJ48" i="4"/>
  <c r="BJ49" i="4"/>
  <c r="BJ50" i="4"/>
  <c r="BJ51" i="4"/>
  <c r="BJ52" i="4"/>
  <c r="BG43" i="4"/>
  <c r="BG44" i="4"/>
  <c r="BG45" i="4"/>
  <c r="BG46" i="4"/>
  <c r="BG47" i="4"/>
  <c r="BG48" i="4"/>
  <c r="BG49" i="4"/>
  <c r="BG50" i="4"/>
  <c r="BG51" i="4"/>
  <c r="BG52" i="4"/>
  <c r="BD42" i="4"/>
  <c r="BD43" i="4"/>
  <c r="BD44" i="4"/>
  <c r="BD45" i="4"/>
  <c r="BD46" i="4"/>
  <c r="BD47" i="4"/>
  <c r="BD48" i="4"/>
  <c r="BD49" i="4"/>
  <c r="BD50" i="4"/>
  <c r="BD51" i="4"/>
  <c r="AX43" i="4"/>
  <c r="AX44" i="4"/>
  <c r="AX45" i="4"/>
  <c r="AX46" i="4"/>
  <c r="AX47" i="4"/>
  <c r="AX48" i="4"/>
  <c r="AX49" i="4"/>
  <c r="AX50" i="4"/>
  <c r="AX51" i="4"/>
  <c r="AU43" i="4"/>
  <c r="AU44" i="4"/>
  <c r="AU45" i="4"/>
  <c r="AU46" i="4"/>
  <c r="AU47" i="4"/>
  <c r="AU48" i="4"/>
  <c r="AU49" i="4"/>
  <c r="AU50" i="4"/>
  <c r="AU51" i="4"/>
  <c r="AR43" i="4"/>
  <c r="AR44" i="4"/>
  <c r="AR45" i="4"/>
  <c r="AR46" i="4"/>
  <c r="AR47" i="4"/>
  <c r="AR48" i="4"/>
  <c r="AR49" i="4"/>
  <c r="AR50" i="4"/>
  <c r="AO52" i="4"/>
  <c r="AL51" i="4"/>
  <c r="AI52" i="4"/>
  <c r="AI53" i="4"/>
  <c r="AI54" i="4"/>
  <c r="AC49" i="4"/>
  <c r="W50" i="4"/>
  <c r="W51" i="4"/>
  <c r="T50" i="4"/>
  <c r="BV47" i="4"/>
  <c r="BA47" i="4"/>
  <c r="BM41" i="4"/>
  <c r="BM40" i="4"/>
  <c r="BM39" i="4"/>
  <c r="BM38" i="4"/>
  <c r="BM37" i="4"/>
  <c r="BM36" i="4"/>
  <c r="BM35" i="4"/>
  <c r="BM34" i="4"/>
  <c r="BM33" i="4"/>
  <c r="BM32" i="4"/>
  <c r="BM31" i="4"/>
  <c r="BM30" i="4"/>
  <c r="BM29" i="4"/>
  <c r="BM28" i="4"/>
  <c r="BM27" i="4"/>
  <c r="BM26" i="4"/>
  <c r="BM25" i="4"/>
  <c r="BM24" i="4"/>
  <c r="BM23" i="4"/>
  <c r="BM22" i="4"/>
  <c r="BM21" i="4"/>
  <c r="BM20" i="4"/>
  <c r="BM19" i="4"/>
  <c r="BM18" i="4"/>
  <c r="BM17" i="4"/>
  <c r="BM16" i="4"/>
  <c r="BM15" i="4"/>
  <c r="BM14" i="4"/>
  <c r="BM13" i="4"/>
  <c r="BM12" i="4"/>
  <c r="BM11" i="4"/>
  <c r="BM10" i="4"/>
  <c r="BM9" i="4"/>
  <c r="BJ43" i="4"/>
  <c r="BJ42" i="4"/>
  <c r="BJ41" i="4"/>
  <c r="BJ40" i="4"/>
  <c r="BJ39" i="4"/>
  <c r="BJ38" i="4"/>
  <c r="BJ37" i="4"/>
  <c r="BJ36" i="4"/>
  <c r="BJ35" i="4"/>
  <c r="BJ34" i="4"/>
  <c r="BJ33" i="4"/>
  <c r="BJ32" i="4"/>
  <c r="BJ31" i="4"/>
  <c r="BJ30" i="4"/>
  <c r="BJ29" i="4"/>
  <c r="BJ28" i="4"/>
  <c r="BJ27" i="4"/>
  <c r="BJ26" i="4"/>
  <c r="BJ25" i="4"/>
  <c r="BJ24" i="4"/>
  <c r="BJ23" i="4"/>
  <c r="BJ22" i="4"/>
  <c r="BJ21" i="4"/>
  <c r="BJ20" i="4"/>
  <c r="BJ19" i="4"/>
  <c r="BJ18" i="4"/>
  <c r="BJ17" i="4"/>
  <c r="BJ16" i="4"/>
  <c r="BJ15" i="4"/>
  <c r="BJ14" i="4"/>
  <c r="BJ13" i="4"/>
  <c r="BJ12" i="4"/>
  <c r="BJ11" i="4"/>
  <c r="BJ10" i="4"/>
  <c r="BJ9" i="4"/>
  <c r="BG42" i="4"/>
  <c r="BG41" i="4"/>
  <c r="BG40" i="4"/>
  <c r="BG39" i="4"/>
  <c r="BG38" i="4"/>
  <c r="BG37" i="4"/>
  <c r="BG36" i="4"/>
  <c r="BG35" i="4"/>
  <c r="BG34" i="4"/>
  <c r="BG33" i="4"/>
  <c r="BG32" i="4"/>
  <c r="BG31" i="4"/>
  <c r="BG30" i="4"/>
  <c r="BG29" i="4"/>
  <c r="BG28" i="4"/>
  <c r="BG27" i="4"/>
  <c r="BG26" i="4"/>
  <c r="BG25" i="4"/>
  <c r="BG24" i="4"/>
  <c r="BG23" i="4"/>
  <c r="BG22" i="4"/>
  <c r="BG21" i="4"/>
  <c r="BG20" i="4"/>
  <c r="BG19" i="4"/>
  <c r="BG18" i="4"/>
  <c r="BG17" i="4"/>
  <c r="BG16" i="4"/>
  <c r="BG15" i="4"/>
  <c r="BG14" i="4"/>
  <c r="BG13" i="4"/>
  <c r="BG12" i="4"/>
  <c r="BG11" i="4"/>
  <c r="BG10" i="4"/>
  <c r="BG9" i="4"/>
  <c r="BD41" i="4"/>
  <c r="BD40" i="4"/>
  <c r="BD39" i="4"/>
  <c r="BD38" i="4"/>
  <c r="BD37" i="4"/>
  <c r="BD36" i="4"/>
  <c r="BD35" i="4"/>
  <c r="BD34" i="4"/>
  <c r="BD33" i="4"/>
  <c r="BD32" i="4"/>
  <c r="BD31" i="4"/>
  <c r="BD30" i="4"/>
  <c r="BD29" i="4"/>
  <c r="BD28" i="4"/>
  <c r="BD27" i="4"/>
  <c r="BD26" i="4"/>
  <c r="BD25" i="4"/>
  <c r="BD24" i="4"/>
  <c r="BD23" i="4"/>
  <c r="BD22" i="4"/>
  <c r="BD21" i="4"/>
  <c r="BD20" i="4"/>
  <c r="BD19" i="4"/>
  <c r="BD18" i="4"/>
  <c r="BD17" i="4"/>
  <c r="BD16" i="4"/>
  <c r="BD15" i="4"/>
  <c r="BD14" i="4"/>
  <c r="BD13" i="4"/>
  <c r="BD12" i="4"/>
  <c r="BD11" i="4"/>
  <c r="BD10" i="4"/>
  <c r="BD9" i="4"/>
  <c r="BA46" i="4"/>
  <c r="BA45" i="4"/>
  <c r="BA44" i="4"/>
  <c r="BA43" i="4"/>
  <c r="BA42" i="4"/>
  <c r="BA41" i="4"/>
  <c r="BA40" i="4"/>
  <c r="BA39" i="4"/>
  <c r="BA38" i="4"/>
  <c r="BA37" i="4"/>
  <c r="BA36" i="4"/>
  <c r="BA35" i="4"/>
  <c r="BA34" i="4"/>
  <c r="BA33" i="4"/>
  <c r="BA32" i="4"/>
  <c r="BA31" i="4"/>
  <c r="BA30" i="4"/>
  <c r="BA29" i="4"/>
  <c r="BA28" i="4"/>
  <c r="BA27" i="4"/>
  <c r="BA26" i="4"/>
  <c r="BA25" i="4"/>
  <c r="BA24" i="4"/>
  <c r="BA23" i="4"/>
  <c r="BA22" i="4"/>
  <c r="BA21" i="4"/>
  <c r="BA20" i="4"/>
  <c r="BA19" i="4"/>
  <c r="BA18" i="4"/>
  <c r="BA17" i="4"/>
  <c r="BA16" i="4"/>
  <c r="BA15" i="4"/>
  <c r="BA14" i="4"/>
  <c r="BA13" i="4"/>
  <c r="BA12" i="4"/>
  <c r="BA11" i="4"/>
  <c r="BA10" i="4"/>
  <c r="BA9" i="4"/>
  <c r="AX42" i="4"/>
  <c r="AX41" i="4"/>
  <c r="AX40" i="4"/>
  <c r="AX39" i="4"/>
  <c r="AX38" i="4"/>
  <c r="AX37" i="4"/>
  <c r="AX36" i="4"/>
  <c r="AX35" i="4"/>
  <c r="AX34" i="4"/>
  <c r="AX33" i="4"/>
  <c r="AX32" i="4"/>
  <c r="AX31" i="4"/>
  <c r="AX30" i="4"/>
  <c r="AX29" i="4"/>
  <c r="AX28" i="4"/>
  <c r="AX27" i="4"/>
  <c r="AX26" i="4"/>
  <c r="AX25" i="4"/>
  <c r="AX24" i="4"/>
  <c r="AX23" i="4"/>
  <c r="AX22" i="4"/>
  <c r="AX21" i="4"/>
  <c r="AX20" i="4"/>
  <c r="AX19" i="4"/>
  <c r="AX18" i="4"/>
  <c r="AX17" i="4"/>
  <c r="AX16" i="4"/>
  <c r="AX15" i="4"/>
  <c r="AX14" i="4"/>
  <c r="AX13" i="4"/>
  <c r="AX12" i="4"/>
  <c r="AX11" i="4"/>
  <c r="AX10" i="4"/>
  <c r="AX9" i="4"/>
  <c r="AU42" i="4"/>
  <c r="AU41" i="4"/>
  <c r="AU40" i="4"/>
  <c r="AU39" i="4"/>
  <c r="AU38" i="4"/>
  <c r="AU37" i="4"/>
  <c r="AU36" i="4"/>
  <c r="AU35" i="4"/>
  <c r="AU34" i="4"/>
  <c r="AU33" i="4"/>
  <c r="AU32" i="4"/>
  <c r="AU31" i="4"/>
  <c r="AU30" i="4"/>
  <c r="AU29" i="4"/>
  <c r="AU28" i="4"/>
  <c r="AU27" i="4"/>
  <c r="AU26" i="4"/>
  <c r="AU25" i="4"/>
  <c r="AU24" i="4"/>
  <c r="AU23" i="4"/>
  <c r="AU22" i="4"/>
  <c r="AU21" i="4"/>
  <c r="AU20" i="4"/>
  <c r="AU19" i="4"/>
  <c r="AU18" i="4"/>
  <c r="AU17" i="4"/>
  <c r="AU16" i="4"/>
  <c r="AU15" i="4"/>
  <c r="AU14" i="4"/>
  <c r="AU13" i="4"/>
  <c r="AU12" i="4"/>
  <c r="AU11" i="4"/>
  <c r="AU10" i="4"/>
  <c r="AU9" i="4"/>
  <c r="AR42" i="4"/>
  <c r="AR41" i="4"/>
  <c r="AR40" i="4"/>
  <c r="AR39" i="4"/>
  <c r="AR38" i="4"/>
  <c r="AR37" i="4"/>
  <c r="AR36" i="4"/>
  <c r="AR35" i="4"/>
  <c r="AR34" i="4"/>
  <c r="AR33" i="4"/>
  <c r="AR32" i="4"/>
  <c r="AR31" i="4"/>
  <c r="AR30" i="4"/>
  <c r="AR29" i="4"/>
  <c r="AR28" i="4"/>
  <c r="AR27" i="4"/>
  <c r="AR26" i="4"/>
  <c r="AR25" i="4"/>
  <c r="AR24" i="4"/>
  <c r="AR23" i="4"/>
  <c r="AR22" i="4"/>
  <c r="AR21" i="4"/>
  <c r="AR20" i="4"/>
  <c r="AR19" i="4"/>
  <c r="AR18" i="4"/>
  <c r="AR17" i="4"/>
  <c r="AR16" i="4"/>
  <c r="AR15" i="4"/>
  <c r="AR14" i="4"/>
  <c r="AR13" i="4"/>
  <c r="AR12" i="4"/>
  <c r="AR11" i="4"/>
  <c r="AR10" i="4"/>
  <c r="AR9" i="4"/>
  <c r="BY42" i="4"/>
  <c r="BY41" i="4"/>
  <c r="BY40" i="4"/>
  <c r="BY39" i="4"/>
  <c r="BY38" i="4"/>
  <c r="BY37" i="4"/>
  <c r="BY36" i="4"/>
  <c r="BY35" i="4"/>
  <c r="BY34" i="4"/>
  <c r="BY33" i="4"/>
  <c r="BY32" i="4"/>
  <c r="BY31" i="4"/>
  <c r="BY30" i="4"/>
  <c r="BY29" i="4"/>
  <c r="BY28" i="4"/>
  <c r="BY27" i="4"/>
  <c r="BY26" i="4"/>
  <c r="BY25" i="4"/>
  <c r="BY24" i="4"/>
  <c r="BY23" i="4"/>
  <c r="BY22" i="4"/>
  <c r="BY21" i="4"/>
  <c r="BY20" i="4"/>
  <c r="BY19" i="4"/>
  <c r="BY18" i="4"/>
  <c r="BY17" i="4"/>
  <c r="BY16" i="4"/>
  <c r="BY15" i="4"/>
  <c r="BY14" i="4"/>
  <c r="BY13" i="4"/>
  <c r="BY12" i="4"/>
  <c r="BY11" i="4"/>
  <c r="BY10" i="4"/>
  <c r="BY9" i="4"/>
  <c r="BV46" i="4"/>
  <c r="BV45" i="4"/>
  <c r="BV44" i="4"/>
  <c r="BV43" i="4"/>
  <c r="BV42" i="4"/>
  <c r="BV41" i="4"/>
  <c r="BV40" i="4"/>
  <c r="BV39" i="4"/>
  <c r="BV38" i="4"/>
  <c r="BV37" i="4"/>
  <c r="BV36" i="4"/>
  <c r="BV35" i="4"/>
  <c r="BV34" i="4"/>
  <c r="BV33" i="4"/>
  <c r="BV32" i="4"/>
  <c r="BV31" i="4"/>
  <c r="BV30" i="4"/>
  <c r="BV29" i="4"/>
  <c r="BV28" i="4"/>
  <c r="BV27" i="4"/>
  <c r="BV26" i="4"/>
  <c r="BV25" i="4"/>
  <c r="BV24" i="4"/>
  <c r="BV23" i="4"/>
  <c r="BV22" i="4"/>
  <c r="BV21" i="4"/>
  <c r="BV20" i="4"/>
  <c r="BV19" i="4"/>
  <c r="BV18" i="4"/>
  <c r="BV17" i="4"/>
  <c r="BV16" i="4"/>
  <c r="BV15" i="4"/>
  <c r="BV14" i="4"/>
  <c r="BV13" i="4"/>
  <c r="BV12" i="4"/>
  <c r="BV11" i="4"/>
  <c r="BV10" i="4"/>
  <c r="BV9" i="4"/>
  <c r="BS41" i="4"/>
  <c r="BS40" i="4"/>
  <c r="BS39" i="4"/>
  <c r="BS38" i="4"/>
  <c r="BS37" i="4"/>
  <c r="BS36" i="4"/>
  <c r="BS35" i="4"/>
  <c r="BS34" i="4"/>
  <c r="BS33" i="4"/>
  <c r="BS32" i="4"/>
  <c r="BS31" i="4"/>
  <c r="BS30" i="4"/>
  <c r="BS29" i="4"/>
  <c r="BS28" i="4"/>
  <c r="BS27" i="4"/>
  <c r="BS26" i="4"/>
  <c r="BS25" i="4"/>
  <c r="BS24" i="4"/>
  <c r="BS23" i="4"/>
  <c r="BS22" i="4"/>
  <c r="BS21" i="4"/>
  <c r="BS20" i="4"/>
  <c r="BS19" i="4"/>
  <c r="BS18" i="4"/>
  <c r="BS17" i="4"/>
  <c r="BS16" i="4"/>
  <c r="BS15" i="4"/>
  <c r="BS14" i="4"/>
  <c r="BS13" i="4"/>
  <c r="BS12" i="4"/>
  <c r="BS11" i="4"/>
  <c r="BS10" i="4"/>
  <c r="BS9" i="4"/>
  <c r="BP41" i="4"/>
  <c r="BP40" i="4"/>
  <c r="BP39" i="4"/>
  <c r="BP38" i="4"/>
  <c r="BP37" i="4"/>
  <c r="BP36" i="4"/>
  <c r="BP35" i="4"/>
  <c r="BP34" i="4"/>
  <c r="BP33" i="4"/>
  <c r="BP32" i="4"/>
  <c r="BP31" i="4"/>
  <c r="BP30" i="4"/>
  <c r="BP29" i="4"/>
  <c r="BP28" i="4"/>
  <c r="BP27" i="4"/>
  <c r="BP26" i="4"/>
  <c r="BP25" i="4"/>
  <c r="BP24" i="4"/>
  <c r="BP23" i="4"/>
  <c r="BP22" i="4"/>
  <c r="BP21" i="4"/>
  <c r="BP20" i="4"/>
  <c r="BP19" i="4"/>
  <c r="BP18" i="4"/>
  <c r="BP17" i="4"/>
  <c r="BP16" i="4"/>
  <c r="BP15" i="4"/>
  <c r="BP14" i="4"/>
  <c r="BP13" i="4"/>
  <c r="BP12" i="4"/>
  <c r="BP11" i="4"/>
  <c r="BP10" i="4"/>
  <c r="BP9" i="4"/>
  <c r="BQ550" i="4" l="1"/>
  <c r="BR550" i="4" s="1"/>
  <c r="BQ549" i="4"/>
  <c r="BR549" i="4" s="1"/>
  <c r="BQ548" i="4"/>
  <c r="BR548" i="4" s="1"/>
  <c r="BQ547" i="4"/>
  <c r="BR547" i="4" s="1"/>
  <c r="BQ546" i="4"/>
  <c r="BR546" i="4" s="1"/>
  <c r="BQ545" i="4"/>
  <c r="BR545" i="4" s="1"/>
  <c r="BQ544" i="4"/>
  <c r="BR544" i="4" s="1"/>
  <c r="BQ543" i="4"/>
  <c r="BR543" i="4" s="1"/>
  <c r="BQ542" i="4"/>
  <c r="BR542" i="4" s="1"/>
  <c r="BQ541" i="4"/>
  <c r="BR541" i="4" s="1"/>
  <c r="BQ540" i="4"/>
  <c r="BR540" i="4" s="1"/>
  <c r="BQ539" i="4"/>
  <c r="BR539" i="4" s="1"/>
  <c r="BQ538" i="4"/>
  <c r="BR538" i="4" s="1"/>
  <c r="BQ537" i="4"/>
  <c r="BR537" i="4" s="1"/>
  <c r="BQ536" i="4"/>
  <c r="BR536" i="4" s="1"/>
  <c r="BQ535" i="4"/>
  <c r="BR535" i="4" s="1"/>
  <c r="BQ534" i="4"/>
  <c r="BR534" i="4" s="1"/>
  <c r="BQ533" i="4"/>
  <c r="BR533" i="4" s="1"/>
  <c r="BQ532" i="4"/>
  <c r="BR532" i="4" s="1"/>
  <c r="BQ531" i="4"/>
  <c r="BR531" i="4" s="1"/>
  <c r="BQ530" i="4"/>
  <c r="BR530" i="4" s="1"/>
  <c r="BQ529" i="4"/>
  <c r="BR529" i="4" s="1"/>
  <c r="BQ528" i="4"/>
  <c r="BR528" i="4" s="1"/>
  <c r="BQ527" i="4"/>
  <c r="BR527" i="4" s="1"/>
  <c r="BQ526" i="4"/>
  <c r="BR526" i="4" s="1"/>
  <c r="BQ525" i="4"/>
  <c r="BR525" i="4" s="1"/>
  <c r="BQ524" i="4"/>
  <c r="BR524" i="4" s="1"/>
  <c r="BQ523" i="4"/>
  <c r="BR523" i="4" s="1"/>
  <c r="BQ522" i="4"/>
  <c r="BR522" i="4" s="1"/>
  <c r="BQ521" i="4"/>
  <c r="BR521" i="4" s="1"/>
  <c r="BQ520" i="4"/>
  <c r="BR520" i="4" s="1"/>
  <c r="BQ519" i="4"/>
  <c r="BR519" i="4" s="1"/>
  <c r="BQ518" i="4"/>
  <c r="BR518" i="4" s="1"/>
  <c r="BQ517" i="4"/>
  <c r="BR517" i="4" s="1"/>
  <c r="BQ516" i="4"/>
  <c r="BR516" i="4" s="1"/>
  <c r="BN517" i="4"/>
  <c r="BO517" i="4" s="1"/>
  <c r="BN518" i="4"/>
  <c r="BO518" i="4" s="1"/>
  <c r="BN519" i="4"/>
  <c r="BO519" i="4" s="1"/>
  <c r="BN520" i="4"/>
  <c r="BO520" i="4" s="1"/>
  <c r="BN521" i="4"/>
  <c r="BO521" i="4" s="1"/>
  <c r="BN522" i="4"/>
  <c r="BO522" i="4" s="1"/>
  <c r="BN523" i="4"/>
  <c r="BO523" i="4" s="1"/>
  <c r="BN524" i="4"/>
  <c r="BO524" i="4" s="1"/>
  <c r="BN525" i="4"/>
  <c r="BO525" i="4" s="1"/>
  <c r="BN526" i="4"/>
  <c r="BO526" i="4" s="1"/>
  <c r="BN527" i="4"/>
  <c r="BO527" i="4" s="1"/>
  <c r="BN528" i="4"/>
  <c r="BO528" i="4" s="1"/>
  <c r="BN529" i="4"/>
  <c r="BO529" i="4" s="1"/>
  <c r="BN530" i="4"/>
  <c r="BO530" i="4" s="1"/>
  <c r="BN531" i="4"/>
  <c r="BO531" i="4" s="1"/>
  <c r="BN532" i="4"/>
  <c r="BO532" i="4" s="1"/>
  <c r="BN533" i="4"/>
  <c r="BO533" i="4" s="1"/>
  <c r="BN534" i="4"/>
  <c r="BO534" i="4" s="1"/>
  <c r="BN535" i="4"/>
  <c r="BO535" i="4" s="1"/>
  <c r="BN536" i="4"/>
  <c r="BO536" i="4" s="1"/>
  <c r="BN537" i="4"/>
  <c r="BO537" i="4" s="1"/>
  <c r="BN538" i="4"/>
  <c r="BO538" i="4" s="1"/>
  <c r="BN539" i="4"/>
  <c r="BO539" i="4" s="1"/>
  <c r="BN540" i="4"/>
  <c r="BO540" i="4" s="1"/>
  <c r="BN541" i="4"/>
  <c r="BO541" i="4" s="1"/>
  <c r="BN542" i="4"/>
  <c r="BO542" i="4" s="1"/>
  <c r="BN543" i="4"/>
  <c r="BO543" i="4" s="1"/>
  <c r="BN544" i="4"/>
  <c r="BO544" i="4" s="1"/>
  <c r="BN545" i="4"/>
  <c r="BO545" i="4" s="1"/>
  <c r="BN546" i="4"/>
  <c r="BO546" i="4" s="1"/>
  <c r="BN547" i="4"/>
  <c r="BO547" i="4" s="1"/>
  <c r="BN548" i="4"/>
  <c r="BO548" i="4" s="1"/>
  <c r="BN549" i="4"/>
  <c r="BO549" i="4" s="1"/>
  <c r="BN550" i="4"/>
  <c r="BO550" i="4" s="1"/>
  <c r="BN516" i="4"/>
  <c r="BO516" i="4" s="1"/>
  <c r="AI551" i="4"/>
  <c r="AI552" i="4"/>
  <c r="AF551" i="4"/>
  <c r="AF552" i="4"/>
  <c r="AF553" i="4"/>
  <c r="AG517" i="4"/>
  <c r="AG518" i="4"/>
  <c r="AG519" i="4"/>
  <c r="AH519" i="4" s="1"/>
  <c r="AG520" i="4"/>
  <c r="AH520" i="4" s="1"/>
  <c r="AG521" i="4"/>
  <c r="AG522" i="4"/>
  <c r="AG523" i="4"/>
  <c r="AH523" i="4" s="1"/>
  <c r="AI523" i="4" s="1"/>
  <c r="AG524" i="4"/>
  <c r="AH524" i="4" s="1"/>
  <c r="AG525" i="4"/>
  <c r="AH525" i="4" s="1"/>
  <c r="AG526" i="4"/>
  <c r="AH526" i="4" s="1"/>
  <c r="AG527" i="4"/>
  <c r="AH527" i="4" s="1"/>
  <c r="AI527" i="4" s="1"/>
  <c r="AG528" i="4"/>
  <c r="AH528" i="4" s="1"/>
  <c r="AG529" i="4"/>
  <c r="AH529" i="4" s="1"/>
  <c r="AG530" i="4"/>
  <c r="AG531" i="4"/>
  <c r="AG532" i="4"/>
  <c r="AH532" i="4" s="1"/>
  <c r="AG533" i="4"/>
  <c r="AG534" i="4"/>
  <c r="AG535" i="4"/>
  <c r="AG536" i="4"/>
  <c r="AH536" i="4" s="1"/>
  <c r="AG537" i="4"/>
  <c r="AH537" i="4" s="1"/>
  <c r="AG538" i="4"/>
  <c r="AG539" i="4"/>
  <c r="AH539" i="4" s="1"/>
  <c r="AI539" i="4" s="1"/>
  <c r="AG540" i="4"/>
  <c r="AH540" i="4" s="1"/>
  <c r="AG541" i="4"/>
  <c r="AH541" i="4" s="1"/>
  <c r="AG542" i="4"/>
  <c r="AH542" i="4" s="1"/>
  <c r="AG543" i="4"/>
  <c r="AG544" i="4"/>
  <c r="AH544" i="4" s="1"/>
  <c r="AI544" i="4" s="1"/>
  <c r="AG545" i="4"/>
  <c r="AG546" i="4"/>
  <c r="AG547" i="4"/>
  <c r="AG548" i="4"/>
  <c r="AG549" i="4"/>
  <c r="AH549" i="4" s="1"/>
  <c r="AG550" i="4"/>
  <c r="AG516" i="4"/>
  <c r="AH516" i="4" s="1"/>
  <c r="AD550" i="4"/>
  <c r="AD549" i="4"/>
  <c r="AE549" i="4" s="1"/>
  <c r="AF549" i="4" s="1"/>
  <c r="AD548" i="4"/>
  <c r="AE548" i="4" s="1"/>
  <c r="AD547" i="4"/>
  <c r="AD546" i="4"/>
  <c r="AE546" i="4" s="1"/>
  <c r="AD545" i="4"/>
  <c r="AD544" i="4"/>
  <c r="AE544" i="4" s="1"/>
  <c r="AF544" i="4" s="1"/>
  <c r="AD543" i="4"/>
  <c r="AD542" i="4"/>
  <c r="AD541" i="4"/>
  <c r="AE541" i="4" s="1"/>
  <c r="AF541" i="4" s="1"/>
  <c r="AD540" i="4"/>
  <c r="AD539" i="4"/>
  <c r="AE539" i="4" s="1"/>
  <c r="AD538" i="4"/>
  <c r="AE538" i="4" s="1"/>
  <c r="AF538" i="4" s="1"/>
  <c r="AD537" i="4"/>
  <c r="AD536" i="4"/>
  <c r="AE536" i="4" s="1"/>
  <c r="AD535" i="4"/>
  <c r="AD534" i="4"/>
  <c r="AD533" i="4"/>
  <c r="AE533" i="4" s="1"/>
  <c r="AF533" i="4" s="1"/>
  <c r="AD532" i="4"/>
  <c r="AE532" i="4" s="1"/>
  <c r="AD531" i="4"/>
  <c r="AE531" i="4" s="1"/>
  <c r="AD530" i="4"/>
  <c r="AE530" i="4" s="1"/>
  <c r="AD529" i="4"/>
  <c r="AD528" i="4"/>
  <c r="AE528" i="4" s="1"/>
  <c r="AF528" i="4" s="1"/>
  <c r="AD527" i="4"/>
  <c r="AD526" i="4"/>
  <c r="AD525" i="4"/>
  <c r="AE525" i="4" s="1"/>
  <c r="AF525" i="4" s="1"/>
  <c r="AD524" i="4"/>
  <c r="AD523" i="4"/>
  <c r="AD522" i="4"/>
  <c r="AE522" i="4" s="1"/>
  <c r="AF522" i="4" s="1"/>
  <c r="AD521" i="4"/>
  <c r="AD520" i="4"/>
  <c r="AE520" i="4" s="1"/>
  <c r="AD519" i="4"/>
  <c r="AD518" i="4"/>
  <c r="AD517" i="4"/>
  <c r="AE517" i="4" s="1"/>
  <c r="AF517" i="4" s="1"/>
  <c r="AD516" i="4"/>
  <c r="AF548" i="4" l="1"/>
  <c r="AI537" i="4"/>
  <c r="AI528" i="4"/>
  <c r="AI525" i="4"/>
  <c r="AF520" i="4"/>
  <c r="AI549" i="4"/>
  <c r="AI536" i="4"/>
  <c r="AE523" i="4"/>
  <c r="AF523" i="4" s="1"/>
  <c r="AH533" i="4"/>
  <c r="AI533" i="4"/>
  <c r="AH521" i="4"/>
  <c r="AI521" i="4" s="1"/>
  <c r="AE516" i="4"/>
  <c r="AF516" i="4" s="1"/>
  <c r="AH548" i="4"/>
  <c r="AI548" i="4" s="1"/>
  <c r="AF536" i="4"/>
  <c r="AH517" i="4"/>
  <c r="AI517" i="4" s="1"/>
  <c r="AH543" i="4"/>
  <c r="AI543" i="4" s="1"/>
  <c r="AF530" i="4"/>
  <c r="AI520" i="4"/>
  <c r="AI541" i="4"/>
  <c r="AE518" i="4"/>
  <c r="AF518" i="4" s="1"/>
  <c r="AE542" i="4"/>
  <c r="AF542" i="4" s="1"/>
  <c r="AE526" i="4"/>
  <c r="AF526" i="4" s="1"/>
  <c r="AE534" i="4"/>
  <c r="AF534" i="4" s="1"/>
  <c r="AE550" i="4"/>
  <c r="AF550" i="4" s="1"/>
  <c r="AH546" i="4"/>
  <c r="AI546" i="4"/>
  <c r="AH534" i="4"/>
  <c r="AI534" i="4" s="1"/>
  <c r="AI516" i="4"/>
  <c r="AH545" i="4"/>
  <c r="AI545" i="4" s="1"/>
  <c r="AI540" i="4"/>
  <c r="AH522" i="4"/>
  <c r="AI522" i="4"/>
  <c r="AE524" i="4"/>
  <c r="AF524" i="4" s="1"/>
  <c r="AH535" i="4"/>
  <c r="AI535" i="4" s="1"/>
  <c r="AH550" i="4"/>
  <c r="AI550" i="4" s="1"/>
  <c r="AF539" i="4"/>
  <c r="AE540" i="4"/>
  <c r="AF540" i="4" s="1"/>
  <c r="AF531" i="4"/>
  <c r="AE547" i="4"/>
  <c r="AF547" i="4"/>
  <c r="AF532" i="4"/>
  <c r="AH538" i="4"/>
  <c r="AI538" i="4" s="1"/>
  <c r="AI532" i="4"/>
  <c r="AF546" i="4"/>
  <c r="AI519" i="4"/>
  <c r="AH530" i="4"/>
  <c r="AI530" i="4" s="1"/>
  <c r="AH518" i="4"/>
  <c r="AI518" i="4"/>
  <c r="AI524" i="4"/>
  <c r="AI529" i="4"/>
  <c r="AE545" i="4"/>
  <c r="AF545" i="4" s="1"/>
  <c r="AE537" i="4"/>
  <c r="AF537" i="4" s="1"/>
  <c r="AE529" i="4"/>
  <c r="AF529" i="4" s="1"/>
  <c r="AE521" i="4"/>
  <c r="AF521" i="4" s="1"/>
  <c r="AI542" i="4"/>
  <c r="AI526" i="4"/>
  <c r="AE543" i="4"/>
  <c r="AF543" i="4" s="1"/>
  <c r="AE535" i="4"/>
  <c r="AF535" i="4" s="1"/>
  <c r="AE527" i="4"/>
  <c r="AF527" i="4" s="1"/>
  <c r="AE519" i="4"/>
  <c r="AF519" i="4" s="1"/>
  <c r="AH547" i="4"/>
  <c r="AI547" i="4" s="1"/>
  <c r="AH531" i="4"/>
  <c r="AI531" i="4" s="1"/>
  <c r="BX287" i="4"/>
  <c r="BX286" i="4"/>
  <c r="BX284" i="4"/>
  <c r="BX283" i="4"/>
  <c r="BX282" i="4"/>
  <c r="BX281" i="4"/>
  <c r="BX280" i="4"/>
  <c r="BX279" i="4"/>
  <c r="BX278" i="4"/>
  <c r="BX276" i="4"/>
  <c r="BX275" i="4"/>
  <c r="BX274" i="4"/>
  <c r="BX273" i="4"/>
  <c r="BY51" i="4" l="1"/>
  <c r="BY52" i="4"/>
  <c r="BY53" i="4"/>
  <c r="BY54" i="4"/>
  <c r="BY55" i="4"/>
  <c r="BY56" i="4"/>
  <c r="BY57" i="4"/>
  <c r="BY59" i="4"/>
  <c r="BY60" i="4"/>
  <c r="BY61" i="4"/>
  <c r="BY58" i="4"/>
  <c r="BY62" i="4"/>
  <c r="BY63" i="4"/>
  <c r="BY64" i="4"/>
  <c r="BY65" i="4"/>
  <c r="BY67" i="4"/>
  <c r="BY68" i="4"/>
  <c r="BY69" i="4"/>
  <c r="BY70" i="4"/>
  <c r="BY66" i="4"/>
  <c r="BY71" i="4"/>
  <c r="BY72" i="4"/>
  <c r="BY73" i="4"/>
  <c r="BY74" i="4"/>
  <c r="BY75" i="4"/>
  <c r="BY76" i="4"/>
  <c r="BY77" i="4"/>
  <c r="BY78" i="4"/>
  <c r="BY79" i="4"/>
  <c r="BY80" i="4"/>
  <c r="BY81" i="4"/>
  <c r="BY83" i="4"/>
  <c r="BY82" i="4"/>
  <c r="BY84" i="4"/>
  <c r="BY85" i="4"/>
  <c r="BY86" i="4"/>
  <c r="BY87" i="4"/>
  <c r="BY88" i="4"/>
  <c r="BY89" i="4"/>
  <c r="BY90" i="4"/>
  <c r="BY91" i="4"/>
  <c r="BY92" i="4"/>
  <c r="BY93" i="4"/>
  <c r="BY94" i="4"/>
  <c r="BY95" i="4"/>
  <c r="BY124" i="4"/>
  <c r="BY125" i="4"/>
  <c r="BY126" i="4"/>
  <c r="BY127" i="4"/>
  <c r="BY128" i="4"/>
  <c r="BY129" i="4"/>
  <c r="BY130" i="4"/>
  <c r="BY131" i="4"/>
  <c r="BY132" i="4"/>
  <c r="BY133" i="4"/>
  <c r="BY134" i="4"/>
  <c r="BY135" i="4"/>
  <c r="BY137" i="4"/>
  <c r="BY138" i="4"/>
  <c r="BY139" i="4"/>
  <c r="BY140" i="4"/>
  <c r="BY136" i="4"/>
  <c r="BY142" i="4"/>
  <c r="BY143" i="4"/>
  <c r="BY144" i="4"/>
  <c r="BY146" i="4"/>
  <c r="BY147" i="4"/>
  <c r="BY149" i="4"/>
  <c r="BY150" i="4"/>
  <c r="BY151" i="4"/>
  <c r="BY153" i="4"/>
  <c r="BY145" i="4"/>
  <c r="BY154" i="4"/>
  <c r="BY148" i="4"/>
  <c r="BY152" i="4"/>
  <c r="BY155" i="4"/>
  <c r="BY156" i="4"/>
  <c r="BY141" i="4"/>
  <c r="BY157" i="4"/>
  <c r="BY158" i="4"/>
  <c r="BY159" i="4"/>
  <c r="BY160" i="4"/>
  <c r="BY161" i="4"/>
  <c r="BY162" i="4"/>
  <c r="BY163" i="4"/>
  <c r="BY164" i="4"/>
  <c r="BY165" i="4"/>
  <c r="BY166" i="4"/>
  <c r="BY167" i="4"/>
  <c r="BY168" i="4"/>
  <c r="BY169" i="4"/>
  <c r="BY170" i="4"/>
  <c r="BY171" i="4"/>
  <c r="BY172" i="4"/>
  <c r="BY173" i="4"/>
  <c r="BY174" i="4"/>
  <c r="BY175" i="4"/>
  <c r="BY176" i="4"/>
  <c r="BY177" i="4"/>
  <c r="BY178" i="4"/>
  <c r="BY179" i="4"/>
  <c r="BY180" i="4"/>
  <c r="BY181" i="4"/>
  <c r="BY182" i="4"/>
  <c r="BY183" i="4"/>
  <c r="BY184" i="4"/>
  <c r="BY185" i="4"/>
  <c r="BY186" i="4"/>
  <c r="BY187" i="4"/>
  <c r="BY188" i="4"/>
  <c r="BY189" i="4"/>
  <c r="BY190" i="4"/>
  <c r="BY191" i="4"/>
  <c r="BY192" i="4"/>
  <c r="BY193" i="4"/>
  <c r="BY194" i="4"/>
  <c r="BY196" i="4"/>
  <c r="BY197" i="4"/>
  <c r="BY198" i="4"/>
  <c r="BY199" i="4"/>
  <c r="BY200" i="4"/>
  <c r="BY201" i="4"/>
  <c r="BY202" i="4"/>
  <c r="BY203" i="4"/>
  <c r="BY195" i="4"/>
  <c r="BY204" i="4"/>
  <c r="BY205" i="4"/>
  <c r="BY206" i="4"/>
  <c r="BY207" i="4"/>
  <c r="BY208" i="4"/>
  <c r="BY209" i="4"/>
  <c r="BY210" i="4"/>
  <c r="BY211" i="4"/>
  <c r="BY212" i="4"/>
  <c r="BY213" i="4"/>
  <c r="BY214" i="4"/>
  <c r="BY215" i="4"/>
  <c r="BY216" i="4"/>
  <c r="BY217" i="4"/>
  <c r="BY218" i="4"/>
  <c r="BY219" i="4"/>
  <c r="BY220" i="4"/>
  <c r="BY221" i="4"/>
  <c r="BY222" i="4"/>
  <c r="BY223" i="4"/>
  <c r="BY224" i="4"/>
  <c r="BY225" i="4"/>
  <c r="BY226" i="4"/>
  <c r="BY227" i="4"/>
  <c r="BY228" i="4"/>
  <c r="BY229" i="4"/>
  <c r="BY230" i="4"/>
  <c r="BY231" i="4"/>
  <c r="BY233" i="4"/>
  <c r="BY234" i="4"/>
  <c r="BY235" i="4"/>
  <c r="BY236" i="4"/>
  <c r="BY237" i="4"/>
  <c r="BY232" i="4"/>
  <c r="BY238" i="4"/>
  <c r="BY240" i="4"/>
  <c r="BY239" i="4"/>
  <c r="BY241" i="4"/>
  <c r="BY242" i="4"/>
  <c r="BY243" i="4"/>
  <c r="BY244" i="4"/>
  <c r="BY245" i="4"/>
  <c r="BY246" i="4"/>
  <c r="BY247" i="4"/>
  <c r="BY248" i="4"/>
  <c r="BY249" i="4"/>
  <c r="BY251" i="4"/>
  <c r="BY253" i="4"/>
  <c r="BY254" i="4"/>
  <c r="BY255" i="4"/>
  <c r="BY256" i="4"/>
  <c r="BY257" i="4"/>
  <c r="BY250" i="4"/>
  <c r="BY258" i="4"/>
  <c r="BY259" i="4"/>
  <c r="BY260" i="4"/>
  <c r="BY252" i="4"/>
  <c r="BY261" i="4"/>
  <c r="BY262" i="4"/>
  <c r="BY263" i="4"/>
  <c r="BY264" i="4"/>
  <c r="BY265" i="4"/>
  <c r="BY266" i="4"/>
  <c r="BY267" i="4"/>
  <c r="BY268" i="4"/>
  <c r="BY269" i="4"/>
  <c r="BY270" i="4"/>
  <c r="BY271" i="4"/>
  <c r="BY272" i="4"/>
  <c r="BY288" i="4"/>
  <c r="BY289" i="4"/>
  <c r="BY291" i="4"/>
  <c r="BY290" i="4"/>
  <c r="BY292" i="4"/>
  <c r="BY293" i="4"/>
  <c r="BY294" i="4"/>
  <c r="BY295" i="4"/>
  <c r="BY296" i="4"/>
  <c r="BY297" i="4"/>
  <c r="BY298" i="4"/>
  <c r="BY299" i="4"/>
  <c r="BY300" i="4"/>
  <c r="BY301" i="4"/>
  <c r="BY302" i="4"/>
  <c r="BY303" i="4"/>
  <c r="BY304" i="4"/>
  <c r="BY305" i="4"/>
  <c r="BY306" i="4"/>
  <c r="BY307" i="4"/>
  <c r="BY308" i="4"/>
  <c r="BY309" i="4"/>
  <c r="BY310" i="4"/>
  <c r="BY311" i="4"/>
  <c r="BY312" i="4"/>
  <c r="BY313" i="4"/>
  <c r="BY314" i="4"/>
  <c r="BY315" i="4"/>
  <c r="BY316" i="4"/>
  <c r="BY317" i="4"/>
  <c r="BY318" i="4"/>
  <c r="BY319" i="4"/>
  <c r="BY320" i="4"/>
  <c r="BY321" i="4"/>
  <c r="BY322" i="4"/>
  <c r="BY323" i="4"/>
  <c r="BY324" i="4"/>
  <c r="BY325" i="4"/>
  <c r="BY326" i="4"/>
  <c r="BY327" i="4"/>
  <c r="BY328" i="4"/>
  <c r="BY329" i="4"/>
  <c r="BY330" i="4"/>
  <c r="BY331" i="4"/>
  <c r="BY332" i="4"/>
  <c r="BY333" i="4"/>
  <c r="BY334" i="4"/>
  <c r="BY335" i="4"/>
  <c r="BY336" i="4"/>
  <c r="BY337" i="4"/>
  <c r="BY338" i="4"/>
  <c r="BY339" i="4"/>
  <c r="BY340" i="4"/>
  <c r="BY341" i="4"/>
  <c r="BY342" i="4"/>
  <c r="BY343" i="4"/>
  <c r="BY344" i="4"/>
  <c r="BY345" i="4"/>
  <c r="BY346" i="4"/>
  <c r="BY347" i="4"/>
  <c r="BY348" i="4"/>
  <c r="BY349" i="4"/>
  <c r="BY350" i="4"/>
  <c r="BY351" i="4"/>
  <c r="BY352" i="4"/>
  <c r="BY353" i="4"/>
  <c r="BY354" i="4"/>
  <c r="BY355" i="4"/>
  <c r="BY356" i="4"/>
  <c r="BY357" i="4"/>
  <c r="BY358" i="4"/>
  <c r="BY359" i="4"/>
  <c r="BY360" i="4"/>
  <c r="BY388" i="4"/>
  <c r="BY389" i="4"/>
  <c r="BY397" i="4"/>
  <c r="BY390" i="4"/>
  <c r="BY430" i="4"/>
  <c r="BY391" i="4"/>
  <c r="BY392" i="4"/>
  <c r="BY393" i="4"/>
  <c r="BY394" i="4"/>
  <c r="BY395" i="4"/>
  <c r="BY396" i="4"/>
  <c r="BY398" i="4"/>
  <c r="BY399" i="4"/>
  <c r="BY400" i="4"/>
  <c r="BY401" i="4"/>
  <c r="BY402" i="4"/>
  <c r="BY403" i="4"/>
  <c r="BY404" i="4"/>
  <c r="BY405" i="4"/>
  <c r="BY406" i="4"/>
  <c r="BY407" i="4"/>
  <c r="BY408" i="4"/>
  <c r="BY409" i="4"/>
  <c r="BY410" i="4"/>
  <c r="BY411" i="4"/>
  <c r="BY412" i="4"/>
  <c r="BY413" i="4"/>
  <c r="BY414" i="4"/>
  <c r="BY415" i="4"/>
  <c r="BY416" i="4"/>
  <c r="BY417" i="4"/>
  <c r="BY419" i="4"/>
  <c r="BY420" i="4"/>
  <c r="BY421" i="4"/>
  <c r="BY422" i="4"/>
  <c r="BY423" i="4"/>
  <c r="BY424" i="4"/>
  <c r="BY425" i="4"/>
  <c r="BY426" i="4"/>
  <c r="BY427" i="4"/>
  <c r="BY428" i="4"/>
  <c r="BY429" i="4"/>
  <c r="BY431" i="4"/>
  <c r="BY432" i="4"/>
  <c r="BY433" i="4"/>
  <c r="BY434" i="4"/>
  <c r="BY418" i="4"/>
  <c r="BY361" i="4"/>
  <c r="BY362" i="4"/>
  <c r="BY363" i="4"/>
  <c r="BY364" i="4"/>
  <c r="BY365" i="4"/>
  <c r="BY366" i="4"/>
  <c r="BY367" i="4"/>
  <c r="BY368" i="4"/>
  <c r="BY369" i="4"/>
  <c r="BY370" i="4"/>
  <c r="BY371" i="4"/>
  <c r="BY372" i="4"/>
  <c r="BY373" i="4"/>
  <c r="BY374" i="4"/>
  <c r="BY376" i="4"/>
  <c r="BY378" i="4"/>
  <c r="BY379" i="4"/>
  <c r="BY375" i="4"/>
  <c r="BY377" i="4"/>
  <c r="BY380" i="4"/>
  <c r="BY381" i="4"/>
  <c r="BY382" i="4"/>
  <c r="BY383" i="4"/>
  <c r="BY384" i="4"/>
  <c r="BY385" i="4"/>
  <c r="BY386" i="4"/>
  <c r="BY387" i="4"/>
  <c r="BY435" i="4"/>
  <c r="BY436" i="4"/>
  <c r="BY437" i="4"/>
  <c r="BY438" i="4"/>
  <c r="BY439" i="4"/>
  <c r="BY440" i="4"/>
  <c r="BY441" i="4"/>
  <c r="BY442" i="4"/>
  <c r="BY443" i="4"/>
  <c r="BY444" i="4"/>
  <c r="BY446" i="4"/>
  <c r="BY445" i="4"/>
  <c r="BY447" i="4"/>
  <c r="BY449" i="4"/>
  <c r="BY451" i="4"/>
  <c r="BY452" i="4"/>
  <c r="BY453" i="4"/>
  <c r="BY454" i="4"/>
  <c r="BY448" i="4"/>
  <c r="BY455" i="4"/>
  <c r="BY456" i="4"/>
  <c r="BY457" i="4"/>
  <c r="BY450" i="4"/>
  <c r="BY458" i="4"/>
  <c r="BY459" i="4"/>
  <c r="BY460" i="4"/>
  <c r="BY461" i="4"/>
  <c r="BY462" i="4"/>
  <c r="BY463" i="4"/>
  <c r="BY464" i="4"/>
  <c r="BY465" i="4"/>
  <c r="BY466" i="4"/>
  <c r="BY467" i="4"/>
  <c r="BY468" i="4"/>
  <c r="BY470" i="4"/>
  <c r="BY471" i="4"/>
  <c r="BY472" i="4"/>
  <c r="BY469" i="4"/>
  <c r="BY473" i="4"/>
  <c r="BY474" i="4"/>
  <c r="BY475" i="4"/>
  <c r="BY476" i="4"/>
  <c r="BY478" i="4"/>
  <c r="BY479" i="4"/>
  <c r="BY481" i="4"/>
  <c r="BY482" i="4"/>
  <c r="BY484" i="4"/>
  <c r="BY485" i="4"/>
  <c r="BY477" i="4"/>
  <c r="BY486" i="4"/>
  <c r="BY487" i="4"/>
  <c r="BY480" i="4"/>
  <c r="BY488" i="4"/>
  <c r="BY483" i="4"/>
  <c r="BY489" i="4"/>
  <c r="BY490" i="4"/>
  <c r="BY491" i="4"/>
  <c r="BY492" i="4"/>
  <c r="BY493" i="4"/>
  <c r="BY494" i="4"/>
  <c r="BY495" i="4"/>
  <c r="BY496" i="4"/>
  <c r="BY497" i="4"/>
  <c r="BY498" i="4"/>
  <c r="BY499" i="4"/>
  <c r="BY500" i="4"/>
  <c r="BY501" i="4"/>
  <c r="BY502" i="4"/>
  <c r="BY503" i="4"/>
  <c r="BY504" i="4"/>
  <c r="BY505" i="4"/>
  <c r="BY506" i="4"/>
  <c r="BY507" i="4"/>
  <c r="BY508" i="4"/>
  <c r="BY509" i="4"/>
  <c r="BY510" i="4"/>
  <c r="BY511" i="4"/>
  <c r="BY512" i="4"/>
  <c r="BY513" i="4"/>
  <c r="BY514" i="4"/>
  <c r="BY515" i="4"/>
  <c r="BY516" i="4"/>
  <c r="BY517" i="4"/>
  <c r="BY518" i="4"/>
  <c r="BY519" i="4"/>
  <c r="BY520" i="4"/>
  <c r="BY521" i="4"/>
  <c r="BY522" i="4"/>
  <c r="BY523" i="4"/>
  <c r="BY524" i="4"/>
  <c r="BY525" i="4"/>
  <c r="BY526" i="4"/>
  <c r="BY527" i="4"/>
  <c r="BY528" i="4"/>
  <c r="BY529" i="4"/>
  <c r="BY530" i="4"/>
  <c r="BY531" i="4"/>
  <c r="BY532" i="4"/>
  <c r="BY533" i="4"/>
  <c r="BY534" i="4"/>
  <c r="BY535" i="4"/>
  <c r="BY536" i="4"/>
  <c r="BY537" i="4"/>
  <c r="BY538" i="4"/>
  <c r="BY539" i="4"/>
  <c r="BY540" i="4"/>
  <c r="BY541" i="4"/>
  <c r="BY542" i="4"/>
  <c r="BY544" i="4"/>
  <c r="BY545" i="4"/>
  <c r="BY546" i="4"/>
  <c r="BY547" i="4"/>
  <c r="BY543" i="4"/>
  <c r="BY548" i="4"/>
  <c r="BY549" i="4"/>
  <c r="BY550" i="4"/>
  <c r="BY551" i="4"/>
  <c r="BY552" i="4"/>
  <c r="BY553" i="4"/>
  <c r="BY554" i="4"/>
  <c r="BY555" i="4"/>
  <c r="BY556" i="4"/>
  <c r="BY557" i="4"/>
  <c r="BY558" i="4"/>
  <c r="BY559" i="4"/>
  <c r="BY560" i="4"/>
  <c r="BY561" i="4"/>
  <c r="BY562" i="4"/>
  <c r="BY563" i="4"/>
  <c r="BY564" i="4"/>
  <c r="BY566" i="4"/>
  <c r="BY567" i="4"/>
  <c r="BY568" i="4"/>
  <c r="BY569" i="4"/>
  <c r="BY570" i="4"/>
  <c r="BY571" i="4"/>
  <c r="BY572" i="4"/>
  <c r="BY573" i="4"/>
  <c r="BY574" i="4"/>
  <c r="BY575" i="4"/>
  <c r="BY576" i="4"/>
  <c r="BY577" i="4"/>
  <c r="BY578" i="4"/>
  <c r="BY579" i="4"/>
  <c r="BY580" i="4"/>
  <c r="BY583" i="4"/>
  <c r="BY584" i="4"/>
  <c r="BY585" i="4"/>
  <c r="BY586" i="4"/>
  <c r="BY587" i="4"/>
  <c r="BY588" i="4"/>
  <c r="BY565" i="4"/>
  <c r="BY594" i="4"/>
  <c r="BY595" i="4"/>
  <c r="BY597" i="4"/>
  <c r="BY598" i="4"/>
  <c r="BY599" i="4"/>
  <c r="BY600" i="4"/>
  <c r="BY601" i="4"/>
  <c r="BY602" i="4"/>
  <c r="BY581" i="4"/>
  <c r="BY582" i="4"/>
  <c r="BY603" i="4"/>
  <c r="BY604" i="4"/>
  <c r="BY605" i="4"/>
  <c r="BY606" i="4"/>
  <c r="BY607" i="4"/>
  <c r="BY608" i="4"/>
  <c r="BY609" i="4"/>
  <c r="BY610" i="4"/>
  <c r="BY611" i="4"/>
  <c r="BY612" i="4"/>
  <c r="BY596" i="4"/>
  <c r="BY613" i="4"/>
  <c r="BY614" i="4"/>
  <c r="BY615" i="4"/>
  <c r="BY616" i="4"/>
  <c r="BY617" i="4"/>
  <c r="BY618" i="4"/>
  <c r="BY620" i="4"/>
  <c r="BY621" i="4"/>
  <c r="BY619" i="4"/>
  <c r="BY622" i="4"/>
  <c r="BY623" i="4"/>
  <c r="BY624" i="4"/>
  <c r="BY625" i="4"/>
  <c r="BY626" i="4"/>
  <c r="BY627" i="4"/>
  <c r="BY628" i="4"/>
  <c r="BY629" i="4"/>
  <c r="BY630" i="4"/>
  <c r="BY631" i="4"/>
  <c r="BY632" i="4"/>
  <c r="BY633" i="4"/>
  <c r="BY634" i="4"/>
  <c r="BY635" i="4"/>
  <c r="BY636" i="4"/>
  <c r="BY637" i="4"/>
  <c r="BY638" i="4"/>
  <c r="BY639" i="4"/>
  <c r="BY640" i="4"/>
  <c r="BY641" i="4"/>
  <c r="BY642" i="4"/>
  <c r="BY643" i="4"/>
  <c r="BY644" i="4"/>
  <c r="BY645" i="4"/>
  <c r="BY646" i="4"/>
  <c r="BY648" i="4"/>
  <c r="BY649" i="4"/>
  <c r="BY650" i="4"/>
  <c r="BY651" i="4"/>
  <c r="BY653" i="4"/>
  <c r="BY654" i="4"/>
  <c r="BY655" i="4"/>
  <c r="BY647" i="4"/>
  <c r="BY656" i="4"/>
  <c r="BY657" i="4"/>
  <c r="BY659" i="4"/>
  <c r="BY652" i="4"/>
  <c r="BY658" i="4"/>
  <c r="BY660" i="4"/>
  <c r="BY661" i="4"/>
  <c r="BY662" i="4"/>
  <c r="BY663" i="4"/>
  <c r="BY664" i="4"/>
  <c r="BY665" i="4"/>
  <c r="BY666" i="4"/>
  <c r="BY667" i="4"/>
  <c r="BY668" i="4"/>
  <c r="BY669" i="4"/>
  <c r="BY670" i="4"/>
  <c r="BY671" i="4"/>
  <c r="BY672" i="4"/>
  <c r="BY674" i="4"/>
  <c r="BY675" i="4"/>
  <c r="BY676" i="4"/>
  <c r="BY677" i="4"/>
  <c r="BY678" i="4"/>
  <c r="BY679" i="4"/>
  <c r="BY680" i="4"/>
  <c r="BY681" i="4"/>
  <c r="BY673" i="4"/>
  <c r="BY102" i="4"/>
  <c r="BY103" i="4"/>
  <c r="BY104" i="4"/>
  <c r="BY96" i="4"/>
  <c r="BY97" i="4"/>
  <c r="BY98" i="4"/>
  <c r="BY105" i="4"/>
  <c r="BY122" i="4"/>
  <c r="BY117" i="4"/>
  <c r="BY106" i="4"/>
  <c r="BY107" i="4"/>
  <c r="BY118" i="4"/>
  <c r="BY119" i="4"/>
  <c r="BY114" i="4"/>
  <c r="BY99" i="4"/>
  <c r="BY123" i="4"/>
  <c r="BY100" i="4"/>
  <c r="BY108" i="4"/>
  <c r="BY109" i="4"/>
  <c r="BY110" i="4"/>
  <c r="BY111" i="4"/>
  <c r="BY121" i="4"/>
  <c r="BY101" i="4"/>
  <c r="BY112" i="4"/>
  <c r="BY113" i="4"/>
  <c r="BY120" i="4"/>
  <c r="BY115" i="4"/>
  <c r="BY116" i="4"/>
  <c r="BV48" i="4"/>
  <c r="BV49" i="4"/>
  <c r="BV50" i="4"/>
  <c r="BV51" i="4"/>
  <c r="BV52" i="4"/>
  <c r="BV53" i="4"/>
  <c r="BV54" i="4"/>
  <c r="BV55" i="4"/>
  <c r="BV56" i="4"/>
  <c r="BV57" i="4"/>
  <c r="BV59" i="4"/>
  <c r="BV60" i="4"/>
  <c r="BV61" i="4"/>
  <c r="BV58" i="4"/>
  <c r="BV62" i="4"/>
  <c r="BV63" i="4"/>
  <c r="BV64" i="4"/>
  <c r="BV65" i="4"/>
  <c r="BV67" i="4"/>
  <c r="BV68" i="4"/>
  <c r="BV69" i="4"/>
  <c r="BV70" i="4"/>
  <c r="BV66" i="4"/>
  <c r="BV71" i="4"/>
  <c r="BV72" i="4"/>
  <c r="BV73" i="4"/>
  <c r="BV74" i="4"/>
  <c r="BV75" i="4"/>
  <c r="BV76" i="4"/>
  <c r="BV77" i="4"/>
  <c r="BV78" i="4"/>
  <c r="BV79" i="4"/>
  <c r="BV80" i="4"/>
  <c r="BV81" i="4"/>
  <c r="BV83" i="4"/>
  <c r="BV82" i="4"/>
  <c r="BV84" i="4"/>
  <c r="BV85" i="4"/>
  <c r="BV86" i="4"/>
  <c r="BV87" i="4"/>
  <c r="BV88" i="4"/>
  <c r="BV89" i="4"/>
  <c r="BV90" i="4"/>
  <c r="BV91" i="4"/>
  <c r="BV92" i="4"/>
  <c r="BV93" i="4"/>
  <c r="BV94" i="4"/>
  <c r="BV95" i="4"/>
  <c r="BV124" i="4"/>
  <c r="BV125" i="4"/>
  <c r="BV126" i="4"/>
  <c r="BV127" i="4"/>
  <c r="BV128" i="4"/>
  <c r="BV129" i="4"/>
  <c r="BV130" i="4"/>
  <c r="BV131" i="4"/>
  <c r="BV132" i="4"/>
  <c r="BV133" i="4"/>
  <c r="BV134" i="4"/>
  <c r="BV135" i="4"/>
  <c r="BV137" i="4"/>
  <c r="BV138" i="4"/>
  <c r="BV139" i="4"/>
  <c r="BV140" i="4"/>
  <c r="BV136" i="4"/>
  <c r="BV142" i="4"/>
  <c r="BV143" i="4"/>
  <c r="BV144" i="4"/>
  <c r="BV146" i="4"/>
  <c r="BV147" i="4"/>
  <c r="BV149" i="4"/>
  <c r="BV150" i="4"/>
  <c r="BV151" i="4"/>
  <c r="BV153" i="4"/>
  <c r="BV145" i="4"/>
  <c r="BV154" i="4"/>
  <c r="BV148" i="4"/>
  <c r="BV152" i="4"/>
  <c r="BV155" i="4"/>
  <c r="BV156" i="4"/>
  <c r="BV141" i="4"/>
  <c r="BV157" i="4"/>
  <c r="BV158" i="4"/>
  <c r="BV159" i="4"/>
  <c r="BV160" i="4"/>
  <c r="BV161" i="4"/>
  <c r="BV162" i="4"/>
  <c r="BV163" i="4"/>
  <c r="BV164" i="4"/>
  <c r="BV165" i="4"/>
  <c r="BV166" i="4"/>
  <c r="BV167" i="4"/>
  <c r="BV168" i="4"/>
  <c r="BV169" i="4"/>
  <c r="BV170" i="4"/>
  <c r="BV171" i="4"/>
  <c r="BV172" i="4"/>
  <c r="BV173" i="4"/>
  <c r="BV174" i="4"/>
  <c r="BV175" i="4"/>
  <c r="BV176" i="4"/>
  <c r="BV177" i="4"/>
  <c r="BV178" i="4"/>
  <c r="BV179" i="4"/>
  <c r="BV180" i="4"/>
  <c r="BV181" i="4"/>
  <c r="BV182" i="4"/>
  <c r="BV183" i="4"/>
  <c r="BV184" i="4"/>
  <c r="BV185" i="4"/>
  <c r="BV186" i="4"/>
  <c r="BV187" i="4"/>
  <c r="BV188" i="4"/>
  <c r="BV189" i="4"/>
  <c r="BV190" i="4"/>
  <c r="BV191" i="4"/>
  <c r="BV192" i="4"/>
  <c r="BV193" i="4"/>
  <c r="BV194" i="4"/>
  <c r="BV196" i="4"/>
  <c r="BV197" i="4"/>
  <c r="BV198" i="4"/>
  <c r="BV199" i="4"/>
  <c r="BV200" i="4"/>
  <c r="BV201" i="4"/>
  <c r="BV202" i="4"/>
  <c r="BV203" i="4"/>
  <c r="BV195" i="4"/>
  <c r="BV204" i="4"/>
  <c r="BV205" i="4"/>
  <c r="BV206" i="4"/>
  <c r="BV207" i="4"/>
  <c r="BV208" i="4"/>
  <c r="BV209" i="4"/>
  <c r="BV210" i="4"/>
  <c r="BV211" i="4"/>
  <c r="BV212" i="4"/>
  <c r="BV213" i="4"/>
  <c r="BV214" i="4"/>
  <c r="BV215" i="4"/>
  <c r="BV216" i="4"/>
  <c r="BV217" i="4"/>
  <c r="BV218" i="4"/>
  <c r="BV219" i="4"/>
  <c r="BV220" i="4"/>
  <c r="BV221" i="4"/>
  <c r="BV222" i="4"/>
  <c r="BV223" i="4"/>
  <c r="BV224" i="4"/>
  <c r="BV225" i="4"/>
  <c r="BV226" i="4"/>
  <c r="BV227" i="4"/>
  <c r="BV228" i="4"/>
  <c r="BV229" i="4"/>
  <c r="BV230" i="4"/>
  <c r="BV231" i="4"/>
  <c r="BV233" i="4"/>
  <c r="BV234" i="4"/>
  <c r="BV235" i="4"/>
  <c r="BV236" i="4"/>
  <c r="BV237" i="4"/>
  <c r="BV232" i="4"/>
  <c r="BV238" i="4"/>
  <c r="BV240" i="4"/>
  <c r="BV239" i="4"/>
  <c r="BV241" i="4"/>
  <c r="BV242" i="4"/>
  <c r="BV243" i="4"/>
  <c r="BV244" i="4"/>
  <c r="BV245" i="4"/>
  <c r="BV246" i="4"/>
  <c r="BV247" i="4"/>
  <c r="BV248" i="4"/>
  <c r="BV249" i="4"/>
  <c r="BV251" i="4"/>
  <c r="BV253" i="4"/>
  <c r="BV254" i="4"/>
  <c r="BV255" i="4"/>
  <c r="BV256" i="4"/>
  <c r="BV257" i="4"/>
  <c r="BV250" i="4"/>
  <c r="BV258" i="4"/>
  <c r="BV259" i="4"/>
  <c r="BV260" i="4"/>
  <c r="BV252" i="4"/>
  <c r="BV261" i="4"/>
  <c r="BV262" i="4"/>
  <c r="BV263" i="4"/>
  <c r="BV264" i="4"/>
  <c r="BV265" i="4"/>
  <c r="BV266" i="4"/>
  <c r="BV267" i="4"/>
  <c r="BV268" i="4"/>
  <c r="BV269" i="4"/>
  <c r="BV270" i="4"/>
  <c r="BV271" i="4"/>
  <c r="BV272" i="4"/>
  <c r="BV273" i="4"/>
  <c r="BV274" i="4"/>
  <c r="BV275" i="4"/>
  <c r="BV276" i="4"/>
  <c r="BV277" i="4"/>
  <c r="BV278" i="4"/>
  <c r="BV279" i="4"/>
  <c r="BV280" i="4"/>
  <c r="BV281" i="4"/>
  <c r="BV282" i="4"/>
  <c r="BV283" i="4"/>
  <c r="BV284" i="4"/>
  <c r="BV285" i="4"/>
  <c r="BV286" i="4"/>
  <c r="BV287" i="4"/>
  <c r="BV288" i="4"/>
  <c r="BV289" i="4"/>
  <c r="BV291" i="4"/>
  <c r="BV290" i="4"/>
  <c r="BV292" i="4"/>
  <c r="BV293" i="4"/>
  <c r="BV294" i="4"/>
  <c r="BV295" i="4"/>
  <c r="BV296" i="4"/>
  <c r="BV297" i="4"/>
  <c r="BV298" i="4"/>
  <c r="BV299" i="4"/>
  <c r="BV300" i="4"/>
  <c r="BV301" i="4"/>
  <c r="BV302" i="4"/>
  <c r="BV303" i="4"/>
  <c r="BV304" i="4"/>
  <c r="BV305" i="4"/>
  <c r="BV306" i="4"/>
  <c r="BV307" i="4"/>
  <c r="BV308" i="4"/>
  <c r="BV309" i="4"/>
  <c r="BV310" i="4"/>
  <c r="BV311" i="4"/>
  <c r="BV312" i="4"/>
  <c r="BV313" i="4"/>
  <c r="BV314" i="4"/>
  <c r="BV315" i="4"/>
  <c r="BV316" i="4"/>
  <c r="BV317" i="4"/>
  <c r="BV318" i="4"/>
  <c r="BV319" i="4"/>
  <c r="BV320" i="4"/>
  <c r="BV321" i="4"/>
  <c r="BV322" i="4"/>
  <c r="BV323" i="4"/>
  <c r="BV324" i="4"/>
  <c r="BV325" i="4"/>
  <c r="BV326" i="4"/>
  <c r="BV327" i="4"/>
  <c r="BV328" i="4"/>
  <c r="BV329" i="4"/>
  <c r="BV330" i="4"/>
  <c r="BV331" i="4"/>
  <c r="BV332" i="4"/>
  <c r="BV333" i="4"/>
  <c r="BV334" i="4"/>
  <c r="BV335" i="4"/>
  <c r="BV336" i="4"/>
  <c r="BV337" i="4"/>
  <c r="BV338" i="4"/>
  <c r="BV339" i="4"/>
  <c r="BV340" i="4"/>
  <c r="BV341" i="4"/>
  <c r="BV342" i="4"/>
  <c r="BV343" i="4"/>
  <c r="BV344" i="4"/>
  <c r="BV345" i="4"/>
  <c r="BV346" i="4"/>
  <c r="BV347" i="4"/>
  <c r="BV348" i="4"/>
  <c r="BV349" i="4"/>
  <c r="BV350" i="4"/>
  <c r="BV351" i="4"/>
  <c r="BV352" i="4"/>
  <c r="BV353" i="4"/>
  <c r="BV354" i="4"/>
  <c r="BV355" i="4"/>
  <c r="BV356" i="4"/>
  <c r="BV357" i="4"/>
  <c r="BV358" i="4"/>
  <c r="BV359" i="4"/>
  <c r="BV360" i="4"/>
  <c r="BV388" i="4"/>
  <c r="BV389" i="4"/>
  <c r="BV397" i="4"/>
  <c r="BV390" i="4"/>
  <c r="BV430" i="4"/>
  <c r="BV391" i="4"/>
  <c r="BV392" i="4"/>
  <c r="BV393" i="4"/>
  <c r="BV394" i="4"/>
  <c r="BV395" i="4"/>
  <c r="BV396" i="4"/>
  <c r="BV398" i="4"/>
  <c r="BV399" i="4"/>
  <c r="BV400" i="4"/>
  <c r="BV401" i="4"/>
  <c r="BV402" i="4"/>
  <c r="BV403" i="4"/>
  <c r="BV404" i="4"/>
  <c r="BV405" i="4"/>
  <c r="BV406" i="4"/>
  <c r="BV407" i="4"/>
  <c r="BV408" i="4"/>
  <c r="BV409" i="4"/>
  <c r="BV410" i="4"/>
  <c r="BV411" i="4"/>
  <c r="BV412" i="4"/>
  <c r="BV413" i="4"/>
  <c r="BV414" i="4"/>
  <c r="BV415" i="4"/>
  <c r="BV416" i="4"/>
  <c r="BV417" i="4"/>
  <c r="BV419" i="4"/>
  <c r="BV420" i="4"/>
  <c r="BV421" i="4"/>
  <c r="BV422" i="4"/>
  <c r="BV423" i="4"/>
  <c r="BV424" i="4"/>
  <c r="BV425" i="4"/>
  <c r="BV426" i="4"/>
  <c r="BV427" i="4"/>
  <c r="BV428" i="4"/>
  <c r="BV429" i="4"/>
  <c r="BV431" i="4"/>
  <c r="BV432" i="4"/>
  <c r="BV433" i="4"/>
  <c r="BV434" i="4"/>
  <c r="BV418" i="4"/>
  <c r="BV361" i="4"/>
  <c r="BV362" i="4"/>
  <c r="BV363" i="4"/>
  <c r="BV364" i="4"/>
  <c r="BV365" i="4"/>
  <c r="BV366" i="4"/>
  <c r="BV367" i="4"/>
  <c r="BV368" i="4"/>
  <c r="BV369" i="4"/>
  <c r="BV370" i="4"/>
  <c r="BV371" i="4"/>
  <c r="BV372" i="4"/>
  <c r="BV373" i="4"/>
  <c r="BV374" i="4"/>
  <c r="BV376" i="4"/>
  <c r="BV378" i="4"/>
  <c r="BV379" i="4"/>
  <c r="BV375" i="4"/>
  <c r="BV377" i="4"/>
  <c r="BV380" i="4"/>
  <c r="BV381" i="4"/>
  <c r="BV382" i="4"/>
  <c r="BV383" i="4"/>
  <c r="BV384" i="4"/>
  <c r="BV385" i="4"/>
  <c r="BV386" i="4"/>
  <c r="BV387" i="4"/>
  <c r="BV435" i="4"/>
  <c r="BV436" i="4"/>
  <c r="BV437" i="4"/>
  <c r="BV438" i="4"/>
  <c r="BV439" i="4"/>
  <c r="BV440" i="4"/>
  <c r="BV441" i="4"/>
  <c r="BV442" i="4"/>
  <c r="BV443" i="4"/>
  <c r="BV444" i="4"/>
  <c r="BV446" i="4"/>
  <c r="BV445" i="4"/>
  <c r="BV447" i="4"/>
  <c r="BV449" i="4"/>
  <c r="BV451" i="4"/>
  <c r="BV452" i="4"/>
  <c r="BV453" i="4"/>
  <c r="BV454" i="4"/>
  <c r="BV448" i="4"/>
  <c r="BV455" i="4"/>
  <c r="BV456" i="4"/>
  <c r="BV457" i="4"/>
  <c r="BV450" i="4"/>
  <c r="BV458" i="4"/>
  <c r="BV459" i="4"/>
  <c r="BV460" i="4"/>
  <c r="BV461" i="4"/>
  <c r="BV462" i="4"/>
  <c r="BV463" i="4"/>
  <c r="BV464" i="4"/>
  <c r="BV465" i="4"/>
  <c r="BV466" i="4"/>
  <c r="BV467" i="4"/>
  <c r="BV468" i="4"/>
  <c r="BV470" i="4"/>
  <c r="BV471" i="4"/>
  <c r="BV472" i="4"/>
  <c r="BV469" i="4"/>
  <c r="BV473" i="4"/>
  <c r="BV474" i="4"/>
  <c r="BV475" i="4"/>
  <c r="BV476" i="4"/>
  <c r="BV478" i="4"/>
  <c r="BV479" i="4"/>
  <c r="BV481" i="4"/>
  <c r="BV482" i="4"/>
  <c r="BV484" i="4"/>
  <c r="BV485" i="4"/>
  <c r="BV477" i="4"/>
  <c r="BV486" i="4"/>
  <c r="BV487" i="4"/>
  <c r="BV480" i="4"/>
  <c r="BV488" i="4"/>
  <c r="BV483" i="4"/>
  <c r="BV489" i="4"/>
  <c r="BV490" i="4"/>
  <c r="BV491" i="4"/>
  <c r="BV492" i="4"/>
  <c r="BV493" i="4"/>
  <c r="BV494" i="4"/>
  <c r="BV495" i="4"/>
  <c r="BV496" i="4"/>
  <c r="BV497" i="4"/>
  <c r="BV498" i="4"/>
  <c r="BV499" i="4"/>
  <c r="BV500" i="4"/>
  <c r="BV501" i="4"/>
  <c r="BV502" i="4"/>
  <c r="BV503" i="4"/>
  <c r="BV504" i="4"/>
  <c r="BV505" i="4"/>
  <c r="BV506" i="4"/>
  <c r="BV507" i="4"/>
  <c r="BV508" i="4"/>
  <c r="BV509" i="4"/>
  <c r="BV510" i="4"/>
  <c r="BV511" i="4"/>
  <c r="BV512" i="4"/>
  <c r="BV513" i="4"/>
  <c r="BV514" i="4"/>
  <c r="BV515" i="4"/>
  <c r="BV516" i="4"/>
  <c r="BV517" i="4"/>
  <c r="BV518" i="4"/>
  <c r="BV519" i="4"/>
  <c r="BV520" i="4"/>
  <c r="BV521" i="4"/>
  <c r="BV522" i="4"/>
  <c r="BV523" i="4"/>
  <c r="BV524" i="4"/>
  <c r="BV525" i="4"/>
  <c r="BV526" i="4"/>
  <c r="BV527" i="4"/>
  <c r="BV528" i="4"/>
  <c r="BV529" i="4"/>
  <c r="BV530" i="4"/>
  <c r="BV531" i="4"/>
  <c r="BV532" i="4"/>
  <c r="BV533" i="4"/>
  <c r="BV534" i="4"/>
  <c r="BV535" i="4"/>
  <c r="BV536" i="4"/>
  <c r="BV537" i="4"/>
  <c r="BV538" i="4"/>
  <c r="BV539" i="4"/>
  <c r="BV540" i="4"/>
  <c r="BV541" i="4"/>
  <c r="BV542" i="4"/>
  <c r="BV544" i="4"/>
  <c r="BV545" i="4"/>
  <c r="BV546" i="4"/>
  <c r="BV547" i="4"/>
  <c r="BV543" i="4"/>
  <c r="BV548" i="4"/>
  <c r="BV549" i="4"/>
  <c r="BV550" i="4"/>
  <c r="BV551" i="4"/>
  <c r="BV552" i="4"/>
  <c r="BV553" i="4"/>
  <c r="BV554" i="4"/>
  <c r="BV555" i="4"/>
  <c r="BV556" i="4"/>
  <c r="BV557" i="4"/>
  <c r="BV558" i="4"/>
  <c r="BV559" i="4"/>
  <c r="BV560" i="4"/>
  <c r="BV561" i="4"/>
  <c r="BV562" i="4"/>
  <c r="BV563" i="4"/>
  <c r="BV564" i="4"/>
  <c r="BV566" i="4"/>
  <c r="BV567" i="4"/>
  <c r="BV568" i="4"/>
  <c r="BV569" i="4"/>
  <c r="BV570" i="4"/>
  <c r="BV571" i="4"/>
  <c r="BV572" i="4"/>
  <c r="BV573" i="4"/>
  <c r="BV574" i="4"/>
  <c r="BV575" i="4"/>
  <c r="BV576" i="4"/>
  <c r="BV577" i="4"/>
  <c r="BV578" i="4"/>
  <c r="BV579" i="4"/>
  <c r="BV580" i="4"/>
  <c r="BV583" i="4"/>
  <c r="BV584" i="4"/>
  <c r="BV585" i="4"/>
  <c r="BV586" i="4"/>
  <c r="BV587" i="4"/>
  <c r="BV588" i="4"/>
  <c r="BV565" i="4"/>
  <c r="BV593" i="4"/>
  <c r="BV594" i="4"/>
  <c r="BV595" i="4"/>
  <c r="BV597" i="4"/>
  <c r="BV598" i="4"/>
  <c r="BV599" i="4"/>
  <c r="BV600" i="4"/>
  <c r="BV601" i="4"/>
  <c r="BV602" i="4"/>
  <c r="BV581" i="4"/>
  <c r="BV582" i="4"/>
  <c r="BV603" i="4"/>
  <c r="BV604" i="4"/>
  <c r="BV605" i="4"/>
  <c r="BV606" i="4"/>
  <c r="BV607" i="4"/>
  <c r="BV608" i="4"/>
  <c r="BV609" i="4"/>
  <c r="BV610" i="4"/>
  <c r="BV611" i="4"/>
  <c r="BV612" i="4"/>
  <c r="BV596" i="4"/>
  <c r="BV613" i="4"/>
  <c r="BV614" i="4"/>
  <c r="BV615" i="4"/>
  <c r="BV616" i="4"/>
  <c r="BV617" i="4"/>
  <c r="BV618" i="4"/>
  <c r="BV620" i="4"/>
  <c r="BV621" i="4"/>
  <c r="BV619" i="4"/>
  <c r="BV622" i="4"/>
  <c r="BV623" i="4"/>
  <c r="BV624" i="4"/>
  <c r="BV625" i="4"/>
  <c r="BV626" i="4"/>
  <c r="BV627" i="4"/>
  <c r="BV628" i="4"/>
  <c r="BV629" i="4"/>
  <c r="BV630" i="4"/>
  <c r="BV631" i="4"/>
  <c r="BV632" i="4"/>
  <c r="BV633" i="4"/>
  <c r="BV634" i="4"/>
  <c r="BV635" i="4"/>
  <c r="BV636" i="4"/>
  <c r="BV637" i="4"/>
  <c r="BV638" i="4"/>
  <c r="BV639" i="4"/>
  <c r="BV640" i="4"/>
  <c r="BV641" i="4"/>
  <c r="BV642" i="4"/>
  <c r="BV643" i="4"/>
  <c r="BV644" i="4"/>
  <c r="BV645" i="4"/>
  <c r="BV646" i="4"/>
  <c r="BV648" i="4"/>
  <c r="BV649" i="4"/>
  <c r="BV650" i="4"/>
  <c r="BV651" i="4"/>
  <c r="BV653" i="4"/>
  <c r="BV654" i="4"/>
  <c r="BV655" i="4"/>
  <c r="BV647" i="4"/>
  <c r="BV656" i="4"/>
  <c r="BV657" i="4"/>
  <c r="BV659" i="4"/>
  <c r="BV652" i="4"/>
  <c r="BV658" i="4"/>
  <c r="BV660" i="4"/>
  <c r="BV661" i="4"/>
  <c r="BV662" i="4"/>
  <c r="BV663" i="4"/>
  <c r="BV664" i="4"/>
  <c r="BV665" i="4"/>
  <c r="BV666" i="4"/>
  <c r="BV667" i="4"/>
  <c r="BV668" i="4"/>
  <c r="BV669" i="4"/>
  <c r="BV670" i="4"/>
  <c r="BV671" i="4"/>
  <c r="BV672" i="4"/>
  <c r="BV674" i="4"/>
  <c r="BV675" i="4"/>
  <c r="BV676" i="4"/>
  <c r="BV677" i="4"/>
  <c r="BV678" i="4"/>
  <c r="BV679" i="4"/>
  <c r="BV680" i="4"/>
  <c r="BV681" i="4"/>
  <c r="BV673" i="4"/>
  <c r="BV102" i="4"/>
  <c r="BV103" i="4"/>
  <c r="BV104" i="4"/>
  <c r="BV96" i="4"/>
  <c r="BV97" i="4"/>
  <c r="BV98" i="4"/>
  <c r="BV105" i="4"/>
  <c r="BV122" i="4"/>
  <c r="BV117" i="4"/>
  <c r="BV106" i="4"/>
  <c r="BV107" i="4"/>
  <c r="BV118" i="4"/>
  <c r="BV119" i="4"/>
  <c r="BV114" i="4"/>
  <c r="BV99" i="4"/>
  <c r="BV123" i="4"/>
  <c r="BV100" i="4"/>
  <c r="BV108" i="4"/>
  <c r="BV109" i="4"/>
  <c r="BV110" i="4"/>
  <c r="BV111" i="4"/>
  <c r="BV121" i="4"/>
  <c r="BV101" i="4"/>
  <c r="BV112" i="4"/>
  <c r="BV113" i="4"/>
  <c r="BV120" i="4"/>
  <c r="BV115" i="4"/>
  <c r="BV116" i="4"/>
  <c r="BS52" i="4"/>
  <c r="BS53" i="4"/>
  <c r="BS54" i="4"/>
  <c r="BS55" i="4"/>
  <c r="BS56" i="4"/>
  <c r="BS57" i="4"/>
  <c r="BS59" i="4"/>
  <c r="BS60" i="4"/>
  <c r="BS61" i="4"/>
  <c r="BS58" i="4"/>
  <c r="BS62" i="4"/>
  <c r="BS63" i="4"/>
  <c r="BS64" i="4"/>
  <c r="BS65" i="4"/>
  <c r="BS67" i="4"/>
  <c r="BS68" i="4"/>
  <c r="BS69" i="4"/>
  <c r="BS70" i="4"/>
  <c r="BS66" i="4"/>
  <c r="BS71" i="4"/>
  <c r="BS72" i="4"/>
  <c r="BS73" i="4"/>
  <c r="BS74" i="4"/>
  <c r="BS75" i="4"/>
  <c r="BS76" i="4"/>
  <c r="BS77" i="4"/>
  <c r="BS78" i="4"/>
  <c r="BS79" i="4"/>
  <c r="BS80" i="4"/>
  <c r="BS81" i="4"/>
  <c r="BS83" i="4"/>
  <c r="BS82" i="4"/>
  <c r="BS84" i="4"/>
  <c r="BS85" i="4"/>
  <c r="BS86" i="4"/>
  <c r="BS87" i="4"/>
  <c r="BS88" i="4"/>
  <c r="BS89" i="4"/>
  <c r="BS90" i="4"/>
  <c r="BS91" i="4"/>
  <c r="BS92" i="4"/>
  <c r="BS93" i="4"/>
  <c r="BS94" i="4"/>
  <c r="BS95" i="4"/>
  <c r="BS124" i="4"/>
  <c r="BS125" i="4"/>
  <c r="BS126" i="4"/>
  <c r="BS127" i="4"/>
  <c r="BS128" i="4"/>
  <c r="BS129" i="4"/>
  <c r="BS130" i="4"/>
  <c r="BS131" i="4"/>
  <c r="BS132" i="4"/>
  <c r="BS133" i="4"/>
  <c r="BS134" i="4"/>
  <c r="BS135" i="4"/>
  <c r="BS137" i="4"/>
  <c r="BS138" i="4"/>
  <c r="BS139" i="4"/>
  <c r="BS140" i="4"/>
  <c r="BS136" i="4"/>
  <c r="BS142" i="4"/>
  <c r="BS143" i="4"/>
  <c r="BS144" i="4"/>
  <c r="BS146" i="4"/>
  <c r="BS147" i="4"/>
  <c r="BS149" i="4"/>
  <c r="BS150" i="4"/>
  <c r="BS151" i="4"/>
  <c r="BS153" i="4"/>
  <c r="BS145" i="4"/>
  <c r="BS154" i="4"/>
  <c r="BS148" i="4"/>
  <c r="BS152" i="4"/>
  <c r="BS155" i="4"/>
  <c r="BS156" i="4"/>
  <c r="BS141" i="4"/>
  <c r="BS157" i="4"/>
  <c r="BS158" i="4"/>
  <c r="BS159" i="4"/>
  <c r="BS160" i="4"/>
  <c r="BS161" i="4"/>
  <c r="BS162" i="4"/>
  <c r="BS163" i="4"/>
  <c r="BS164" i="4"/>
  <c r="BS165" i="4"/>
  <c r="BS166" i="4"/>
  <c r="BS167" i="4"/>
  <c r="BS168" i="4"/>
  <c r="BS169" i="4"/>
  <c r="BS170" i="4"/>
  <c r="BS171" i="4"/>
  <c r="BS172" i="4"/>
  <c r="BS173" i="4"/>
  <c r="BS174" i="4"/>
  <c r="BS175" i="4"/>
  <c r="BS176" i="4"/>
  <c r="BS177" i="4"/>
  <c r="BS178" i="4"/>
  <c r="BS179" i="4"/>
  <c r="BS180" i="4"/>
  <c r="BS181" i="4"/>
  <c r="BS185" i="4"/>
  <c r="BS187" i="4"/>
  <c r="BS188" i="4"/>
  <c r="BS190" i="4"/>
  <c r="BS191" i="4"/>
  <c r="BS192" i="4"/>
  <c r="BS193" i="4"/>
  <c r="BS194" i="4"/>
  <c r="BS196" i="4"/>
  <c r="BS197" i="4"/>
  <c r="BS198" i="4"/>
  <c r="BS199" i="4"/>
  <c r="BS200" i="4"/>
  <c r="BS201" i="4"/>
  <c r="BS202" i="4"/>
  <c r="BS203" i="4"/>
  <c r="BS195" i="4"/>
  <c r="BS204" i="4"/>
  <c r="BS205" i="4"/>
  <c r="BS206" i="4"/>
  <c r="BS207" i="4"/>
  <c r="BS208" i="4"/>
  <c r="BS209" i="4"/>
  <c r="BS210" i="4"/>
  <c r="BS211" i="4"/>
  <c r="BS212" i="4"/>
  <c r="BS213" i="4"/>
  <c r="BS214" i="4"/>
  <c r="BS215" i="4"/>
  <c r="BS216" i="4"/>
  <c r="BS217" i="4"/>
  <c r="BS218" i="4"/>
  <c r="BS219" i="4"/>
  <c r="BS220" i="4"/>
  <c r="BS221" i="4"/>
  <c r="BS222" i="4"/>
  <c r="BS223" i="4"/>
  <c r="BS224" i="4"/>
  <c r="BS225" i="4"/>
  <c r="BS226" i="4"/>
  <c r="BS227" i="4"/>
  <c r="BS228" i="4"/>
  <c r="BS229" i="4"/>
  <c r="BS230" i="4"/>
  <c r="BS231" i="4"/>
  <c r="BS233" i="4"/>
  <c r="BS234" i="4"/>
  <c r="BS235" i="4"/>
  <c r="BS236" i="4"/>
  <c r="BS237" i="4"/>
  <c r="BS232" i="4"/>
  <c r="BS238" i="4"/>
  <c r="BS240" i="4"/>
  <c r="BS239" i="4"/>
  <c r="BS241" i="4"/>
  <c r="BS242" i="4"/>
  <c r="BS243" i="4"/>
  <c r="BS244" i="4"/>
  <c r="BS245" i="4"/>
  <c r="BS246" i="4"/>
  <c r="BS247" i="4"/>
  <c r="BS248" i="4"/>
  <c r="BS249" i="4"/>
  <c r="BS251" i="4"/>
  <c r="BS253" i="4"/>
  <c r="BS254" i="4"/>
  <c r="BS255" i="4"/>
  <c r="BS256" i="4"/>
  <c r="BS257" i="4"/>
  <c r="BS250" i="4"/>
  <c r="BS258" i="4"/>
  <c r="BS259" i="4"/>
  <c r="BS260" i="4"/>
  <c r="BS252" i="4"/>
  <c r="BS261" i="4"/>
  <c r="BS262" i="4"/>
  <c r="BS263" i="4"/>
  <c r="BS264" i="4"/>
  <c r="BS265" i="4"/>
  <c r="BS266" i="4"/>
  <c r="BS267" i="4"/>
  <c r="BS268" i="4"/>
  <c r="BS269" i="4"/>
  <c r="BS270" i="4"/>
  <c r="BS271" i="4"/>
  <c r="BS272" i="4"/>
  <c r="BS273" i="4"/>
  <c r="BS274" i="4"/>
  <c r="BS275" i="4"/>
  <c r="BS276" i="4"/>
  <c r="BS277" i="4"/>
  <c r="BS278" i="4"/>
  <c r="BS279" i="4"/>
  <c r="BS280" i="4"/>
  <c r="BS281" i="4"/>
  <c r="BS282" i="4"/>
  <c r="BS283" i="4"/>
  <c r="BS284" i="4"/>
  <c r="BS285" i="4"/>
  <c r="BS286" i="4"/>
  <c r="BS287" i="4"/>
  <c r="BS288" i="4"/>
  <c r="BS289" i="4"/>
  <c r="BS291" i="4"/>
  <c r="BS290" i="4"/>
  <c r="BS292" i="4"/>
  <c r="BS293" i="4"/>
  <c r="BS294" i="4"/>
  <c r="BS295" i="4"/>
  <c r="BS296" i="4"/>
  <c r="BS297" i="4"/>
  <c r="BS298" i="4"/>
  <c r="BS299" i="4"/>
  <c r="BS300" i="4"/>
  <c r="BS301" i="4"/>
  <c r="BS302" i="4"/>
  <c r="BS303" i="4"/>
  <c r="BS304" i="4"/>
  <c r="BS305" i="4"/>
  <c r="BS306" i="4"/>
  <c r="BS307" i="4"/>
  <c r="BS308" i="4"/>
  <c r="BS309" i="4"/>
  <c r="BS310" i="4"/>
  <c r="BS311" i="4"/>
  <c r="BS312" i="4"/>
  <c r="BS313" i="4"/>
  <c r="BS314" i="4"/>
  <c r="BS315" i="4"/>
  <c r="BS316" i="4"/>
  <c r="BS317" i="4"/>
  <c r="BS318" i="4"/>
  <c r="BS319" i="4"/>
  <c r="BS320" i="4"/>
  <c r="BS321" i="4"/>
  <c r="BS322" i="4"/>
  <c r="BS323" i="4"/>
  <c r="BS324" i="4"/>
  <c r="BS325" i="4"/>
  <c r="BS326" i="4"/>
  <c r="BS327" i="4"/>
  <c r="BS328" i="4"/>
  <c r="BS329" i="4"/>
  <c r="BS330" i="4"/>
  <c r="BS331" i="4"/>
  <c r="BS332" i="4"/>
  <c r="BS333" i="4"/>
  <c r="BS334" i="4"/>
  <c r="BS335" i="4"/>
  <c r="BS336" i="4"/>
  <c r="BS337" i="4"/>
  <c r="BS338" i="4"/>
  <c r="BS339" i="4"/>
  <c r="BS340" i="4"/>
  <c r="BS341" i="4"/>
  <c r="BS342" i="4"/>
  <c r="BS343" i="4"/>
  <c r="BS344" i="4"/>
  <c r="BS345" i="4"/>
  <c r="BS346" i="4"/>
  <c r="BS347" i="4"/>
  <c r="BS348" i="4"/>
  <c r="BS349" i="4"/>
  <c r="BS350" i="4"/>
  <c r="BS351" i="4"/>
  <c r="BS352" i="4"/>
  <c r="BS353" i="4"/>
  <c r="BS354" i="4"/>
  <c r="BS355" i="4"/>
  <c r="BS356" i="4"/>
  <c r="BS357" i="4"/>
  <c r="BS358" i="4"/>
  <c r="BS359" i="4"/>
  <c r="BS360" i="4"/>
  <c r="BS388" i="4"/>
  <c r="BS389" i="4"/>
  <c r="BS397" i="4"/>
  <c r="BS390" i="4"/>
  <c r="BS430" i="4"/>
  <c r="BS391" i="4"/>
  <c r="BS392" i="4"/>
  <c r="BS393" i="4"/>
  <c r="BS394" i="4"/>
  <c r="BS395" i="4"/>
  <c r="BS396" i="4"/>
  <c r="BS398" i="4"/>
  <c r="BS399" i="4"/>
  <c r="BS400" i="4"/>
  <c r="BS401" i="4"/>
  <c r="BS402" i="4"/>
  <c r="BS403" i="4"/>
  <c r="BS404" i="4"/>
  <c r="BS405" i="4"/>
  <c r="BS406" i="4"/>
  <c r="BS407" i="4"/>
  <c r="BS408" i="4"/>
  <c r="BS409" i="4"/>
  <c r="BS410" i="4"/>
  <c r="BS411" i="4"/>
  <c r="BS412" i="4"/>
  <c r="BS413" i="4"/>
  <c r="BS414" i="4"/>
  <c r="BS415" i="4"/>
  <c r="BS416" i="4"/>
  <c r="BS417" i="4"/>
  <c r="BS419" i="4"/>
  <c r="BS420" i="4"/>
  <c r="BS421" i="4"/>
  <c r="BS422" i="4"/>
  <c r="BS423" i="4"/>
  <c r="BS424" i="4"/>
  <c r="BS425" i="4"/>
  <c r="BS426" i="4"/>
  <c r="BS427" i="4"/>
  <c r="BS428" i="4"/>
  <c r="BS429" i="4"/>
  <c r="BS431" i="4"/>
  <c r="BS432" i="4"/>
  <c r="BS433" i="4"/>
  <c r="BS434" i="4"/>
  <c r="BS418" i="4"/>
  <c r="BS361" i="4"/>
  <c r="BS362" i="4"/>
  <c r="BS363" i="4"/>
  <c r="BS364" i="4"/>
  <c r="BS365" i="4"/>
  <c r="BS366" i="4"/>
  <c r="BS367" i="4"/>
  <c r="BS368" i="4"/>
  <c r="BS369" i="4"/>
  <c r="BS370" i="4"/>
  <c r="BS371" i="4"/>
  <c r="BS372" i="4"/>
  <c r="BS373" i="4"/>
  <c r="BS374" i="4"/>
  <c r="BS376" i="4"/>
  <c r="BS378" i="4"/>
  <c r="BS379" i="4"/>
  <c r="BS375" i="4"/>
  <c r="BS377" i="4"/>
  <c r="BS380" i="4"/>
  <c r="BS381" i="4"/>
  <c r="BS382" i="4"/>
  <c r="BS383" i="4"/>
  <c r="BS384" i="4"/>
  <c r="BS385" i="4"/>
  <c r="BS386" i="4"/>
  <c r="BS387" i="4"/>
  <c r="BS435" i="4"/>
  <c r="BS436" i="4"/>
  <c r="BS437" i="4"/>
  <c r="BS438" i="4"/>
  <c r="BS439" i="4"/>
  <c r="BS440" i="4"/>
  <c r="BS441" i="4"/>
  <c r="BS442" i="4"/>
  <c r="BS443" i="4"/>
  <c r="BS444" i="4"/>
  <c r="BS446" i="4"/>
  <c r="BS445" i="4"/>
  <c r="BS447" i="4"/>
  <c r="BS449" i="4"/>
  <c r="BS451" i="4"/>
  <c r="BS452" i="4"/>
  <c r="BS453" i="4"/>
  <c r="BS454" i="4"/>
  <c r="BS448" i="4"/>
  <c r="BS455" i="4"/>
  <c r="BS456" i="4"/>
  <c r="BS457" i="4"/>
  <c r="BS450" i="4"/>
  <c r="BS458" i="4"/>
  <c r="BS459" i="4"/>
  <c r="BS460" i="4"/>
  <c r="BS461" i="4"/>
  <c r="BS462" i="4"/>
  <c r="BS463" i="4"/>
  <c r="BS464" i="4"/>
  <c r="BS465" i="4"/>
  <c r="BS466" i="4"/>
  <c r="BS467" i="4"/>
  <c r="BS468" i="4"/>
  <c r="BS470" i="4"/>
  <c r="BS471" i="4"/>
  <c r="BS472" i="4"/>
  <c r="BS469" i="4"/>
  <c r="BS473" i="4"/>
  <c r="BS474" i="4"/>
  <c r="BS475" i="4"/>
  <c r="BS476" i="4"/>
  <c r="BS478" i="4"/>
  <c r="BS479" i="4"/>
  <c r="BS481" i="4"/>
  <c r="BS482" i="4"/>
  <c r="BS484" i="4"/>
  <c r="BS485" i="4"/>
  <c r="BS477" i="4"/>
  <c r="BS486" i="4"/>
  <c r="BS487" i="4"/>
  <c r="BS480" i="4"/>
  <c r="BS488" i="4"/>
  <c r="BS483" i="4"/>
  <c r="BS489" i="4"/>
  <c r="BS490" i="4"/>
  <c r="BS491" i="4"/>
  <c r="BS492" i="4"/>
  <c r="BS493" i="4"/>
  <c r="BS494" i="4"/>
  <c r="BS495" i="4"/>
  <c r="BS496" i="4"/>
  <c r="BS497" i="4"/>
  <c r="BS498" i="4"/>
  <c r="BS499" i="4"/>
  <c r="BS500" i="4"/>
  <c r="BS501" i="4"/>
  <c r="BS502" i="4"/>
  <c r="BS503" i="4"/>
  <c r="BS504" i="4"/>
  <c r="BS505" i="4"/>
  <c r="BS506" i="4"/>
  <c r="BS507" i="4"/>
  <c r="BS508" i="4"/>
  <c r="BS509" i="4"/>
  <c r="BS510" i="4"/>
  <c r="BS511" i="4"/>
  <c r="BS512" i="4"/>
  <c r="BS513" i="4"/>
  <c r="BS514" i="4"/>
  <c r="BS515" i="4"/>
  <c r="BS516" i="4"/>
  <c r="BS517" i="4"/>
  <c r="BS518" i="4"/>
  <c r="BS519" i="4"/>
  <c r="BS520" i="4"/>
  <c r="BS521" i="4"/>
  <c r="BS522" i="4"/>
  <c r="BS523" i="4"/>
  <c r="BS524" i="4"/>
  <c r="BS525" i="4"/>
  <c r="BS526" i="4"/>
  <c r="BS527" i="4"/>
  <c r="BS528" i="4"/>
  <c r="BS529" i="4"/>
  <c r="BS530" i="4"/>
  <c r="BS531" i="4"/>
  <c r="BS532" i="4"/>
  <c r="BS533" i="4"/>
  <c r="BS534" i="4"/>
  <c r="BS535" i="4"/>
  <c r="BS536" i="4"/>
  <c r="BS537" i="4"/>
  <c r="BS538" i="4"/>
  <c r="BS539" i="4"/>
  <c r="BS540" i="4"/>
  <c r="BS541" i="4"/>
  <c r="BS542" i="4"/>
  <c r="BS544" i="4"/>
  <c r="BS545" i="4"/>
  <c r="BS546" i="4"/>
  <c r="BS547" i="4"/>
  <c r="BS543" i="4"/>
  <c r="BS548" i="4"/>
  <c r="BS549" i="4"/>
  <c r="BS550" i="4"/>
  <c r="BS551" i="4"/>
  <c r="BS552" i="4"/>
  <c r="BS553" i="4"/>
  <c r="BS554" i="4"/>
  <c r="BS555" i="4"/>
  <c r="BS556" i="4"/>
  <c r="BS557" i="4"/>
  <c r="BS558" i="4"/>
  <c r="BS559" i="4"/>
  <c r="BS560" i="4"/>
  <c r="BS561" i="4"/>
  <c r="BS562" i="4"/>
  <c r="BS563" i="4"/>
  <c r="BS564" i="4"/>
  <c r="BS566" i="4"/>
  <c r="BS567" i="4"/>
  <c r="BS568" i="4"/>
  <c r="BS569" i="4"/>
  <c r="BS570" i="4"/>
  <c r="BS571" i="4"/>
  <c r="BS572" i="4"/>
  <c r="BS573" i="4"/>
  <c r="BS574" i="4"/>
  <c r="BS575" i="4"/>
  <c r="BS576" i="4"/>
  <c r="BS577" i="4"/>
  <c r="BS578" i="4"/>
  <c r="BS579" i="4"/>
  <c r="BS580" i="4"/>
  <c r="BS583" i="4"/>
  <c r="BS584" i="4"/>
  <c r="BS585" i="4"/>
  <c r="BS586" i="4"/>
  <c r="BS587" i="4"/>
  <c r="BS588" i="4"/>
  <c r="BS589" i="4"/>
  <c r="BS590" i="4"/>
  <c r="BS591" i="4"/>
  <c r="BS592" i="4"/>
  <c r="BS565" i="4"/>
  <c r="BS593" i="4"/>
  <c r="BS594" i="4"/>
  <c r="BS595" i="4"/>
  <c r="BS597" i="4"/>
  <c r="BS598" i="4"/>
  <c r="BS599" i="4"/>
  <c r="BS600" i="4"/>
  <c r="BS601" i="4"/>
  <c r="BS602" i="4"/>
  <c r="BS581" i="4"/>
  <c r="BS582" i="4"/>
  <c r="BS603" i="4"/>
  <c r="BS604" i="4"/>
  <c r="BS605" i="4"/>
  <c r="BS606" i="4"/>
  <c r="BS607" i="4"/>
  <c r="BS608" i="4"/>
  <c r="BS609" i="4"/>
  <c r="BS610" i="4"/>
  <c r="BS611" i="4"/>
  <c r="BS612" i="4"/>
  <c r="BS596" i="4"/>
  <c r="BS613" i="4"/>
  <c r="BS614" i="4"/>
  <c r="BS615" i="4"/>
  <c r="BS616" i="4"/>
  <c r="BS617" i="4"/>
  <c r="BS618" i="4"/>
  <c r="BS620" i="4"/>
  <c r="BS621" i="4"/>
  <c r="BS619" i="4"/>
  <c r="BS622" i="4"/>
  <c r="BS623" i="4"/>
  <c r="BS624" i="4"/>
  <c r="BS625" i="4"/>
  <c r="BS626" i="4"/>
  <c r="BS627" i="4"/>
  <c r="BS628" i="4"/>
  <c r="BS629" i="4"/>
  <c r="BS630" i="4"/>
  <c r="BS631" i="4"/>
  <c r="BS632" i="4"/>
  <c r="BS633" i="4"/>
  <c r="BS634" i="4"/>
  <c r="BS635" i="4"/>
  <c r="BS636" i="4"/>
  <c r="BS637" i="4"/>
  <c r="BS638" i="4"/>
  <c r="BS639" i="4"/>
  <c r="BS640" i="4"/>
  <c r="BS641" i="4"/>
  <c r="BS642" i="4"/>
  <c r="BS643" i="4"/>
  <c r="BS644" i="4"/>
  <c r="BS645" i="4"/>
  <c r="BS646" i="4"/>
  <c r="BS648" i="4"/>
  <c r="BS649" i="4"/>
  <c r="BS650" i="4"/>
  <c r="BS651" i="4"/>
  <c r="BS653" i="4"/>
  <c r="BS654" i="4"/>
  <c r="BS655" i="4"/>
  <c r="BS647" i="4"/>
  <c r="BS656" i="4"/>
  <c r="BS657" i="4"/>
  <c r="BS659" i="4"/>
  <c r="BS652" i="4"/>
  <c r="BS658" i="4"/>
  <c r="BS660" i="4"/>
  <c r="BS661" i="4"/>
  <c r="BS662" i="4"/>
  <c r="BS663" i="4"/>
  <c r="BS664" i="4"/>
  <c r="BS665" i="4"/>
  <c r="BS666" i="4"/>
  <c r="BS667" i="4"/>
  <c r="BS668" i="4"/>
  <c r="BS669" i="4"/>
  <c r="BS670" i="4"/>
  <c r="BS671" i="4"/>
  <c r="BS672" i="4"/>
  <c r="BS674" i="4"/>
  <c r="BS675" i="4"/>
  <c r="BS676" i="4"/>
  <c r="BS677" i="4"/>
  <c r="BS678" i="4"/>
  <c r="BS679" i="4"/>
  <c r="BS680" i="4"/>
  <c r="BS681" i="4"/>
  <c r="BS673" i="4"/>
  <c r="BS102" i="4"/>
  <c r="BS103" i="4"/>
  <c r="BS104" i="4"/>
  <c r="BS96" i="4"/>
  <c r="BS97" i="4"/>
  <c r="BS98" i="4"/>
  <c r="BS105" i="4"/>
  <c r="BS122" i="4"/>
  <c r="BS117" i="4"/>
  <c r="BS106" i="4"/>
  <c r="BS107" i="4"/>
  <c r="BS118" i="4"/>
  <c r="BS119" i="4"/>
  <c r="BS114" i="4"/>
  <c r="BS99" i="4"/>
  <c r="BS123" i="4"/>
  <c r="BS100" i="4"/>
  <c r="BS108" i="4"/>
  <c r="BS109" i="4"/>
  <c r="BS110" i="4"/>
  <c r="BS111" i="4"/>
  <c r="BS121" i="4"/>
  <c r="BS101" i="4"/>
  <c r="BS112" i="4"/>
  <c r="BS113" i="4"/>
  <c r="BS120" i="4"/>
  <c r="BS115" i="4"/>
  <c r="BS116" i="4"/>
  <c r="BP52" i="4"/>
  <c r="BP53" i="4"/>
  <c r="BP54" i="4"/>
  <c r="BP55" i="4"/>
  <c r="BP56" i="4"/>
  <c r="BP57" i="4"/>
  <c r="BP59" i="4"/>
  <c r="BP60" i="4"/>
  <c r="BP61" i="4"/>
  <c r="BP58" i="4"/>
  <c r="BP62" i="4"/>
  <c r="BP63" i="4"/>
  <c r="BP64" i="4"/>
  <c r="BP65" i="4"/>
  <c r="BP67" i="4"/>
  <c r="BP68" i="4"/>
  <c r="BP69" i="4"/>
  <c r="BP70" i="4"/>
  <c r="BP66" i="4"/>
  <c r="BP71" i="4"/>
  <c r="BP72" i="4"/>
  <c r="BP73" i="4"/>
  <c r="BP74" i="4"/>
  <c r="BP75" i="4"/>
  <c r="BP76" i="4"/>
  <c r="BP77" i="4"/>
  <c r="BP78" i="4"/>
  <c r="BP79" i="4"/>
  <c r="BP80" i="4"/>
  <c r="BP81" i="4"/>
  <c r="BP83" i="4"/>
  <c r="BP82" i="4"/>
  <c r="BP84" i="4"/>
  <c r="BP85" i="4"/>
  <c r="BP86" i="4"/>
  <c r="BP87" i="4"/>
  <c r="BP88" i="4"/>
  <c r="BP89" i="4"/>
  <c r="BP90" i="4"/>
  <c r="BP91" i="4"/>
  <c r="BP92" i="4"/>
  <c r="BP93" i="4"/>
  <c r="BP94" i="4"/>
  <c r="BP95" i="4"/>
  <c r="BP124" i="4"/>
  <c r="BP125" i="4"/>
  <c r="BP126" i="4"/>
  <c r="BP127" i="4"/>
  <c r="BP128" i="4"/>
  <c r="BP129" i="4"/>
  <c r="BP130" i="4"/>
  <c r="BP131" i="4"/>
  <c r="BP132" i="4"/>
  <c r="BP133" i="4"/>
  <c r="BP134" i="4"/>
  <c r="BP135" i="4"/>
  <c r="BP137" i="4"/>
  <c r="BP138" i="4"/>
  <c r="BP139" i="4"/>
  <c r="BP140" i="4"/>
  <c r="BP136" i="4"/>
  <c r="BP142" i="4"/>
  <c r="BP143" i="4"/>
  <c r="BP144" i="4"/>
  <c r="BP146" i="4"/>
  <c r="BP147" i="4"/>
  <c r="BP149" i="4"/>
  <c r="BP150" i="4"/>
  <c r="BP151" i="4"/>
  <c r="BP153" i="4"/>
  <c r="BP145" i="4"/>
  <c r="BP154" i="4"/>
  <c r="BP148" i="4"/>
  <c r="BP152" i="4"/>
  <c r="BP155" i="4"/>
  <c r="BP156" i="4"/>
  <c r="BP141" i="4"/>
  <c r="BP157" i="4"/>
  <c r="BP158" i="4"/>
  <c r="BP159" i="4"/>
  <c r="BP160" i="4"/>
  <c r="BP161" i="4"/>
  <c r="BP162" i="4"/>
  <c r="BP163" i="4"/>
  <c r="BP164" i="4"/>
  <c r="BP165" i="4"/>
  <c r="BP166" i="4"/>
  <c r="BP167" i="4"/>
  <c r="BP168" i="4"/>
  <c r="BP169" i="4"/>
  <c r="BP170" i="4"/>
  <c r="BP171" i="4"/>
  <c r="BP172" i="4"/>
  <c r="BP173" i="4"/>
  <c r="BP174" i="4"/>
  <c r="BP175" i="4"/>
  <c r="BP176" i="4"/>
  <c r="BP177" i="4"/>
  <c r="BP178" i="4"/>
  <c r="BP179" i="4"/>
  <c r="BP180" i="4"/>
  <c r="BP181" i="4"/>
  <c r="BP182" i="4"/>
  <c r="BP183" i="4"/>
  <c r="BP184" i="4"/>
  <c r="BP185" i="4"/>
  <c r="BP186" i="4"/>
  <c r="BP187" i="4"/>
  <c r="BP188" i="4"/>
  <c r="BP189" i="4"/>
  <c r="BP190" i="4"/>
  <c r="BP191" i="4"/>
  <c r="BP192" i="4"/>
  <c r="BP193" i="4"/>
  <c r="BP194" i="4"/>
  <c r="BP196" i="4"/>
  <c r="BP197" i="4"/>
  <c r="BP198" i="4"/>
  <c r="BP199" i="4"/>
  <c r="BP200" i="4"/>
  <c r="BP201" i="4"/>
  <c r="BP202" i="4"/>
  <c r="BP203" i="4"/>
  <c r="BP195" i="4"/>
  <c r="BP204" i="4"/>
  <c r="BP205" i="4"/>
  <c r="BP206" i="4"/>
  <c r="BP207" i="4"/>
  <c r="BP208" i="4"/>
  <c r="BP209" i="4"/>
  <c r="BP210" i="4"/>
  <c r="BP211" i="4"/>
  <c r="BP212" i="4"/>
  <c r="BP213" i="4"/>
  <c r="BP214" i="4"/>
  <c r="BP215" i="4"/>
  <c r="BP216" i="4"/>
  <c r="BP217" i="4"/>
  <c r="BP218" i="4"/>
  <c r="BP219" i="4"/>
  <c r="BP220" i="4"/>
  <c r="BP221" i="4"/>
  <c r="BP222" i="4"/>
  <c r="BP223" i="4"/>
  <c r="BP224" i="4"/>
  <c r="BP225" i="4"/>
  <c r="BP226" i="4"/>
  <c r="BP227" i="4"/>
  <c r="BP228" i="4"/>
  <c r="BP229" i="4"/>
  <c r="BP230" i="4"/>
  <c r="BP231" i="4"/>
  <c r="BP233" i="4"/>
  <c r="BP234" i="4"/>
  <c r="BP235" i="4"/>
  <c r="BP236" i="4"/>
  <c r="BP237" i="4"/>
  <c r="BP232" i="4"/>
  <c r="BP238" i="4"/>
  <c r="BP240" i="4"/>
  <c r="BP239" i="4"/>
  <c r="BP241" i="4"/>
  <c r="BP242" i="4"/>
  <c r="BP243" i="4"/>
  <c r="BP244" i="4"/>
  <c r="BP245" i="4"/>
  <c r="BP246" i="4"/>
  <c r="BP247" i="4"/>
  <c r="BP248" i="4"/>
  <c r="BP249" i="4"/>
  <c r="BP251" i="4"/>
  <c r="BP253" i="4"/>
  <c r="BP254" i="4"/>
  <c r="BP255" i="4"/>
  <c r="BP256" i="4"/>
  <c r="BP257" i="4"/>
  <c r="BP250" i="4"/>
  <c r="BP258" i="4"/>
  <c r="BP259" i="4"/>
  <c r="BP260" i="4"/>
  <c r="BP252" i="4"/>
  <c r="BP261" i="4"/>
  <c r="BP262" i="4"/>
  <c r="BP263" i="4"/>
  <c r="BP264" i="4"/>
  <c r="BP265" i="4"/>
  <c r="BP266" i="4"/>
  <c r="BP267" i="4"/>
  <c r="BP268" i="4"/>
  <c r="BP269" i="4"/>
  <c r="BP270" i="4"/>
  <c r="BP271" i="4"/>
  <c r="BP272" i="4"/>
  <c r="BP273" i="4"/>
  <c r="BP274" i="4"/>
  <c r="BP275" i="4"/>
  <c r="BP276" i="4"/>
  <c r="BP277" i="4"/>
  <c r="BP278" i="4"/>
  <c r="BP279" i="4"/>
  <c r="BP280" i="4"/>
  <c r="BP281" i="4"/>
  <c r="BP282" i="4"/>
  <c r="BP283" i="4"/>
  <c r="BP284" i="4"/>
  <c r="BP285" i="4"/>
  <c r="BP286" i="4"/>
  <c r="BP287" i="4"/>
  <c r="BP288" i="4"/>
  <c r="BP289" i="4"/>
  <c r="BP291" i="4"/>
  <c r="BP290" i="4"/>
  <c r="BP292" i="4"/>
  <c r="BP293" i="4"/>
  <c r="BP294" i="4"/>
  <c r="BP295" i="4"/>
  <c r="BP296" i="4"/>
  <c r="BP297" i="4"/>
  <c r="BP298" i="4"/>
  <c r="BP299" i="4"/>
  <c r="BP300" i="4"/>
  <c r="BP301" i="4"/>
  <c r="BP302" i="4"/>
  <c r="BP303" i="4"/>
  <c r="BP304" i="4"/>
  <c r="BP305" i="4"/>
  <c r="BP306" i="4"/>
  <c r="BP307" i="4"/>
  <c r="BP308" i="4"/>
  <c r="BP309" i="4"/>
  <c r="BP310" i="4"/>
  <c r="BP311" i="4"/>
  <c r="BP312" i="4"/>
  <c r="BP313" i="4"/>
  <c r="BP314" i="4"/>
  <c r="BP315" i="4"/>
  <c r="BP316" i="4"/>
  <c r="BP317" i="4"/>
  <c r="BP318" i="4"/>
  <c r="BP319" i="4"/>
  <c r="BP320" i="4"/>
  <c r="BP321" i="4"/>
  <c r="BP322" i="4"/>
  <c r="BP323" i="4"/>
  <c r="BP324" i="4"/>
  <c r="BP325" i="4"/>
  <c r="BP326" i="4"/>
  <c r="BP327" i="4"/>
  <c r="BP328" i="4"/>
  <c r="BP329" i="4"/>
  <c r="BP330" i="4"/>
  <c r="BP331" i="4"/>
  <c r="BP332" i="4"/>
  <c r="BP333" i="4"/>
  <c r="BP334" i="4"/>
  <c r="BP335" i="4"/>
  <c r="BP336" i="4"/>
  <c r="BP337" i="4"/>
  <c r="BP338" i="4"/>
  <c r="BP339" i="4"/>
  <c r="BP340" i="4"/>
  <c r="BP341" i="4"/>
  <c r="BP342" i="4"/>
  <c r="BP343" i="4"/>
  <c r="BP344" i="4"/>
  <c r="BP345" i="4"/>
  <c r="BP346" i="4"/>
  <c r="BP347" i="4"/>
  <c r="BP348" i="4"/>
  <c r="BP349" i="4"/>
  <c r="BP350" i="4"/>
  <c r="BP351" i="4"/>
  <c r="BP352" i="4"/>
  <c r="BP353" i="4"/>
  <c r="BP354" i="4"/>
  <c r="BP355" i="4"/>
  <c r="BP356" i="4"/>
  <c r="BP357" i="4"/>
  <c r="BP358" i="4"/>
  <c r="BP359" i="4"/>
  <c r="BP360" i="4"/>
  <c r="BP388" i="4"/>
  <c r="BP389" i="4"/>
  <c r="BP397" i="4"/>
  <c r="BP390" i="4"/>
  <c r="BP430" i="4"/>
  <c r="BP391" i="4"/>
  <c r="BP392" i="4"/>
  <c r="BP393" i="4"/>
  <c r="BP394" i="4"/>
  <c r="BP395" i="4"/>
  <c r="BP396" i="4"/>
  <c r="BP398" i="4"/>
  <c r="BP399" i="4"/>
  <c r="BP400" i="4"/>
  <c r="BP401" i="4"/>
  <c r="BP402" i="4"/>
  <c r="BP403" i="4"/>
  <c r="BP404" i="4"/>
  <c r="BP405" i="4"/>
  <c r="BP406" i="4"/>
  <c r="BP407" i="4"/>
  <c r="BP408" i="4"/>
  <c r="BP409" i="4"/>
  <c r="BP410" i="4"/>
  <c r="BP411" i="4"/>
  <c r="BP412" i="4"/>
  <c r="BP413" i="4"/>
  <c r="BP414" i="4"/>
  <c r="BP415" i="4"/>
  <c r="BP416" i="4"/>
  <c r="BP417" i="4"/>
  <c r="BP419" i="4"/>
  <c r="BP420" i="4"/>
  <c r="BP421" i="4"/>
  <c r="BP422" i="4"/>
  <c r="BP423" i="4"/>
  <c r="BP424" i="4"/>
  <c r="BP425" i="4"/>
  <c r="BP426" i="4"/>
  <c r="BP427" i="4"/>
  <c r="BP428" i="4"/>
  <c r="BP429" i="4"/>
  <c r="BP431" i="4"/>
  <c r="BP432" i="4"/>
  <c r="BP433" i="4"/>
  <c r="BP434" i="4"/>
  <c r="BP418" i="4"/>
  <c r="BP361" i="4"/>
  <c r="BP362" i="4"/>
  <c r="BP363" i="4"/>
  <c r="BP364" i="4"/>
  <c r="BP365" i="4"/>
  <c r="BP366" i="4"/>
  <c r="BP367" i="4"/>
  <c r="BP368" i="4"/>
  <c r="BP369" i="4"/>
  <c r="BP370" i="4"/>
  <c r="BP371" i="4"/>
  <c r="BP372" i="4"/>
  <c r="BP373" i="4"/>
  <c r="BP374" i="4"/>
  <c r="BP376" i="4"/>
  <c r="BP378" i="4"/>
  <c r="BP379" i="4"/>
  <c r="BP375" i="4"/>
  <c r="BP377" i="4"/>
  <c r="BP380" i="4"/>
  <c r="BP381" i="4"/>
  <c r="BP382" i="4"/>
  <c r="BP383" i="4"/>
  <c r="BP384" i="4"/>
  <c r="BP385" i="4"/>
  <c r="BP386" i="4"/>
  <c r="BP387" i="4"/>
  <c r="BP435" i="4"/>
  <c r="BP436" i="4"/>
  <c r="BP437" i="4"/>
  <c r="BP438" i="4"/>
  <c r="BP439" i="4"/>
  <c r="BP440" i="4"/>
  <c r="BP441" i="4"/>
  <c r="BP442" i="4"/>
  <c r="BP443" i="4"/>
  <c r="BP444" i="4"/>
  <c r="BP446" i="4"/>
  <c r="BP445" i="4"/>
  <c r="BP447" i="4"/>
  <c r="BP449" i="4"/>
  <c r="BP451" i="4"/>
  <c r="BP452" i="4"/>
  <c r="BP453" i="4"/>
  <c r="BP454" i="4"/>
  <c r="BP448" i="4"/>
  <c r="BP455" i="4"/>
  <c r="BP456" i="4"/>
  <c r="BP457" i="4"/>
  <c r="BP450" i="4"/>
  <c r="BP458" i="4"/>
  <c r="BP459" i="4"/>
  <c r="BP460" i="4"/>
  <c r="BP461" i="4"/>
  <c r="BP462" i="4"/>
  <c r="BP463" i="4"/>
  <c r="BP464" i="4"/>
  <c r="BP465" i="4"/>
  <c r="BP466" i="4"/>
  <c r="BP467" i="4"/>
  <c r="BP468" i="4"/>
  <c r="BP470" i="4"/>
  <c r="BP471" i="4"/>
  <c r="BP472" i="4"/>
  <c r="BP469" i="4"/>
  <c r="BP473" i="4"/>
  <c r="BP474" i="4"/>
  <c r="BP475" i="4"/>
  <c r="BP476" i="4"/>
  <c r="BP478" i="4"/>
  <c r="BP479" i="4"/>
  <c r="BP481" i="4"/>
  <c r="BP482" i="4"/>
  <c r="BP484" i="4"/>
  <c r="BP485" i="4"/>
  <c r="BP477" i="4"/>
  <c r="BP486" i="4"/>
  <c r="BP487" i="4"/>
  <c r="BP480" i="4"/>
  <c r="BP488" i="4"/>
  <c r="BP483" i="4"/>
  <c r="BP489" i="4"/>
  <c r="BP490" i="4"/>
  <c r="BP491" i="4"/>
  <c r="BP492" i="4"/>
  <c r="BP493" i="4"/>
  <c r="BP494" i="4"/>
  <c r="BP495" i="4"/>
  <c r="BP496" i="4"/>
  <c r="BP497" i="4"/>
  <c r="BP498" i="4"/>
  <c r="BP499" i="4"/>
  <c r="BP500" i="4"/>
  <c r="BP501" i="4"/>
  <c r="BP502" i="4"/>
  <c r="BP503" i="4"/>
  <c r="BP504" i="4"/>
  <c r="BP505" i="4"/>
  <c r="BP506" i="4"/>
  <c r="BP507" i="4"/>
  <c r="BP508" i="4"/>
  <c r="BP509" i="4"/>
  <c r="BP510" i="4"/>
  <c r="BP511" i="4"/>
  <c r="BP512" i="4"/>
  <c r="BP513" i="4"/>
  <c r="BP514" i="4"/>
  <c r="BP515" i="4"/>
  <c r="BP516" i="4"/>
  <c r="BP517" i="4"/>
  <c r="BP518" i="4"/>
  <c r="BP519" i="4"/>
  <c r="BP520" i="4"/>
  <c r="BP521" i="4"/>
  <c r="BP522" i="4"/>
  <c r="BP523" i="4"/>
  <c r="BP524" i="4"/>
  <c r="BP525" i="4"/>
  <c r="BP526" i="4"/>
  <c r="BP527" i="4"/>
  <c r="BP528" i="4"/>
  <c r="BP529" i="4"/>
  <c r="BP530" i="4"/>
  <c r="BP531" i="4"/>
  <c r="BP532" i="4"/>
  <c r="BP533" i="4"/>
  <c r="BP534" i="4"/>
  <c r="BP535" i="4"/>
  <c r="BP536" i="4"/>
  <c r="BP537" i="4"/>
  <c r="BP538" i="4"/>
  <c r="BP539" i="4"/>
  <c r="BP540" i="4"/>
  <c r="BP541" i="4"/>
  <c r="BP542" i="4"/>
  <c r="BP544" i="4"/>
  <c r="BP545" i="4"/>
  <c r="BP546" i="4"/>
  <c r="BP547" i="4"/>
  <c r="BP543" i="4"/>
  <c r="BP548" i="4"/>
  <c r="BP549" i="4"/>
  <c r="BP550" i="4"/>
  <c r="BP551" i="4"/>
  <c r="BP552" i="4"/>
  <c r="BP553" i="4"/>
  <c r="BP554" i="4"/>
  <c r="BP555" i="4"/>
  <c r="BP556" i="4"/>
  <c r="BP557" i="4"/>
  <c r="BP558" i="4"/>
  <c r="BP559" i="4"/>
  <c r="BP560" i="4"/>
  <c r="BP561" i="4"/>
  <c r="BP562" i="4"/>
  <c r="BP563" i="4"/>
  <c r="BP564" i="4"/>
  <c r="BP566" i="4"/>
  <c r="BP567" i="4"/>
  <c r="BP568" i="4"/>
  <c r="BP569" i="4"/>
  <c r="BP570" i="4"/>
  <c r="BP571" i="4"/>
  <c r="BP572" i="4"/>
  <c r="BP573" i="4"/>
  <c r="BP574" i="4"/>
  <c r="BP575" i="4"/>
  <c r="BP576" i="4"/>
  <c r="BP577" i="4"/>
  <c r="BP578" i="4"/>
  <c r="BP579" i="4"/>
  <c r="BP580" i="4"/>
  <c r="BP583" i="4"/>
  <c r="BP584" i="4"/>
  <c r="BP585" i="4"/>
  <c r="BP586" i="4"/>
  <c r="BP587" i="4"/>
  <c r="BP588" i="4"/>
  <c r="BP589" i="4"/>
  <c r="BP590" i="4"/>
  <c r="BP591" i="4"/>
  <c r="BP592" i="4"/>
  <c r="BP565" i="4"/>
  <c r="BP593" i="4"/>
  <c r="BP594" i="4"/>
  <c r="BP595" i="4"/>
  <c r="BP597" i="4"/>
  <c r="BP598" i="4"/>
  <c r="BP599" i="4"/>
  <c r="BP600" i="4"/>
  <c r="BP601" i="4"/>
  <c r="BP602" i="4"/>
  <c r="BP581" i="4"/>
  <c r="BP582" i="4"/>
  <c r="BP603" i="4"/>
  <c r="BP604" i="4"/>
  <c r="BP605" i="4"/>
  <c r="BP606" i="4"/>
  <c r="BP607" i="4"/>
  <c r="BP608" i="4"/>
  <c r="BP609" i="4"/>
  <c r="BP610" i="4"/>
  <c r="BP611" i="4"/>
  <c r="BP612" i="4"/>
  <c r="BP596" i="4"/>
  <c r="BP613" i="4"/>
  <c r="BP614" i="4"/>
  <c r="BP615" i="4"/>
  <c r="BP616" i="4"/>
  <c r="BP617" i="4"/>
  <c r="BP618" i="4"/>
  <c r="BP620" i="4"/>
  <c r="BP621" i="4"/>
  <c r="BP619" i="4"/>
  <c r="BP622" i="4"/>
  <c r="BP623" i="4"/>
  <c r="BP624" i="4"/>
  <c r="BP625" i="4"/>
  <c r="BP626" i="4"/>
  <c r="BP627" i="4"/>
  <c r="BP628" i="4"/>
  <c r="BP629" i="4"/>
  <c r="BP630" i="4"/>
  <c r="BP631" i="4"/>
  <c r="BP632" i="4"/>
  <c r="BP633" i="4"/>
  <c r="BP634" i="4"/>
  <c r="BP635" i="4"/>
  <c r="BP636" i="4"/>
  <c r="BP637" i="4"/>
  <c r="BP638" i="4"/>
  <c r="BP639" i="4"/>
  <c r="BP640" i="4"/>
  <c r="BP641" i="4"/>
  <c r="BP642" i="4"/>
  <c r="BP643" i="4"/>
  <c r="BP644" i="4"/>
  <c r="BP645" i="4"/>
  <c r="BP646" i="4"/>
  <c r="BP648" i="4"/>
  <c r="BP649" i="4"/>
  <c r="BP650" i="4"/>
  <c r="BP651" i="4"/>
  <c r="BP653" i="4"/>
  <c r="BP654" i="4"/>
  <c r="BP655" i="4"/>
  <c r="BP647" i="4"/>
  <c r="BP656" i="4"/>
  <c r="BP657" i="4"/>
  <c r="BP659" i="4"/>
  <c r="BP652" i="4"/>
  <c r="BP658" i="4"/>
  <c r="BP660" i="4"/>
  <c r="BP661" i="4"/>
  <c r="BP662" i="4"/>
  <c r="BP663" i="4"/>
  <c r="BP664" i="4"/>
  <c r="BP665" i="4"/>
  <c r="BP666" i="4"/>
  <c r="BP667" i="4"/>
  <c r="BP668" i="4"/>
  <c r="BP669" i="4"/>
  <c r="BP670" i="4"/>
  <c r="BP671" i="4"/>
  <c r="BP672" i="4"/>
  <c r="BP674" i="4"/>
  <c r="BP675" i="4"/>
  <c r="BP676" i="4"/>
  <c r="BP677" i="4"/>
  <c r="BP678" i="4"/>
  <c r="BP679" i="4"/>
  <c r="BP680" i="4"/>
  <c r="BP681" i="4"/>
  <c r="BP673" i="4"/>
  <c r="BP102" i="4"/>
  <c r="BP103" i="4"/>
  <c r="BP104" i="4"/>
  <c r="BP96" i="4"/>
  <c r="BP97" i="4"/>
  <c r="BP98" i="4"/>
  <c r="BP105" i="4"/>
  <c r="BP122" i="4"/>
  <c r="BP117" i="4"/>
  <c r="BP106" i="4"/>
  <c r="BP107" i="4"/>
  <c r="BP118" i="4"/>
  <c r="BP119" i="4"/>
  <c r="BP114" i="4"/>
  <c r="BP99" i="4"/>
  <c r="BP123" i="4"/>
  <c r="BP100" i="4"/>
  <c r="BP108" i="4"/>
  <c r="BP109" i="4"/>
  <c r="BP110" i="4"/>
  <c r="BP111" i="4"/>
  <c r="BP121" i="4"/>
  <c r="BP101" i="4"/>
  <c r="BP112" i="4"/>
  <c r="BP113" i="4"/>
  <c r="BP120" i="4"/>
  <c r="BP115" i="4"/>
  <c r="BP116" i="4"/>
  <c r="BM51" i="4"/>
  <c r="BM52" i="4"/>
  <c r="BM53" i="4"/>
  <c r="BM54" i="4"/>
  <c r="BM55" i="4"/>
  <c r="BM56" i="4"/>
  <c r="BM57" i="4"/>
  <c r="BM59" i="4"/>
  <c r="BM60" i="4"/>
  <c r="BM61" i="4"/>
  <c r="BM58" i="4"/>
  <c r="BM62" i="4"/>
  <c r="BM63" i="4"/>
  <c r="BM64" i="4"/>
  <c r="BM65" i="4"/>
  <c r="BM67" i="4"/>
  <c r="BM68" i="4"/>
  <c r="BM69" i="4"/>
  <c r="BM70" i="4"/>
  <c r="BM66" i="4"/>
  <c r="BM71" i="4"/>
  <c r="BM72" i="4"/>
  <c r="BM73" i="4"/>
  <c r="BM74" i="4"/>
  <c r="BM75" i="4"/>
  <c r="BM76" i="4"/>
  <c r="BM77" i="4"/>
  <c r="BM78" i="4"/>
  <c r="BM79" i="4"/>
  <c r="BM80" i="4"/>
  <c r="BM81" i="4"/>
  <c r="BM83" i="4"/>
  <c r="BM82" i="4"/>
  <c r="BM84" i="4"/>
  <c r="BM85" i="4"/>
  <c r="BM86" i="4"/>
  <c r="BM87" i="4"/>
  <c r="BM88" i="4"/>
  <c r="BM89" i="4"/>
  <c r="BM90" i="4"/>
  <c r="BM91" i="4"/>
  <c r="BM92" i="4"/>
  <c r="BM93" i="4"/>
  <c r="BM94" i="4"/>
  <c r="BM95" i="4"/>
  <c r="BM124" i="4"/>
  <c r="BM125" i="4"/>
  <c r="BM126" i="4"/>
  <c r="BM127" i="4"/>
  <c r="BM128" i="4"/>
  <c r="BM129" i="4"/>
  <c r="BM130" i="4"/>
  <c r="BM131" i="4"/>
  <c r="BM132" i="4"/>
  <c r="BM133" i="4"/>
  <c r="BM134" i="4"/>
  <c r="BM135" i="4"/>
  <c r="BM137" i="4"/>
  <c r="BM138" i="4"/>
  <c r="BM139" i="4"/>
  <c r="BM140" i="4"/>
  <c r="BM136" i="4"/>
  <c r="BM142" i="4"/>
  <c r="BM143" i="4"/>
  <c r="BM144" i="4"/>
  <c r="BM146" i="4"/>
  <c r="BM147" i="4"/>
  <c r="BM149" i="4"/>
  <c r="BM150" i="4"/>
  <c r="BM151" i="4"/>
  <c r="BM153" i="4"/>
  <c r="BM145" i="4"/>
  <c r="BM154" i="4"/>
  <c r="BM148" i="4"/>
  <c r="BM152" i="4"/>
  <c r="BM155" i="4"/>
  <c r="BM156" i="4"/>
  <c r="BM141" i="4"/>
  <c r="BM157" i="4"/>
  <c r="BM158" i="4"/>
  <c r="BM159" i="4"/>
  <c r="BM160" i="4"/>
  <c r="BM161" i="4"/>
  <c r="BM162" i="4"/>
  <c r="BM163" i="4"/>
  <c r="BM164" i="4"/>
  <c r="BM165" i="4"/>
  <c r="BM166" i="4"/>
  <c r="BM167" i="4"/>
  <c r="BM168" i="4"/>
  <c r="BM169" i="4"/>
  <c r="BM170" i="4"/>
  <c r="BM171" i="4"/>
  <c r="BM172" i="4"/>
  <c r="BM173" i="4"/>
  <c r="BM174" i="4"/>
  <c r="BM175" i="4"/>
  <c r="BM176" i="4"/>
  <c r="BM177" i="4"/>
  <c r="BM178" i="4"/>
  <c r="BM179" i="4"/>
  <c r="BM180" i="4"/>
  <c r="BM181" i="4"/>
  <c r="BM182" i="4"/>
  <c r="BM184" i="4"/>
  <c r="BM186" i="4"/>
  <c r="BM188" i="4"/>
  <c r="BM192" i="4"/>
  <c r="BM193" i="4"/>
  <c r="BM194" i="4"/>
  <c r="BM197" i="4"/>
  <c r="BM200" i="4"/>
  <c r="BM203" i="4"/>
  <c r="BM195" i="4"/>
  <c r="BM206" i="4"/>
  <c r="BM207" i="4"/>
  <c r="BM208" i="4"/>
  <c r="BM209" i="4"/>
  <c r="BM210" i="4"/>
  <c r="BM211" i="4"/>
  <c r="BM212" i="4"/>
  <c r="BM213" i="4"/>
  <c r="BM214" i="4"/>
  <c r="BM215" i="4"/>
  <c r="BM216" i="4"/>
  <c r="BM217" i="4"/>
  <c r="BM218" i="4"/>
  <c r="BM219" i="4"/>
  <c r="BM220" i="4"/>
  <c r="BM221" i="4"/>
  <c r="BM222" i="4"/>
  <c r="BM223" i="4"/>
  <c r="BM224" i="4"/>
  <c r="BM225" i="4"/>
  <c r="BM226" i="4"/>
  <c r="BM227" i="4"/>
  <c r="BM228" i="4"/>
  <c r="BM229" i="4"/>
  <c r="BM230" i="4"/>
  <c r="BM231" i="4"/>
  <c r="BM233" i="4"/>
  <c r="BM234" i="4"/>
  <c r="BM235" i="4"/>
  <c r="BM236" i="4"/>
  <c r="BM237" i="4"/>
  <c r="BM232" i="4"/>
  <c r="BM238" i="4"/>
  <c r="BM240" i="4"/>
  <c r="BM239" i="4"/>
  <c r="BM241" i="4"/>
  <c r="BM242" i="4"/>
  <c r="BM243" i="4"/>
  <c r="BM244" i="4"/>
  <c r="BM245" i="4"/>
  <c r="BM246" i="4"/>
  <c r="BM247" i="4"/>
  <c r="BM248" i="4"/>
  <c r="BM249" i="4"/>
  <c r="BM251" i="4"/>
  <c r="BM253" i="4"/>
  <c r="BM254" i="4"/>
  <c r="BM255" i="4"/>
  <c r="BM256" i="4"/>
  <c r="BM257" i="4"/>
  <c r="BM250" i="4"/>
  <c r="BM258" i="4"/>
  <c r="BM259" i="4"/>
  <c r="BM260" i="4"/>
  <c r="BM252" i="4"/>
  <c r="BM261" i="4"/>
  <c r="BM262" i="4"/>
  <c r="BM263" i="4"/>
  <c r="BM264" i="4"/>
  <c r="BM265" i="4"/>
  <c r="BM266" i="4"/>
  <c r="BM267" i="4"/>
  <c r="BM268" i="4"/>
  <c r="BM269" i="4"/>
  <c r="BM270" i="4"/>
  <c r="BM271" i="4"/>
  <c r="BM272" i="4"/>
  <c r="BM273" i="4"/>
  <c r="BM274" i="4"/>
  <c r="BM275" i="4"/>
  <c r="BM276" i="4"/>
  <c r="BM277" i="4"/>
  <c r="BM278" i="4"/>
  <c r="BM279" i="4"/>
  <c r="BM280" i="4"/>
  <c r="BM281" i="4"/>
  <c r="BM282" i="4"/>
  <c r="BM283" i="4"/>
  <c r="BM284" i="4"/>
  <c r="BM285" i="4"/>
  <c r="BM286" i="4"/>
  <c r="BM287" i="4"/>
  <c r="BM288" i="4"/>
  <c r="BM289" i="4"/>
  <c r="BM291" i="4"/>
  <c r="BM290" i="4"/>
  <c r="BM292" i="4"/>
  <c r="BM293" i="4"/>
  <c r="BM294" i="4"/>
  <c r="BM295" i="4"/>
  <c r="BM296" i="4"/>
  <c r="BM297" i="4"/>
  <c r="BM298" i="4"/>
  <c r="BM299" i="4"/>
  <c r="BM300" i="4"/>
  <c r="BM301" i="4"/>
  <c r="BM302" i="4"/>
  <c r="BM303" i="4"/>
  <c r="BM304" i="4"/>
  <c r="BM305" i="4"/>
  <c r="BM306" i="4"/>
  <c r="BM307" i="4"/>
  <c r="BM308" i="4"/>
  <c r="BM309" i="4"/>
  <c r="BM310" i="4"/>
  <c r="BM311" i="4"/>
  <c r="BM312" i="4"/>
  <c r="BM313" i="4"/>
  <c r="BM314" i="4"/>
  <c r="BM315" i="4"/>
  <c r="BM316" i="4"/>
  <c r="BM317" i="4"/>
  <c r="BM318" i="4"/>
  <c r="BM319" i="4"/>
  <c r="BM320" i="4"/>
  <c r="BM321" i="4"/>
  <c r="BM322" i="4"/>
  <c r="BM323" i="4"/>
  <c r="BM324" i="4"/>
  <c r="BM325" i="4"/>
  <c r="BM326" i="4"/>
  <c r="BM327" i="4"/>
  <c r="BM328" i="4"/>
  <c r="BM329" i="4"/>
  <c r="BM330" i="4"/>
  <c r="BM331" i="4"/>
  <c r="BM332" i="4"/>
  <c r="BM333" i="4"/>
  <c r="BM334" i="4"/>
  <c r="BM335" i="4"/>
  <c r="BM336" i="4"/>
  <c r="BM337" i="4"/>
  <c r="BM338" i="4"/>
  <c r="BM339" i="4"/>
  <c r="BM340" i="4"/>
  <c r="BM341" i="4"/>
  <c r="BM342" i="4"/>
  <c r="BM343" i="4"/>
  <c r="BM344" i="4"/>
  <c r="BM345" i="4"/>
  <c r="BM346" i="4"/>
  <c r="BM347" i="4"/>
  <c r="BM348" i="4"/>
  <c r="BM349" i="4"/>
  <c r="BM350" i="4"/>
  <c r="BM351" i="4"/>
  <c r="BM352" i="4"/>
  <c r="BM353" i="4"/>
  <c r="BM354" i="4"/>
  <c r="BM355" i="4"/>
  <c r="BM356" i="4"/>
  <c r="BM357" i="4"/>
  <c r="BM358" i="4"/>
  <c r="BM359" i="4"/>
  <c r="BM360" i="4"/>
  <c r="BM388" i="4"/>
  <c r="BM389" i="4"/>
  <c r="BM397" i="4"/>
  <c r="BM390" i="4"/>
  <c r="BM430" i="4"/>
  <c r="BM391" i="4"/>
  <c r="BM392" i="4"/>
  <c r="BM393" i="4"/>
  <c r="BM394" i="4"/>
  <c r="BM395" i="4"/>
  <c r="BM396" i="4"/>
  <c r="BM398" i="4"/>
  <c r="BM399" i="4"/>
  <c r="BM400" i="4"/>
  <c r="BM401" i="4"/>
  <c r="BM402" i="4"/>
  <c r="BM403" i="4"/>
  <c r="BM404" i="4"/>
  <c r="BM405" i="4"/>
  <c r="BM406" i="4"/>
  <c r="BM407" i="4"/>
  <c r="BM408" i="4"/>
  <c r="BM409" i="4"/>
  <c r="BM410" i="4"/>
  <c r="BM411" i="4"/>
  <c r="BM412" i="4"/>
  <c r="BM413" i="4"/>
  <c r="BM414" i="4"/>
  <c r="BM415" i="4"/>
  <c r="BM416" i="4"/>
  <c r="BM417" i="4"/>
  <c r="BM419" i="4"/>
  <c r="BM420" i="4"/>
  <c r="BM421" i="4"/>
  <c r="BM422" i="4"/>
  <c r="BM423" i="4"/>
  <c r="BM424" i="4"/>
  <c r="BM425" i="4"/>
  <c r="BM426" i="4"/>
  <c r="BM427" i="4"/>
  <c r="BM428" i="4"/>
  <c r="BM429" i="4"/>
  <c r="BM431" i="4"/>
  <c r="BM432" i="4"/>
  <c r="BM433" i="4"/>
  <c r="BM434" i="4"/>
  <c r="BM418" i="4"/>
  <c r="BM361" i="4"/>
  <c r="BM362" i="4"/>
  <c r="BM363" i="4"/>
  <c r="BM364" i="4"/>
  <c r="BM365" i="4"/>
  <c r="BM366" i="4"/>
  <c r="BM367" i="4"/>
  <c r="BM368" i="4"/>
  <c r="BM369" i="4"/>
  <c r="BM370" i="4"/>
  <c r="BM371" i="4"/>
  <c r="BM372" i="4"/>
  <c r="BM373" i="4"/>
  <c r="BM374" i="4"/>
  <c r="BM376" i="4"/>
  <c r="BM378" i="4"/>
  <c r="BM379" i="4"/>
  <c r="BM375" i="4"/>
  <c r="BM377" i="4"/>
  <c r="BM380" i="4"/>
  <c r="BM381" i="4"/>
  <c r="BM382" i="4"/>
  <c r="BM383" i="4"/>
  <c r="BM384" i="4"/>
  <c r="BM385" i="4"/>
  <c r="BM386" i="4"/>
  <c r="BM387" i="4"/>
  <c r="BM435" i="4"/>
  <c r="BM436" i="4"/>
  <c r="BM437" i="4"/>
  <c r="BM438" i="4"/>
  <c r="BM439" i="4"/>
  <c r="BM440" i="4"/>
  <c r="BM441" i="4"/>
  <c r="BM442" i="4"/>
  <c r="BM443" i="4"/>
  <c r="BM444" i="4"/>
  <c r="BM446" i="4"/>
  <c r="BM445" i="4"/>
  <c r="BM447" i="4"/>
  <c r="BM449" i="4"/>
  <c r="BM451" i="4"/>
  <c r="BM452" i="4"/>
  <c r="BM453" i="4"/>
  <c r="BM454" i="4"/>
  <c r="BM448" i="4"/>
  <c r="BM455" i="4"/>
  <c r="BM456" i="4"/>
  <c r="BM457" i="4"/>
  <c r="BM450" i="4"/>
  <c r="BM458" i="4"/>
  <c r="BM459" i="4"/>
  <c r="BM460" i="4"/>
  <c r="BM461" i="4"/>
  <c r="BM462" i="4"/>
  <c r="BM463" i="4"/>
  <c r="BM464" i="4"/>
  <c r="BM465" i="4"/>
  <c r="BM466" i="4"/>
  <c r="BM467" i="4"/>
  <c r="BM468" i="4"/>
  <c r="BM470" i="4"/>
  <c r="BM471" i="4"/>
  <c r="BM472" i="4"/>
  <c r="BM469" i="4"/>
  <c r="BM473" i="4"/>
  <c r="BM474" i="4"/>
  <c r="BM475" i="4"/>
  <c r="BM476" i="4"/>
  <c r="BM478" i="4"/>
  <c r="BM479" i="4"/>
  <c r="BM481" i="4"/>
  <c r="BM482" i="4"/>
  <c r="BM484" i="4"/>
  <c r="BM485" i="4"/>
  <c r="BM477" i="4"/>
  <c r="BM486" i="4"/>
  <c r="BM487" i="4"/>
  <c r="BM480" i="4"/>
  <c r="BM488" i="4"/>
  <c r="BM483" i="4"/>
  <c r="BM489" i="4"/>
  <c r="BM490" i="4"/>
  <c r="BM491" i="4"/>
  <c r="BM492" i="4"/>
  <c r="BM493" i="4"/>
  <c r="BM494" i="4"/>
  <c r="BM495" i="4"/>
  <c r="BM496" i="4"/>
  <c r="BM497" i="4"/>
  <c r="BM498" i="4"/>
  <c r="BM499" i="4"/>
  <c r="BM500" i="4"/>
  <c r="BM501" i="4"/>
  <c r="BM502" i="4"/>
  <c r="BM503" i="4"/>
  <c r="BM504" i="4"/>
  <c r="BM505" i="4"/>
  <c r="BM506" i="4"/>
  <c r="BM507" i="4"/>
  <c r="BM508" i="4"/>
  <c r="BM509" i="4"/>
  <c r="BM510" i="4"/>
  <c r="BM511" i="4"/>
  <c r="BM512" i="4"/>
  <c r="BM513" i="4"/>
  <c r="BM514" i="4"/>
  <c r="BM515" i="4"/>
  <c r="BM516" i="4"/>
  <c r="BM517" i="4"/>
  <c r="BM518" i="4"/>
  <c r="BM519" i="4"/>
  <c r="BM520" i="4"/>
  <c r="BM521" i="4"/>
  <c r="BM522" i="4"/>
  <c r="BM523" i="4"/>
  <c r="BM524" i="4"/>
  <c r="BM525" i="4"/>
  <c r="BM526" i="4"/>
  <c r="BM527" i="4"/>
  <c r="BM528" i="4"/>
  <c r="BM529" i="4"/>
  <c r="BM530" i="4"/>
  <c r="BM531" i="4"/>
  <c r="BM532" i="4"/>
  <c r="BM533" i="4"/>
  <c r="BM534" i="4"/>
  <c r="BM535" i="4"/>
  <c r="BM536" i="4"/>
  <c r="BM537" i="4"/>
  <c r="BM538" i="4"/>
  <c r="BM539" i="4"/>
  <c r="BM540" i="4"/>
  <c r="BM541" i="4"/>
  <c r="BM542" i="4"/>
  <c r="BM544" i="4"/>
  <c r="BM545" i="4"/>
  <c r="BM546" i="4"/>
  <c r="BM547" i="4"/>
  <c r="BM543" i="4"/>
  <c r="BM548" i="4"/>
  <c r="BM549" i="4"/>
  <c r="BM550" i="4"/>
  <c r="BM551" i="4"/>
  <c r="BM552" i="4"/>
  <c r="BM553" i="4"/>
  <c r="BM554" i="4"/>
  <c r="BM555" i="4"/>
  <c r="BM556" i="4"/>
  <c r="BM557" i="4"/>
  <c r="BM558" i="4"/>
  <c r="BM559" i="4"/>
  <c r="BM560" i="4"/>
  <c r="BM561" i="4"/>
  <c r="BM562" i="4"/>
  <c r="BM563" i="4"/>
  <c r="BM564" i="4"/>
  <c r="BM566" i="4"/>
  <c r="BM567" i="4"/>
  <c r="BM568" i="4"/>
  <c r="BM569" i="4"/>
  <c r="BM570" i="4"/>
  <c r="BM571" i="4"/>
  <c r="BM572" i="4"/>
  <c r="BM573" i="4"/>
  <c r="BM574" i="4"/>
  <c r="BM575" i="4"/>
  <c r="BM576" i="4"/>
  <c r="BM577" i="4"/>
  <c r="BM578" i="4"/>
  <c r="BM579" i="4"/>
  <c r="BM580" i="4"/>
  <c r="BM583" i="4"/>
  <c r="BM584" i="4"/>
  <c r="BM585" i="4"/>
  <c r="BM586" i="4"/>
  <c r="BM587" i="4"/>
  <c r="BM588" i="4"/>
  <c r="BM589" i="4"/>
  <c r="BM590" i="4"/>
  <c r="BM591" i="4"/>
  <c r="BM592" i="4"/>
  <c r="BM565" i="4"/>
  <c r="BM593" i="4"/>
  <c r="BM594" i="4"/>
  <c r="BM595" i="4"/>
  <c r="BM597" i="4"/>
  <c r="BM598" i="4"/>
  <c r="BM599" i="4"/>
  <c r="BM600" i="4"/>
  <c r="BM601" i="4"/>
  <c r="BM602" i="4"/>
  <c r="BM581" i="4"/>
  <c r="BM582" i="4"/>
  <c r="BM603" i="4"/>
  <c r="BM604" i="4"/>
  <c r="BM605" i="4"/>
  <c r="BM606" i="4"/>
  <c r="BM607" i="4"/>
  <c r="BM608" i="4"/>
  <c r="BM609" i="4"/>
  <c r="BM610" i="4"/>
  <c r="BM611" i="4"/>
  <c r="BM612" i="4"/>
  <c r="BM596" i="4"/>
  <c r="BM613" i="4"/>
  <c r="BM614" i="4"/>
  <c r="BM615" i="4"/>
  <c r="BM616" i="4"/>
  <c r="BM617" i="4"/>
  <c r="BM618" i="4"/>
  <c r="BM620" i="4"/>
  <c r="BM621" i="4"/>
  <c r="BM619" i="4"/>
  <c r="BM622" i="4"/>
  <c r="BM623" i="4"/>
  <c r="BM624" i="4"/>
  <c r="BM625" i="4"/>
  <c r="BM626" i="4"/>
  <c r="BM627" i="4"/>
  <c r="BM628" i="4"/>
  <c r="BM629" i="4"/>
  <c r="BM630" i="4"/>
  <c r="BM631" i="4"/>
  <c r="BM632" i="4"/>
  <c r="BM633" i="4"/>
  <c r="BM634" i="4"/>
  <c r="BM635" i="4"/>
  <c r="BM636" i="4"/>
  <c r="BM637" i="4"/>
  <c r="BM638" i="4"/>
  <c r="BM639" i="4"/>
  <c r="BM640" i="4"/>
  <c r="BM641" i="4"/>
  <c r="BM642" i="4"/>
  <c r="BM643" i="4"/>
  <c r="BM644" i="4"/>
  <c r="BM645" i="4"/>
  <c r="BM646" i="4"/>
  <c r="BM648" i="4"/>
  <c r="BM649" i="4"/>
  <c r="BM650" i="4"/>
  <c r="BM651" i="4"/>
  <c r="BM653" i="4"/>
  <c r="BM654" i="4"/>
  <c r="BM655" i="4"/>
  <c r="BM647" i="4"/>
  <c r="BM656" i="4"/>
  <c r="BM657" i="4"/>
  <c r="BM659" i="4"/>
  <c r="BM652" i="4"/>
  <c r="BM658" i="4"/>
  <c r="BM660" i="4"/>
  <c r="BM661" i="4"/>
  <c r="BM662" i="4"/>
  <c r="BM663" i="4"/>
  <c r="BM664" i="4"/>
  <c r="BM665" i="4"/>
  <c r="BM666" i="4"/>
  <c r="BM667" i="4"/>
  <c r="BM668" i="4"/>
  <c r="BM669" i="4"/>
  <c r="BM670" i="4"/>
  <c r="BM671" i="4"/>
  <c r="BM672" i="4"/>
  <c r="BM674" i="4"/>
  <c r="BM675" i="4"/>
  <c r="BM676" i="4"/>
  <c r="BM677" i="4"/>
  <c r="BM678" i="4"/>
  <c r="BM679" i="4"/>
  <c r="BM680" i="4"/>
  <c r="BM681" i="4"/>
  <c r="BM673" i="4"/>
  <c r="BM102" i="4"/>
  <c r="BM103" i="4"/>
  <c r="BM104" i="4"/>
  <c r="BM96" i="4"/>
  <c r="BM97" i="4"/>
  <c r="BM98" i="4"/>
  <c r="BM105" i="4"/>
  <c r="BM122" i="4"/>
  <c r="BM117" i="4"/>
  <c r="BM106" i="4"/>
  <c r="BM107" i="4"/>
  <c r="BM118" i="4"/>
  <c r="BM119" i="4"/>
  <c r="BM114" i="4"/>
  <c r="BM99" i="4"/>
  <c r="BM123" i="4"/>
  <c r="BM100" i="4"/>
  <c r="BM108" i="4"/>
  <c r="BM109" i="4"/>
  <c r="BM110" i="4"/>
  <c r="BM111" i="4"/>
  <c r="BM121" i="4"/>
  <c r="BM101" i="4"/>
  <c r="BM112" i="4"/>
  <c r="BM113" i="4"/>
  <c r="BM120" i="4"/>
  <c r="BM115" i="4"/>
  <c r="BM116" i="4"/>
  <c r="BJ53" i="4"/>
  <c r="BJ54" i="4"/>
  <c r="BJ55" i="4"/>
  <c r="BJ56" i="4"/>
  <c r="BJ57" i="4"/>
  <c r="BJ59" i="4"/>
  <c r="BJ60" i="4"/>
  <c r="BJ61" i="4"/>
  <c r="BJ58" i="4"/>
  <c r="BJ62" i="4"/>
  <c r="BJ63" i="4"/>
  <c r="BJ64" i="4"/>
  <c r="BJ65" i="4"/>
  <c r="BJ67" i="4"/>
  <c r="BJ68" i="4"/>
  <c r="BJ69" i="4"/>
  <c r="BJ70" i="4"/>
  <c r="BJ66" i="4"/>
  <c r="BJ71" i="4"/>
  <c r="BJ72" i="4"/>
  <c r="BJ73" i="4"/>
  <c r="BJ74" i="4"/>
  <c r="BJ75" i="4"/>
  <c r="BJ76" i="4"/>
  <c r="BJ77" i="4"/>
  <c r="BJ78" i="4"/>
  <c r="BJ79" i="4"/>
  <c r="BJ80" i="4"/>
  <c r="BJ81" i="4"/>
  <c r="BJ83" i="4"/>
  <c r="BJ82" i="4"/>
  <c r="BJ84" i="4"/>
  <c r="BJ85" i="4"/>
  <c r="BJ86" i="4"/>
  <c r="BJ87" i="4"/>
  <c r="BJ88" i="4"/>
  <c r="BJ89" i="4"/>
  <c r="BJ90" i="4"/>
  <c r="BJ91" i="4"/>
  <c r="BJ92" i="4"/>
  <c r="BJ93" i="4"/>
  <c r="BJ94" i="4"/>
  <c r="BJ95" i="4"/>
  <c r="BJ124" i="4"/>
  <c r="BJ125" i="4"/>
  <c r="BJ126" i="4"/>
  <c r="BJ127" i="4"/>
  <c r="BJ128" i="4"/>
  <c r="BJ129" i="4"/>
  <c r="BJ130" i="4"/>
  <c r="BJ131" i="4"/>
  <c r="BJ132" i="4"/>
  <c r="BJ133" i="4"/>
  <c r="BJ134" i="4"/>
  <c r="BJ135" i="4"/>
  <c r="BJ137" i="4"/>
  <c r="BJ138" i="4"/>
  <c r="BJ139" i="4"/>
  <c r="BJ140" i="4"/>
  <c r="BJ136" i="4"/>
  <c r="BJ142" i="4"/>
  <c r="BJ143" i="4"/>
  <c r="BJ144" i="4"/>
  <c r="BJ146" i="4"/>
  <c r="BJ147" i="4"/>
  <c r="BJ149" i="4"/>
  <c r="BJ150" i="4"/>
  <c r="BJ151" i="4"/>
  <c r="BJ153" i="4"/>
  <c r="BJ145" i="4"/>
  <c r="BJ154" i="4"/>
  <c r="BJ148" i="4"/>
  <c r="BJ152" i="4"/>
  <c r="BJ155" i="4"/>
  <c r="BJ156" i="4"/>
  <c r="BJ141" i="4"/>
  <c r="BJ157" i="4"/>
  <c r="BJ158" i="4"/>
  <c r="BJ159" i="4"/>
  <c r="BJ160" i="4"/>
  <c r="BJ161" i="4"/>
  <c r="BJ162" i="4"/>
  <c r="BJ163" i="4"/>
  <c r="BJ164" i="4"/>
  <c r="BJ165" i="4"/>
  <c r="BJ166" i="4"/>
  <c r="BJ167" i="4"/>
  <c r="BJ168" i="4"/>
  <c r="BJ169" i="4"/>
  <c r="BJ170" i="4"/>
  <c r="BJ171" i="4"/>
  <c r="BJ172" i="4"/>
  <c r="BJ173" i="4"/>
  <c r="BJ174" i="4"/>
  <c r="BJ175" i="4"/>
  <c r="BJ176" i="4"/>
  <c r="BJ177" i="4"/>
  <c r="BJ178" i="4"/>
  <c r="BJ179" i="4"/>
  <c r="BJ180" i="4"/>
  <c r="BJ181" i="4"/>
  <c r="BJ182" i="4"/>
  <c r="BJ183" i="4"/>
  <c r="BJ184" i="4"/>
  <c r="BJ185" i="4"/>
  <c r="BJ186" i="4"/>
  <c r="BJ187" i="4"/>
  <c r="BJ188" i="4"/>
  <c r="BJ189" i="4"/>
  <c r="BJ190" i="4"/>
  <c r="BJ191" i="4"/>
  <c r="BJ192" i="4"/>
  <c r="BJ193" i="4"/>
  <c r="BJ194" i="4"/>
  <c r="BJ196" i="4"/>
  <c r="BJ197" i="4"/>
  <c r="BJ198" i="4"/>
  <c r="BJ199" i="4"/>
  <c r="BJ200" i="4"/>
  <c r="BJ201" i="4"/>
  <c r="BJ202" i="4"/>
  <c r="BJ203" i="4"/>
  <c r="BJ195" i="4"/>
  <c r="BJ204" i="4"/>
  <c r="BJ205" i="4"/>
  <c r="BJ206" i="4"/>
  <c r="BJ207" i="4"/>
  <c r="BJ208" i="4"/>
  <c r="BJ209" i="4"/>
  <c r="BJ210" i="4"/>
  <c r="BJ211" i="4"/>
  <c r="BJ212" i="4"/>
  <c r="BJ213" i="4"/>
  <c r="BJ214" i="4"/>
  <c r="BJ215" i="4"/>
  <c r="BJ216" i="4"/>
  <c r="BJ217" i="4"/>
  <c r="BJ218" i="4"/>
  <c r="BJ219" i="4"/>
  <c r="BJ220" i="4"/>
  <c r="BJ221" i="4"/>
  <c r="BJ222" i="4"/>
  <c r="BJ223" i="4"/>
  <c r="BJ224" i="4"/>
  <c r="BJ225" i="4"/>
  <c r="BJ226" i="4"/>
  <c r="BJ227" i="4"/>
  <c r="BJ228" i="4"/>
  <c r="BJ229" i="4"/>
  <c r="BJ230" i="4"/>
  <c r="BJ231" i="4"/>
  <c r="BJ233" i="4"/>
  <c r="BJ234" i="4"/>
  <c r="BJ235" i="4"/>
  <c r="BJ236" i="4"/>
  <c r="BJ237" i="4"/>
  <c r="BJ232" i="4"/>
  <c r="BJ238" i="4"/>
  <c r="BJ240" i="4"/>
  <c r="BJ239" i="4"/>
  <c r="BJ241" i="4"/>
  <c r="BJ242" i="4"/>
  <c r="BJ243" i="4"/>
  <c r="BJ244" i="4"/>
  <c r="BJ245" i="4"/>
  <c r="BJ246" i="4"/>
  <c r="BJ247" i="4"/>
  <c r="BJ248" i="4"/>
  <c r="BJ249" i="4"/>
  <c r="BJ251" i="4"/>
  <c r="BJ253" i="4"/>
  <c r="BJ254" i="4"/>
  <c r="BJ255" i="4"/>
  <c r="BJ256" i="4"/>
  <c r="BJ257" i="4"/>
  <c r="BJ250" i="4"/>
  <c r="BJ258" i="4"/>
  <c r="BJ259" i="4"/>
  <c r="BJ260" i="4"/>
  <c r="BJ252" i="4"/>
  <c r="BJ261" i="4"/>
  <c r="BJ262" i="4"/>
  <c r="BJ263" i="4"/>
  <c r="BJ264" i="4"/>
  <c r="BJ265" i="4"/>
  <c r="BJ266" i="4"/>
  <c r="BJ267" i="4"/>
  <c r="BJ268" i="4"/>
  <c r="BJ269" i="4"/>
  <c r="BJ270" i="4"/>
  <c r="BJ271" i="4"/>
  <c r="BJ272" i="4"/>
  <c r="BJ273" i="4"/>
  <c r="BJ274" i="4"/>
  <c r="BJ275" i="4"/>
  <c r="BJ276" i="4"/>
  <c r="BJ277" i="4"/>
  <c r="BJ278" i="4"/>
  <c r="BJ279" i="4"/>
  <c r="BJ280" i="4"/>
  <c r="BJ281" i="4"/>
  <c r="BJ282" i="4"/>
  <c r="BJ283" i="4"/>
  <c r="BJ284" i="4"/>
  <c r="BJ285" i="4"/>
  <c r="BJ286" i="4"/>
  <c r="BJ287" i="4"/>
  <c r="BJ288" i="4"/>
  <c r="BJ289" i="4"/>
  <c r="BJ291" i="4"/>
  <c r="BJ290" i="4"/>
  <c r="BJ292" i="4"/>
  <c r="BJ293" i="4"/>
  <c r="BJ294" i="4"/>
  <c r="BJ295" i="4"/>
  <c r="BJ296" i="4"/>
  <c r="BJ297" i="4"/>
  <c r="BJ298" i="4"/>
  <c r="BJ299" i="4"/>
  <c r="BJ300" i="4"/>
  <c r="BJ301" i="4"/>
  <c r="BJ302" i="4"/>
  <c r="BJ303" i="4"/>
  <c r="BJ304" i="4"/>
  <c r="BJ305" i="4"/>
  <c r="BJ306" i="4"/>
  <c r="BJ307" i="4"/>
  <c r="BJ308" i="4"/>
  <c r="BJ309" i="4"/>
  <c r="BJ310" i="4"/>
  <c r="BJ311" i="4"/>
  <c r="BJ312" i="4"/>
  <c r="BJ313" i="4"/>
  <c r="BJ314" i="4"/>
  <c r="BJ315" i="4"/>
  <c r="BJ316" i="4"/>
  <c r="BJ317" i="4"/>
  <c r="BJ318" i="4"/>
  <c r="BJ319" i="4"/>
  <c r="BJ320" i="4"/>
  <c r="BJ321" i="4"/>
  <c r="BJ322" i="4"/>
  <c r="BJ323" i="4"/>
  <c r="BJ324" i="4"/>
  <c r="BJ325" i="4"/>
  <c r="BJ326" i="4"/>
  <c r="BJ327" i="4"/>
  <c r="BJ328" i="4"/>
  <c r="BJ329" i="4"/>
  <c r="BJ330" i="4"/>
  <c r="BJ331" i="4"/>
  <c r="BJ332" i="4"/>
  <c r="BJ333" i="4"/>
  <c r="BJ334" i="4"/>
  <c r="BJ335" i="4"/>
  <c r="BJ336" i="4"/>
  <c r="BJ337" i="4"/>
  <c r="BJ338" i="4"/>
  <c r="BJ339" i="4"/>
  <c r="BJ340" i="4"/>
  <c r="BJ341" i="4"/>
  <c r="BJ342" i="4"/>
  <c r="BJ343" i="4"/>
  <c r="BJ344" i="4"/>
  <c r="BJ345" i="4"/>
  <c r="BJ346" i="4"/>
  <c r="BJ347" i="4"/>
  <c r="BJ348" i="4"/>
  <c r="BJ349" i="4"/>
  <c r="BJ350" i="4"/>
  <c r="BJ351" i="4"/>
  <c r="BJ352" i="4"/>
  <c r="BJ353" i="4"/>
  <c r="BJ354" i="4"/>
  <c r="BJ355" i="4"/>
  <c r="BJ356" i="4"/>
  <c r="BJ357" i="4"/>
  <c r="BJ358" i="4"/>
  <c r="BJ359" i="4"/>
  <c r="BJ360" i="4"/>
  <c r="BJ388" i="4"/>
  <c r="BJ389" i="4"/>
  <c r="BJ397" i="4"/>
  <c r="BJ390" i="4"/>
  <c r="BJ430" i="4"/>
  <c r="BJ391" i="4"/>
  <c r="BJ392" i="4"/>
  <c r="BJ393" i="4"/>
  <c r="BJ394" i="4"/>
  <c r="BJ395" i="4"/>
  <c r="BJ396" i="4"/>
  <c r="BJ398" i="4"/>
  <c r="BJ399" i="4"/>
  <c r="BJ400" i="4"/>
  <c r="BJ401" i="4"/>
  <c r="BJ402" i="4"/>
  <c r="BJ403" i="4"/>
  <c r="BJ404" i="4"/>
  <c r="BJ405" i="4"/>
  <c r="BJ406" i="4"/>
  <c r="BJ407" i="4"/>
  <c r="BJ408" i="4"/>
  <c r="BJ409" i="4"/>
  <c r="BJ410" i="4"/>
  <c r="BJ411" i="4"/>
  <c r="BJ412" i="4"/>
  <c r="BJ413" i="4"/>
  <c r="BJ414" i="4"/>
  <c r="BJ415" i="4"/>
  <c r="BJ416" i="4"/>
  <c r="BJ417" i="4"/>
  <c r="BJ419" i="4"/>
  <c r="BJ420" i="4"/>
  <c r="BJ421" i="4"/>
  <c r="BJ422" i="4"/>
  <c r="BJ423" i="4"/>
  <c r="BJ424" i="4"/>
  <c r="BJ425" i="4"/>
  <c r="BJ426" i="4"/>
  <c r="BJ427" i="4"/>
  <c r="BJ428" i="4"/>
  <c r="BJ429" i="4"/>
  <c r="BJ431" i="4"/>
  <c r="BJ432" i="4"/>
  <c r="BJ433" i="4"/>
  <c r="BJ434" i="4"/>
  <c r="BJ418" i="4"/>
  <c r="BJ361" i="4"/>
  <c r="BJ362" i="4"/>
  <c r="BJ363" i="4"/>
  <c r="BJ364" i="4"/>
  <c r="BJ365" i="4"/>
  <c r="BJ366" i="4"/>
  <c r="BJ367" i="4"/>
  <c r="BJ368" i="4"/>
  <c r="BJ369" i="4"/>
  <c r="BJ370" i="4"/>
  <c r="BJ371" i="4"/>
  <c r="BJ372" i="4"/>
  <c r="BJ373" i="4"/>
  <c r="BJ374" i="4"/>
  <c r="BJ376" i="4"/>
  <c r="BJ378" i="4"/>
  <c r="BJ379" i="4"/>
  <c r="BJ375" i="4"/>
  <c r="BJ377" i="4"/>
  <c r="BJ380" i="4"/>
  <c r="BJ381" i="4"/>
  <c r="BJ382" i="4"/>
  <c r="BJ383" i="4"/>
  <c r="BJ384" i="4"/>
  <c r="BJ385" i="4"/>
  <c r="BJ386" i="4"/>
  <c r="BJ387" i="4"/>
  <c r="BJ435" i="4"/>
  <c r="BJ436" i="4"/>
  <c r="BJ437" i="4"/>
  <c r="BJ438" i="4"/>
  <c r="BJ439" i="4"/>
  <c r="BJ440" i="4"/>
  <c r="BJ441" i="4"/>
  <c r="BJ442" i="4"/>
  <c r="BJ443" i="4"/>
  <c r="BJ444" i="4"/>
  <c r="BJ446" i="4"/>
  <c r="BJ445" i="4"/>
  <c r="BJ447" i="4"/>
  <c r="BJ449" i="4"/>
  <c r="BJ451" i="4"/>
  <c r="BJ452" i="4"/>
  <c r="BJ453" i="4"/>
  <c r="BJ454" i="4"/>
  <c r="BJ448" i="4"/>
  <c r="BJ455" i="4"/>
  <c r="BJ456" i="4"/>
  <c r="BJ457" i="4"/>
  <c r="BJ450" i="4"/>
  <c r="BJ458" i="4"/>
  <c r="BJ459" i="4"/>
  <c r="BJ460" i="4"/>
  <c r="BJ461" i="4"/>
  <c r="BJ462" i="4"/>
  <c r="BJ463" i="4"/>
  <c r="BJ464" i="4"/>
  <c r="BJ465" i="4"/>
  <c r="BJ466" i="4"/>
  <c r="BJ467" i="4"/>
  <c r="BJ468" i="4"/>
  <c r="BJ470" i="4"/>
  <c r="BJ471" i="4"/>
  <c r="BJ472" i="4"/>
  <c r="BJ469" i="4"/>
  <c r="BJ473" i="4"/>
  <c r="BJ474" i="4"/>
  <c r="BJ475" i="4"/>
  <c r="BJ476" i="4"/>
  <c r="BJ478" i="4"/>
  <c r="BJ479" i="4"/>
  <c r="BJ481" i="4"/>
  <c r="BJ482" i="4"/>
  <c r="BJ484" i="4"/>
  <c r="BJ485" i="4"/>
  <c r="BJ477" i="4"/>
  <c r="BJ486" i="4"/>
  <c r="BJ487" i="4"/>
  <c r="BJ480" i="4"/>
  <c r="BJ488" i="4"/>
  <c r="BJ483" i="4"/>
  <c r="BJ489" i="4"/>
  <c r="BJ490" i="4"/>
  <c r="BJ491" i="4"/>
  <c r="BJ492" i="4"/>
  <c r="BJ493" i="4"/>
  <c r="BJ494" i="4"/>
  <c r="BJ495" i="4"/>
  <c r="BJ496" i="4"/>
  <c r="BJ497" i="4"/>
  <c r="BJ498" i="4"/>
  <c r="BJ499" i="4"/>
  <c r="BJ500" i="4"/>
  <c r="BJ501" i="4"/>
  <c r="BJ502" i="4"/>
  <c r="BJ503" i="4"/>
  <c r="BJ504" i="4"/>
  <c r="BJ505" i="4"/>
  <c r="BJ506" i="4"/>
  <c r="BJ507" i="4"/>
  <c r="BJ508" i="4"/>
  <c r="BJ509" i="4"/>
  <c r="BJ510" i="4"/>
  <c r="BJ511" i="4"/>
  <c r="BJ512" i="4"/>
  <c r="BJ513" i="4"/>
  <c r="BJ514" i="4"/>
  <c r="BJ515" i="4"/>
  <c r="BJ516" i="4"/>
  <c r="BJ517" i="4"/>
  <c r="BJ518" i="4"/>
  <c r="BJ519" i="4"/>
  <c r="BJ520" i="4"/>
  <c r="BJ521" i="4"/>
  <c r="BJ522" i="4"/>
  <c r="BJ523" i="4"/>
  <c r="BJ524" i="4"/>
  <c r="BJ525" i="4"/>
  <c r="BJ526" i="4"/>
  <c r="BJ527" i="4"/>
  <c r="BJ528" i="4"/>
  <c r="BJ529" i="4"/>
  <c r="BJ530" i="4"/>
  <c r="BJ531" i="4"/>
  <c r="BJ532" i="4"/>
  <c r="BJ533" i="4"/>
  <c r="BJ534" i="4"/>
  <c r="BJ535" i="4"/>
  <c r="BJ536" i="4"/>
  <c r="BJ537" i="4"/>
  <c r="BJ538" i="4"/>
  <c r="BJ539" i="4"/>
  <c r="BJ540" i="4"/>
  <c r="BJ541" i="4"/>
  <c r="BJ542" i="4"/>
  <c r="BJ544" i="4"/>
  <c r="BJ545" i="4"/>
  <c r="BJ546" i="4"/>
  <c r="BJ547" i="4"/>
  <c r="BJ543" i="4"/>
  <c r="BJ548" i="4"/>
  <c r="BJ549" i="4"/>
  <c r="BJ550" i="4"/>
  <c r="BJ551" i="4"/>
  <c r="BJ552" i="4"/>
  <c r="BJ553" i="4"/>
  <c r="BJ554" i="4"/>
  <c r="BJ555" i="4"/>
  <c r="BJ556" i="4"/>
  <c r="BJ557" i="4"/>
  <c r="BJ558" i="4"/>
  <c r="BJ559" i="4"/>
  <c r="BJ560" i="4"/>
  <c r="BJ561" i="4"/>
  <c r="BJ562" i="4"/>
  <c r="BJ563" i="4"/>
  <c r="BJ564" i="4"/>
  <c r="BJ566" i="4"/>
  <c r="BJ567" i="4"/>
  <c r="BJ568" i="4"/>
  <c r="BJ569" i="4"/>
  <c r="BJ570" i="4"/>
  <c r="BJ571" i="4"/>
  <c r="BJ572" i="4"/>
  <c r="BJ573" i="4"/>
  <c r="BJ574" i="4"/>
  <c r="BJ575" i="4"/>
  <c r="BJ576" i="4"/>
  <c r="BJ577" i="4"/>
  <c r="BJ578" i="4"/>
  <c r="BJ579" i="4"/>
  <c r="BJ580" i="4"/>
  <c r="BJ583" i="4"/>
  <c r="BJ584" i="4"/>
  <c r="BJ585" i="4"/>
  <c r="BJ586" i="4"/>
  <c r="BJ587" i="4"/>
  <c r="BJ588" i="4"/>
  <c r="BJ589" i="4"/>
  <c r="BJ590" i="4"/>
  <c r="BJ591" i="4"/>
  <c r="BJ592" i="4"/>
  <c r="BJ565" i="4"/>
  <c r="BJ593" i="4"/>
  <c r="BJ594" i="4"/>
  <c r="BJ595" i="4"/>
  <c r="BJ597" i="4"/>
  <c r="BJ598" i="4"/>
  <c r="BJ599" i="4"/>
  <c r="BJ600" i="4"/>
  <c r="BJ601" i="4"/>
  <c r="BJ602" i="4"/>
  <c r="BJ581" i="4"/>
  <c r="BJ582" i="4"/>
  <c r="BJ603" i="4"/>
  <c r="BJ604" i="4"/>
  <c r="BJ605" i="4"/>
  <c r="BJ606" i="4"/>
  <c r="BJ607" i="4"/>
  <c r="BJ608" i="4"/>
  <c r="BJ609" i="4"/>
  <c r="BJ610" i="4"/>
  <c r="BJ611" i="4"/>
  <c r="BJ612" i="4"/>
  <c r="BJ596" i="4"/>
  <c r="BJ613" i="4"/>
  <c r="BJ614" i="4"/>
  <c r="BJ615" i="4"/>
  <c r="BJ616" i="4"/>
  <c r="BJ617" i="4"/>
  <c r="BJ618" i="4"/>
  <c r="BJ620" i="4"/>
  <c r="BJ621" i="4"/>
  <c r="BJ619" i="4"/>
  <c r="BJ622" i="4"/>
  <c r="BJ623" i="4"/>
  <c r="BJ624" i="4"/>
  <c r="BJ625" i="4"/>
  <c r="BJ626" i="4"/>
  <c r="BJ627" i="4"/>
  <c r="BJ628" i="4"/>
  <c r="BJ629" i="4"/>
  <c r="BJ630" i="4"/>
  <c r="BJ631" i="4"/>
  <c r="BJ632" i="4"/>
  <c r="BJ633" i="4"/>
  <c r="BJ634" i="4"/>
  <c r="BJ635" i="4"/>
  <c r="BJ636" i="4"/>
  <c r="BJ637" i="4"/>
  <c r="BJ638" i="4"/>
  <c r="BJ639" i="4"/>
  <c r="BJ640" i="4"/>
  <c r="BJ641" i="4"/>
  <c r="BJ642" i="4"/>
  <c r="BJ643" i="4"/>
  <c r="BJ644" i="4"/>
  <c r="BJ645" i="4"/>
  <c r="BJ646" i="4"/>
  <c r="BJ648" i="4"/>
  <c r="BJ649" i="4"/>
  <c r="BJ650" i="4"/>
  <c r="BJ651" i="4"/>
  <c r="BJ653" i="4"/>
  <c r="BJ654" i="4"/>
  <c r="BJ655" i="4"/>
  <c r="BJ647" i="4"/>
  <c r="BJ656" i="4"/>
  <c r="BJ657" i="4"/>
  <c r="BJ659" i="4"/>
  <c r="BJ652" i="4"/>
  <c r="BJ658" i="4"/>
  <c r="BJ660" i="4"/>
  <c r="BJ661" i="4"/>
  <c r="BJ662" i="4"/>
  <c r="BJ663" i="4"/>
  <c r="BJ664" i="4"/>
  <c r="BJ665" i="4"/>
  <c r="BJ666" i="4"/>
  <c r="BJ667" i="4"/>
  <c r="BJ668" i="4"/>
  <c r="BJ669" i="4"/>
  <c r="BJ670" i="4"/>
  <c r="BJ671" i="4"/>
  <c r="BJ672" i="4"/>
  <c r="BJ674" i="4"/>
  <c r="BJ675" i="4"/>
  <c r="BJ676" i="4"/>
  <c r="BJ677" i="4"/>
  <c r="BJ678" i="4"/>
  <c r="BJ679" i="4"/>
  <c r="BJ680" i="4"/>
  <c r="BJ681" i="4"/>
  <c r="BJ673" i="4"/>
  <c r="BJ102" i="4"/>
  <c r="BJ103" i="4"/>
  <c r="BJ104" i="4"/>
  <c r="BJ96" i="4"/>
  <c r="BJ97" i="4"/>
  <c r="BJ98" i="4"/>
  <c r="BJ105" i="4"/>
  <c r="BJ122" i="4"/>
  <c r="BJ117" i="4"/>
  <c r="BJ106" i="4"/>
  <c r="BJ107" i="4"/>
  <c r="BJ118" i="4"/>
  <c r="BJ119" i="4"/>
  <c r="BJ114" i="4"/>
  <c r="BJ99" i="4"/>
  <c r="BJ123" i="4"/>
  <c r="BJ100" i="4"/>
  <c r="BJ108" i="4"/>
  <c r="BJ109" i="4"/>
  <c r="BJ110" i="4"/>
  <c r="BJ111" i="4"/>
  <c r="BJ121" i="4"/>
  <c r="BJ101" i="4"/>
  <c r="BJ112" i="4"/>
  <c r="BJ113" i="4"/>
  <c r="BJ120" i="4"/>
  <c r="BJ115" i="4"/>
  <c r="BJ116" i="4"/>
  <c r="BG53" i="4"/>
  <c r="BG54" i="4"/>
  <c r="BG55" i="4"/>
  <c r="BG56" i="4"/>
  <c r="BG57" i="4"/>
  <c r="BG59" i="4"/>
  <c r="BG60" i="4"/>
  <c r="BG61" i="4"/>
  <c r="BG58" i="4"/>
  <c r="BG62" i="4"/>
  <c r="BG63" i="4"/>
  <c r="BG64" i="4"/>
  <c r="BG65" i="4"/>
  <c r="BG67" i="4"/>
  <c r="BG68" i="4"/>
  <c r="BG69" i="4"/>
  <c r="BG70" i="4"/>
  <c r="BG66" i="4"/>
  <c r="BG71" i="4"/>
  <c r="BG72" i="4"/>
  <c r="BG73" i="4"/>
  <c r="BG74" i="4"/>
  <c r="BG75" i="4"/>
  <c r="BG76" i="4"/>
  <c r="BG77" i="4"/>
  <c r="BG78" i="4"/>
  <c r="BG79" i="4"/>
  <c r="BG80" i="4"/>
  <c r="BG81" i="4"/>
  <c r="BG83" i="4"/>
  <c r="BG82" i="4"/>
  <c r="BG84" i="4"/>
  <c r="BG85" i="4"/>
  <c r="BG86" i="4"/>
  <c r="BG87" i="4"/>
  <c r="BG88" i="4"/>
  <c r="BG89" i="4"/>
  <c r="BG90" i="4"/>
  <c r="BG91" i="4"/>
  <c r="BG92" i="4"/>
  <c r="BG93" i="4"/>
  <c r="BG94" i="4"/>
  <c r="BG95" i="4"/>
  <c r="BG124" i="4"/>
  <c r="BG125" i="4"/>
  <c r="BG126" i="4"/>
  <c r="BG127" i="4"/>
  <c r="BG128" i="4"/>
  <c r="BG129" i="4"/>
  <c r="BG130" i="4"/>
  <c r="BG131" i="4"/>
  <c r="BG132" i="4"/>
  <c r="BG133" i="4"/>
  <c r="BG134" i="4"/>
  <c r="BG135" i="4"/>
  <c r="BG137" i="4"/>
  <c r="BG138" i="4"/>
  <c r="BG139" i="4"/>
  <c r="BG140" i="4"/>
  <c r="BG136" i="4"/>
  <c r="BG142" i="4"/>
  <c r="BG143" i="4"/>
  <c r="BG144" i="4"/>
  <c r="BG146" i="4"/>
  <c r="BG147" i="4"/>
  <c r="BG149" i="4"/>
  <c r="BG150" i="4"/>
  <c r="BG151" i="4"/>
  <c r="BG153" i="4"/>
  <c r="BG145" i="4"/>
  <c r="BG154" i="4"/>
  <c r="BG148" i="4"/>
  <c r="BG152" i="4"/>
  <c r="BG155" i="4"/>
  <c r="BG156" i="4"/>
  <c r="BG141" i="4"/>
  <c r="BG157" i="4"/>
  <c r="BG158" i="4"/>
  <c r="BG159" i="4"/>
  <c r="BG160" i="4"/>
  <c r="BG161" i="4"/>
  <c r="BG162" i="4"/>
  <c r="BG163" i="4"/>
  <c r="BG164" i="4"/>
  <c r="BG165" i="4"/>
  <c r="BG166" i="4"/>
  <c r="BG167" i="4"/>
  <c r="BG168" i="4"/>
  <c r="BG169" i="4"/>
  <c r="BG170" i="4"/>
  <c r="BG171" i="4"/>
  <c r="BG172" i="4"/>
  <c r="BG173" i="4"/>
  <c r="BG174" i="4"/>
  <c r="BG175" i="4"/>
  <c r="BG176" i="4"/>
  <c r="BG177" i="4"/>
  <c r="BG178" i="4"/>
  <c r="BG179" i="4"/>
  <c r="BG180" i="4"/>
  <c r="BG181" i="4"/>
  <c r="BG186" i="4"/>
  <c r="BG192" i="4"/>
  <c r="BG193" i="4"/>
  <c r="BG194" i="4"/>
  <c r="BG197" i="4"/>
  <c r="BG200" i="4"/>
  <c r="BG203" i="4"/>
  <c r="BG195" i="4"/>
  <c r="BG206" i="4"/>
  <c r="BG207" i="4"/>
  <c r="BG208" i="4"/>
  <c r="BG209" i="4"/>
  <c r="BG210" i="4"/>
  <c r="BG211" i="4"/>
  <c r="BG212" i="4"/>
  <c r="BG213" i="4"/>
  <c r="BG214" i="4"/>
  <c r="BG215" i="4"/>
  <c r="BG216" i="4"/>
  <c r="BG217" i="4"/>
  <c r="BG218" i="4"/>
  <c r="BG219" i="4"/>
  <c r="BG220" i="4"/>
  <c r="BG221" i="4"/>
  <c r="BG222" i="4"/>
  <c r="BG223" i="4"/>
  <c r="BG224" i="4"/>
  <c r="BG225" i="4"/>
  <c r="BG226" i="4"/>
  <c r="BG227" i="4"/>
  <c r="BG228" i="4"/>
  <c r="BG229" i="4"/>
  <c r="BG230" i="4"/>
  <c r="BG231" i="4"/>
  <c r="BG233" i="4"/>
  <c r="BG234" i="4"/>
  <c r="BG235" i="4"/>
  <c r="BG236" i="4"/>
  <c r="BG237" i="4"/>
  <c r="BG232" i="4"/>
  <c r="BG238" i="4"/>
  <c r="BG240" i="4"/>
  <c r="BG239" i="4"/>
  <c r="BG241" i="4"/>
  <c r="BG242" i="4"/>
  <c r="BG243" i="4"/>
  <c r="BG244" i="4"/>
  <c r="BG245" i="4"/>
  <c r="BG246" i="4"/>
  <c r="BG247" i="4"/>
  <c r="BG248" i="4"/>
  <c r="BG249" i="4"/>
  <c r="BG251" i="4"/>
  <c r="BG253" i="4"/>
  <c r="BG254" i="4"/>
  <c r="BG255" i="4"/>
  <c r="BG256" i="4"/>
  <c r="BG257" i="4"/>
  <c r="BG250" i="4"/>
  <c r="BG258" i="4"/>
  <c r="BG259" i="4"/>
  <c r="BG260" i="4"/>
  <c r="BG252" i="4"/>
  <c r="BG261" i="4"/>
  <c r="BG262" i="4"/>
  <c r="BG263" i="4"/>
  <c r="BG264" i="4"/>
  <c r="BG265" i="4"/>
  <c r="BG266" i="4"/>
  <c r="BG267" i="4"/>
  <c r="BG268" i="4"/>
  <c r="BG269" i="4"/>
  <c r="BG270" i="4"/>
  <c r="BG271" i="4"/>
  <c r="BG272" i="4"/>
  <c r="BG273" i="4"/>
  <c r="BG274" i="4"/>
  <c r="BG275" i="4"/>
  <c r="BG276" i="4"/>
  <c r="BG277" i="4"/>
  <c r="BG278" i="4"/>
  <c r="BG279" i="4"/>
  <c r="BG280" i="4"/>
  <c r="BG281" i="4"/>
  <c r="BG282" i="4"/>
  <c r="BG283" i="4"/>
  <c r="BG284" i="4"/>
  <c r="BG285" i="4"/>
  <c r="BG286" i="4"/>
  <c r="BG287" i="4"/>
  <c r="BG288" i="4"/>
  <c r="BG289" i="4"/>
  <c r="BG291" i="4"/>
  <c r="BG290" i="4"/>
  <c r="BG292" i="4"/>
  <c r="BG293" i="4"/>
  <c r="BG294" i="4"/>
  <c r="BG295" i="4"/>
  <c r="BG296" i="4"/>
  <c r="BG297" i="4"/>
  <c r="BG298" i="4"/>
  <c r="BG299" i="4"/>
  <c r="BG300" i="4"/>
  <c r="BG301" i="4"/>
  <c r="BG302" i="4"/>
  <c r="BG303" i="4"/>
  <c r="BG304" i="4"/>
  <c r="BG305" i="4"/>
  <c r="BG306" i="4"/>
  <c r="BG307" i="4"/>
  <c r="BG308" i="4"/>
  <c r="BG309" i="4"/>
  <c r="BG310" i="4"/>
  <c r="BG311" i="4"/>
  <c r="BG312" i="4"/>
  <c r="BG313" i="4"/>
  <c r="BG314" i="4"/>
  <c r="BG315" i="4"/>
  <c r="BG316" i="4"/>
  <c r="BG317" i="4"/>
  <c r="BG318" i="4"/>
  <c r="BG319" i="4"/>
  <c r="BG320" i="4"/>
  <c r="BG321" i="4"/>
  <c r="BG322" i="4"/>
  <c r="BG323" i="4"/>
  <c r="BG324" i="4"/>
  <c r="BG325" i="4"/>
  <c r="BG326" i="4"/>
  <c r="BG327" i="4"/>
  <c r="BG328" i="4"/>
  <c r="BG329" i="4"/>
  <c r="BG330" i="4"/>
  <c r="BG331" i="4"/>
  <c r="BG332" i="4"/>
  <c r="BG333" i="4"/>
  <c r="BG334" i="4"/>
  <c r="BG335" i="4"/>
  <c r="BG336" i="4"/>
  <c r="BG337" i="4"/>
  <c r="BG338" i="4"/>
  <c r="BG339" i="4"/>
  <c r="BG340" i="4"/>
  <c r="BG341" i="4"/>
  <c r="BG342" i="4"/>
  <c r="BG343" i="4"/>
  <c r="BG344" i="4"/>
  <c r="BG345" i="4"/>
  <c r="BG346" i="4"/>
  <c r="BG347" i="4"/>
  <c r="BG348" i="4"/>
  <c r="BG349" i="4"/>
  <c r="BG350" i="4"/>
  <c r="BG351" i="4"/>
  <c r="BG352" i="4"/>
  <c r="BG353" i="4"/>
  <c r="BG354" i="4"/>
  <c r="BG355" i="4"/>
  <c r="BG356" i="4"/>
  <c r="BG357" i="4"/>
  <c r="BG358" i="4"/>
  <c r="BG359" i="4"/>
  <c r="BG360" i="4"/>
  <c r="BG388" i="4"/>
  <c r="BG389" i="4"/>
  <c r="BG397" i="4"/>
  <c r="BG390" i="4"/>
  <c r="BG430" i="4"/>
  <c r="BG391" i="4"/>
  <c r="BG392" i="4"/>
  <c r="BG393" i="4"/>
  <c r="BG394" i="4"/>
  <c r="BG395" i="4"/>
  <c r="BG396" i="4"/>
  <c r="BG398" i="4"/>
  <c r="BG399" i="4"/>
  <c r="BG400" i="4"/>
  <c r="BG401" i="4"/>
  <c r="BG402" i="4"/>
  <c r="BG403" i="4"/>
  <c r="BG404" i="4"/>
  <c r="BG405" i="4"/>
  <c r="BG406" i="4"/>
  <c r="BG407" i="4"/>
  <c r="BG408" i="4"/>
  <c r="BG409" i="4"/>
  <c r="BG410" i="4"/>
  <c r="BG411" i="4"/>
  <c r="BG412" i="4"/>
  <c r="BG413" i="4"/>
  <c r="BG414" i="4"/>
  <c r="BG415" i="4"/>
  <c r="BG416" i="4"/>
  <c r="BG417" i="4"/>
  <c r="BG419" i="4"/>
  <c r="BG420" i="4"/>
  <c r="BG421" i="4"/>
  <c r="BG422" i="4"/>
  <c r="BG423" i="4"/>
  <c r="BG424" i="4"/>
  <c r="BG425" i="4"/>
  <c r="BG426" i="4"/>
  <c r="BG427" i="4"/>
  <c r="BG428" i="4"/>
  <c r="BG429" i="4"/>
  <c r="BG431" i="4"/>
  <c r="BG432" i="4"/>
  <c r="BG433" i="4"/>
  <c r="BG434" i="4"/>
  <c r="BG418" i="4"/>
  <c r="BG361" i="4"/>
  <c r="BG362" i="4"/>
  <c r="BG363" i="4"/>
  <c r="BG364" i="4"/>
  <c r="BG365" i="4"/>
  <c r="BG366" i="4"/>
  <c r="BG367" i="4"/>
  <c r="BG368" i="4"/>
  <c r="BG369" i="4"/>
  <c r="BG370" i="4"/>
  <c r="BG371" i="4"/>
  <c r="BG372" i="4"/>
  <c r="BG373" i="4"/>
  <c r="BG374" i="4"/>
  <c r="BG376" i="4"/>
  <c r="BG378" i="4"/>
  <c r="BG379" i="4"/>
  <c r="BG375" i="4"/>
  <c r="BG377" i="4"/>
  <c r="BG380" i="4"/>
  <c r="BG381" i="4"/>
  <c r="BG382" i="4"/>
  <c r="BG383" i="4"/>
  <c r="BG384" i="4"/>
  <c r="BG385" i="4"/>
  <c r="BG386" i="4"/>
  <c r="BG387" i="4"/>
  <c r="BG435" i="4"/>
  <c r="BG436" i="4"/>
  <c r="BG437" i="4"/>
  <c r="BG438" i="4"/>
  <c r="BG439" i="4"/>
  <c r="BG440" i="4"/>
  <c r="BG441" i="4"/>
  <c r="BG442" i="4"/>
  <c r="BG443" i="4"/>
  <c r="BG444" i="4"/>
  <c r="BG446" i="4"/>
  <c r="BG445" i="4"/>
  <c r="BG447" i="4"/>
  <c r="BG449" i="4"/>
  <c r="BG451" i="4"/>
  <c r="BG452" i="4"/>
  <c r="BG453" i="4"/>
  <c r="BG454" i="4"/>
  <c r="BG448" i="4"/>
  <c r="BG455" i="4"/>
  <c r="BG456" i="4"/>
  <c r="BG457" i="4"/>
  <c r="BG450" i="4"/>
  <c r="BG458" i="4"/>
  <c r="BG459" i="4"/>
  <c r="BG460" i="4"/>
  <c r="BG461" i="4"/>
  <c r="BG462" i="4"/>
  <c r="BG463" i="4"/>
  <c r="BG464" i="4"/>
  <c r="BG465" i="4"/>
  <c r="BG466" i="4"/>
  <c r="BG467" i="4"/>
  <c r="BG468" i="4"/>
  <c r="BG470" i="4"/>
  <c r="BG471" i="4"/>
  <c r="BG472" i="4"/>
  <c r="BG469" i="4"/>
  <c r="BG473" i="4"/>
  <c r="BG474" i="4"/>
  <c r="BG475" i="4"/>
  <c r="BG476" i="4"/>
  <c r="BG478" i="4"/>
  <c r="BG479" i="4"/>
  <c r="BG481" i="4"/>
  <c r="BG482" i="4"/>
  <c r="BG484" i="4"/>
  <c r="BG485" i="4"/>
  <c r="BG477" i="4"/>
  <c r="BG486" i="4"/>
  <c r="BG487" i="4"/>
  <c r="BG480" i="4"/>
  <c r="BG488" i="4"/>
  <c r="BG483" i="4"/>
  <c r="BG489" i="4"/>
  <c r="BG490" i="4"/>
  <c r="BG491" i="4"/>
  <c r="BG492" i="4"/>
  <c r="BG493" i="4"/>
  <c r="BG494" i="4"/>
  <c r="BG495" i="4"/>
  <c r="BG496" i="4"/>
  <c r="BG497" i="4"/>
  <c r="BG498" i="4"/>
  <c r="BG499" i="4"/>
  <c r="BG500" i="4"/>
  <c r="BG501" i="4"/>
  <c r="BG502" i="4"/>
  <c r="BG503" i="4"/>
  <c r="BG504" i="4"/>
  <c r="BG505" i="4"/>
  <c r="BG506" i="4"/>
  <c r="BG507" i="4"/>
  <c r="BG508" i="4"/>
  <c r="BG509" i="4"/>
  <c r="BG510" i="4"/>
  <c r="BG511" i="4"/>
  <c r="BG512" i="4"/>
  <c r="BG513" i="4"/>
  <c r="BG514" i="4"/>
  <c r="BG515" i="4"/>
  <c r="BG516" i="4"/>
  <c r="BG517" i="4"/>
  <c r="BG518" i="4"/>
  <c r="BG519" i="4"/>
  <c r="BG520" i="4"/>
  <c r="BG521" i="4"/>
  <c r="BG522" i="4"/>
  <c r="BG523" i="4"/>
  <c r="BG524" i="4"/>
  <c r="BG525" i="4"/>
  <c r="BG526" i="4"/>
  <c r="BG527" i="4"/>
  <c r="BG528" i="4"/>
  <c r="BG529" i="4"/>
  <c r="BG530" i="4"/>
  <c r="BG531" i="4"/>
  <c r="BG532" i="4"/>
  <c r="BG533" i="4"/>
  <c r="BG534" i="4"/>
  <c r="BG535" i="4"/>
  <c r="BG536" i="4"/>
  <c r="BG537" i="4"/>
  <c r="BG538" i="4"/>
  <c r="BG539" i="4"/>
  <c r="BG540" i="4"/>
  <c r="BG541" i="4"/>
  <c r="BG542" i="4"/>
  <c r="BG544" i="4"/>
  <c r="BG545" i="4"/>
  <c r="BG546" i="4"/>
  <c r="BG547" i="4"/>
  <c r="BG543" i="4"/>
  <c r="BG548" i="4"/>
  <c r="BG549" i="4"/>
  <c r="BG550" i="4"/>
  <c r="BG551" i="4"/>
  <c r="BG552" i="4"/>
  <c r="BG553" i="4"/>
  <c r="BG554" i="4"/>
  <c r="BG555" i="4"/>
  <c r="BG556" i="4"/>
  <c r="BG557" i="4"/>
  <c r="BG558" i="4"/>
  <c r="BG559" i="4"/>
  <c r="BG560" i="4"/>
  <c r="BG561" i="4"/>
  <c r="BG562" i="4"/>
  <c r="BG563" i="4"/>
  <c r="BG564" i="4"/>
  <c r="BG566" i="4"/>
  <c r="BG567" i="4"/>
  <c r="BG568" i="4"/>
  <c r="BG569" i="4"/>
  <c r="BG570" i="4"/>
  <c r="BG571" i="4"/>
  <c r="BG572" i="4"/>
  <c r="BG573" i="4"/>
  <c r="BG574" i="4"/>
  <c r="BG575" i="4"/>
  <c r="BG576" i="4"/>
  <c r="BG577" i="4"/>
  <c r="BG578" i="4"/>
  <c r="BG579" i="4"/>
  <c r="BG580" i="4"/>
  <c r="BG583" i="4"/>
  <c r="BG584" i="4"/>
  <c r="BG585" i="4"/>
  <c r="BG586" i="4"/>
  <c r="BG587" i="4"/>
  <c r="BG588" i="4"/>
  <c r="BG589" i="4"/>
  <c r="BG590" i="4"/>
  <c r="BG591" i="4"/>
  <c r="BG592" i="4"/>
  <c r="BG565" i="4"/>
  <c r="BG593" i="4"/>
  <c r="BG594" i="4"/>
  <c r="BG595" i="4"/>
  <c r="BG597" i="4"/>
  <c r="BG598" i="4"/>
  <c r="BG599" i="4"/>
  <c r="BG600" i="4"/>
  <c r="BG601" i="4"/>
  <c r="BG602" i="4"/>
  <c r="BG581" i="4"/>
  <c r="BG582" i="4"/>
  <c r="BG603" i="4"/>
  <c r="BG604" i="4"/>
  <c r="BG605" i="4"/>
  <c r="BG606" i="4"/>
  <c r="BG607" i="4"/>
  <c r="BG608" i="4"/>
  <c r="BG609" i="4"/>
  <c r="BG610" i="4"/>
  <c r="BG611" i="4"/>
  <c r="BG612" i="4"/>
  <c r="BG596" i="4"/>
  <c r="BG613" i="4"/>
  <c r="BG614" i="4"/>
  <c r="BG615" i="4"/>
  <c r="BG616" i="4"/>
  <c r="BG617" i="4"/>
  <c r="BG618" i="4"/>
  <c r="BG620" i="4"/>
  <c r="BG621" i="4"/>
  <c r="BG619" i="4"/>
  <c r="BG622" i="4"/>
  <c r="BG623" i="4"/>
  <c r="BG624" i="4"/>
  <c r="BG625" i="4"/>
  <c r="BG626" i="4"/>
  <c r="BG627" i="4"/>
  <c r="BG628" i="4"/>
  <c r="BG629" i="4"/>
  <c r="BG630" i="4"/>
  <c r="BG631" i="4"/>
  <c r="BG632" i="4"/>
  <c r="BG633" i="4"/>
  <c r="BG634" i="4"/>
  <c r="BG635" i="4"/>
  <c r="BG636" i="4"/>
  <c r="BG637" i="4"/>
  <c r="BG638" i="4"/>
  <c r="BG639" i="4"/>
  <c r="BG640" i="4"/>
  <c r="BG641" i="4"/>
  <c r="BG642" i="4"/>
  <c r="BG643" i="4"/>
  <c r="BG644" i="4"/>
  <c r="BG645" i="4"/>
  <c r="BG646" i="4"/>
  <c r="BG648" i="4"/>
  <c r="BG649" i="4"/>
  <c r="BG650" i="4"/>
  <c r="BG651" i="4"/>
  <c r="BG653" i="4"/>
  <c r="BG654" i="4"/>
  <c r="BG655" i="4"/>
  <c r="BG647" i="4"/>
  <c r="BG656" i="4"/>
  <c r="BG657" i="4"/>
  <c r="BG659" i="4"/>
  <c r="BG652" i="4"/>
  <c r="BG658" i="4"/>
  <c r="BG660" i="4"/>
  <c r="BG661" i="4"/>
  <c r="BG662" i="4"/>
  <c r="BG663" i="4"/>
  <c r="BG664" i="4"/>
  <c r="BG665" i="4"/>
  <c r="BG666" i="4"/>
  <c r="BG667" i="4"/>
  <c r="BG668" i="4"/>
  <c r="BG669" i="4"/>
  <c r="BG670" i="4"/>
  <c r="BG671" i="4"/>
  <c r="BG672" i="4"/>
  <c r="BG674" i="4"/>
  <c r="BG675" i="4"/>
  <c r="BG676" i="4"/>
  <c r="BG677" i="4"/>
  <c r="BG678" i="4"/>
  <c r="BG679" i="4"/>
  <c r="BG680" i="4"/>
  <c r="BG681" i="4"/>
  <c r="BG673" i="4"/>
  <c r="BG102" i="4"/>
  <c r="BG103" i="4"/>
  <c r="BG104" i="4"/>
  <c r="BG96" i="4"/>
  <c r="BG97" i="4"/>
  <c r="BG98" i="4"/>
  <c r="BG105" i="4"/>
  <c r="BG122" i="4"/>
  <c r="BG117" i="4"/>
  <c r="BG106" i="4"/>
  <c r="BG107" i="4"/>
  <c r="BG118" i="4"/>
  <c r="BG119" i="4"/>
  <c r="BG114" i="4"/>
  <c r="BG99" i="4"/>
  <c r="BG123" i="4"/>
  <c r="BG100" i="4"/>
  <c r="BG108" i="4"/>
  <c r="BG109" i="4"/>
  <c r="BG110" i="4"/>
  <c r="BG111" i="4"/>
  <c r="BG121" i="4"/>
  <c r="BG101" i="4"/>
  <c r="BG112" i="4"/>
  <c r="BG113" i="4"/>
  <c r="BG120" i="4"/>
  <c r="BG115" i="4"/>
  <c r="BG116" i="4"/>
  <c r="BD52" i="4"/>
  <c r="BD53" i="4"/>
  <c r="BD54" i="4"/>
  <c r="BD55" i="4"/>
  <c r="BD56" i="4"/>
  <c r="BD57" i="4"/>
  <c r="BD59" i="4"/>
  <c r="BD60" i="4"/>
  <c r="BD61" i="4"/>
  <c r="BD58" i="4"/>
  <c r="BD62" i="4"/>
  <c r="BD63" i="4"/>
  <c r="BD64" i="4"/>
  <c r="BD65" i="4"/>
  <c r="BD67" i="4"/>
  <c r="BD68" i="4"/>
  <c r="BD69" i="4"/>
  <c r="BD70" i="4"/>
  <c r="BD66" i="4"/>
  <c r="BD71" i="4"/>
  <c r="BD72" i="4"/>
  <c r="BD73" i="4"/>
  <c r="BD74" i="4"/>
  <c r="BD75" i="4"/>
  <c r="BD76" i="4"/>
  <c r="BD77" i="4"/>
  <c r="BD78" i="4"/>
  <c r="BD79" i="4"/>
  <c r="BD80" i="4"/>
  <c r="BD81" i="4"/>
  <c r="BD83" i="4"/>
  <c r="BD82" i="4"/>
  <c r="BD84" i="4"/>
  <c r="BD85" i="4"/>
  <c r="BD86" i="4"/>
  <c r="BD87" i="4"/>
  <c r="BD88" i="4"/>
  <c r="BD89" i="4"/>
  <c r="BD90" i="4"/>
  <c r="BD91" i="4"/>
  <c r="BD92" i="4"/>
  <c r="BD93" i="4"/>
  <c r="BD94" i="4"/>
  <c r="BD95" i="4"/>
  <c r="BD124" i="4"/>
  <c r="BD125" i="4"/>
  <c r="BD126" i="4"/>
  <c r="BD127" i="4"/>
  <c r="BD128" i="4"/>
  <c r="BD129" i="4"/>
  <c r="BD130" i="4"/>
  <c r="BD131" i="4"/>
  <c r="BD132" i="4"/>
  <c r="BD133" i="4"/>
  <c r="BD134" i="4"/>
  <c r="BD135" i="4"/>
  <c r="BD137" i="4"/>
  <c r="BD138" i="4"/>
  <c r="BD139" i="4"/>
  <c r="BD140" i="4"/>
  <c r="BD136" i="4"/>
  <c r="BD142" i="4"/>
  <c r="BD143" i="4"/>
  <c r="BD144" i="4"/>
  <c r="BD146" i="4"/>
  <c r="BD147" i="4"/>
  <c r="BD149" i="4"/>
  <c r="BD150" i="4"/>
  <c r="BD151" i="4"/>
  <c r="BD153" i="4"/>
  <c r="BD145" i="4"/>
  <c r="BD154" i="4"/>
  <c r="BD148" i="4"/>
  <c r="BD152" i="4"/>
  <c r="BD155" i="4"/>
  <c r="BD156" i="4"/>
  <c r="BD141" i="4"/>
  <c r="BD157" i="4"/>
  <c r="BD158" i="4"/>
  <c r="BD159" i="4"/>
  <c r="BD160" i="4"/>
  <c r="BD161" i="4"/>
  <c r="BD162" i="4"/>
  <c r="BD163" i="4"/>
  <c r="BD164" i="4"/>
  <c r="BD165" i="4"/>
  <c r="BD166" i="4"/>
  <c r="BD167" i="4"/>
  <c r="BD168" i="4"/>
  <c r="BD169" i="4"/>
  <c r="BD170" i="4"/>
  <c r="BD171" i="4"/>
  <c r="BD172" i="4"/>
  <c r="BD173" i="4"/>
  <c r="BD174" i="4"/>
  <c r="BD175" i="4"/>
  <c r="BD176" i="4"/>
  <c r="BD177" i="4"/>
  <c r="BD178" i="4"/>
  <c r="BD179" i="4"/>
  <c r="BD180" i="4"/>
  <c r="BD181" i="4"/>
  <c r="BD182" i="4"/>
  <c r="BD183" i="4"/>
  <c r="BD184" i="4"/>
  <c r="BD185" i="4"/>
  <c r="BD186" i="4"/>
  <c r="BD187" i="4"/>
  <c r="BD188" i="4"/>
  <c r="BD189" i="4"/>
  <c r="BD190" i="4"/>
  <c r="BD191" i="4"/>
  <c r="BD192" i="4"/>
  <c r="BD193" i="4"/>
  <c r="BD194" i="4"/>
  <c r="BD196" i="4"/>
  <c r="BD197" i="4"/>
  <c r="BD198" i="4"/>
  <c r="BD199" i="4"/>
  <c r="BD200" i="4"/>
  <c r="BD201" i="4"/>
  <c r="BD202" i="4"/>
  <c r="BD203" i="4"/>
  <c r="BD195" i="4"/>
  <c r="BD204" i="4"/>
  <c r="BD205" i="4"/>
  <c r="BD206" i="4"/>
  <c r="BD207" i="4"/>
  <c r="BD208" i="4"/>
  <c r="BD209" i="4"/>
  <c r="BD210" i="4"/>
  <c r="BD211" i="4"/>
  <c r="BD212" i="4"/>
  <c r="BD213" i="4"/>
  <c r="BD214" i="4"/>
  <c r="BD215" i="4"/>
  <c r="BD216" i="4"/>
  <c r="BD217" i="4"/>
  <c r="BD218" i="4"/>
  <c r="BD219" i="4"/>
  <c r="BD220" i="4"/>
  <c r="BD221" i="4"/>
  <c r="BD222" i="4"/>
  <c r="BD223" i="4"/>
  <c r="BD224" i="4"/>
  <c r="BD225" i="4"/>
  <c r="BD226" i="4"/>
  <c r="BD227" i="4"/>
  <c r="BD228" i="4"/>
  <c r="BD229" i="4"/>
  <c r="BD230" i="4"/>
  <c r="BD231" i="4"/>
  <c r="BD233" i="4"/>
  <c r="BD234" i="4"/>
  <c r="BD235" i="4"/>
  <c r="BD236" i="4"/>
  <c r="BD237" i="4"/>
  <c r="BD232" i="4"/>
  <c r="BD238" i="4"/>
  <c r="BD240" i="4"/>
  <c r="BD239" i="4"/>
  <c r="BD241" i="4"/>
  <c r="BD242" i="4"/>
  <c r="BD243" i="4"/>
  <c r="BD244" i="4"/>
  <c r="BD245" i="4"/>
  <c r="BD246" i="4"/>
  <c r="BD247" i="4"/>
  <c r="BD248" i="4"/>
  <c r="BD249" i="4"/>
  <c r="BD251" i="4"/>
  <c r="BD253" i="4"/>
  <c r="BD254" i="4"/>
  <c r="BD255" i="4"/>
  <c r="BD256" i="4"/>
  <c r="BD257" i="4"/>
  <c r="BD250" i="4"/>
  <c r="BD258" i="4"/>
  <c r="BD259" i="4"/>
  <c r="BD260" i="4"/>
  <c r="BD252" i="4"/>
  <c r="BD261" i="4"/>
  <c r="BD262" i="4"/>
  <c r="BD263" i="4"/>
  <c r="BD264" i="4"/>
  <c r="BD265" i="4"/>
  <c r="BD266" i="4"/>
  <c r="BD267" i="4"/>
  <c r="BD268" i="4"/>
  <c r="BD269" i="4"/>
  <c r="BD270" i="4"/>
  <c r="BD271" i="4"/>
  <c r="BD272" i="4"/>
  <c r="BD273" i="4"/>
  <c r="BD274" i="4"/>
  <c r="BD275" i="4"/>
  <c r="BD276" i="4"/>
  <c r="BD277" i="4"/>
  <c r="BD278" i="4"/>
  <c r="BD279" i="4"/>
  <c r="BD280" i="4"/>
  <c r="BD281" i="4"/>
  <c r="BD282" i="4"/>
  <c r="BD283" i="4"/>
  <c r="BD284" i="4"/>
  <c r="BD285" i="4"/>
  <c r="BD286" i="4"/>
  <c r="BD287" i="4"/>
  <c r="BD288" i="4"/>
  <c r="BD289" i="4"/>
  <c r="BD291" i="4"/>
  <c r="BD290" i="4"/>
  <c r="BD292" i="4"/>
  <c r="BD293" i="4"/>
  <c r="BD294" i="4"/>
  <c r="BD295" i="4"/>
  <c r="BD296" i="4"/>
  <c r="BD297" i="4"/>
  <c r="BD298" i="4"/>
  <c r="BD299" i="4"/>
  <c r="BD300" i="4"/>
  <c r="BD301" i="4"/>
  <c r="BD302" i="4"/>
  <c r="BD303" i="4"/>
  <c r="BD304" i="4"/>
  <c r="BD305" i="4"/>
  <c r="BD306" i="4"/>
  <c r="BD307" i="4"/>
  <c r="BD308" i="4"/>
  <c r="BD309" i="4"/>
  <c r="BD310" i="4"/>
  <c r="BD311" i="4"/>
  <c r="BD312" i="4"/>
  <c r="BD313" i="4"/>
  <c r="BD314" i="4"/>
  <c r="BD315" i="4"/>
  <c r="BD316" i="4"/>
  <c r="BD317" i="4"/>
  <c r="BD318" i="4"/>
  <c r="BD319" i="4"/>
  <c r="BD320" i="4"/>
  <c r="BD321" i="4"/>
  <c r="BD322" i="4"/>
  <c r="BD323" i="4"/>
  <c r="BD324" i="4"/>
  <c r="BD325" i="4"/>
  <c r="BD326" i="4"/>
  <c r="BD327" i="4"/>
  <c r="BD328" i="4"/>
  <c r="BD329" i="4"/>
  <c r="BD330" i="4"/>
  <c r="BD331" i="4"/>
  <c r="BD332" i="4"/>
  <c r="BD333" i="4"/>
  <c r="BD334" i="4"/>
  <c r="BD335" i="4"/>
  <c r="BD336" i="4"/>
  <c r="BD337" i="4"/>
  <c r="BD338" i="4"/>
  <c r="BD339" i="4"/>
  <c r="BD340" i="4"/>
  <c r="BD341" i="4"/>
  <c r="BD342" i="4"/>
  <c r="BD343" i="4"/>
  <c r="BD344" i="4"/>
  <c r="BD345" i="4"/>
  <c r="BD346" i="4"/>
  <c r="BD347" i="4"/>
  <c r="BD348" i="4"/>
  <c r="BD349" i="4"/>
  <c r="BD350" i="4"/>
  <c r="BD351" i="4"/>
  <c r="BD352" i="4"/>
  <c r="BD353" i="4"/>
  <c r="BD354" i="4"/>
  <c r="BD355" i="4"/>
  <c r="BD356" i="4"/>
  <c r="BD357" i="4"/>
  <c r="BD358" i="4"/>
  <c r="BD359" i="4"/>
  <c r="BD360" i="4"/>
  <c r="BD388" i="4"/>
  <c r="BD389" i="4"/>
  <c r="BD397" i="4"/>
  <c r="BD390" i="4"/>
  <c r="BD430" i="4"/>
  <c r="BD391" i="4"/>
  <c r="BD392" i="4"/>
  <c r="BD393" i="4"/>
  <c r="BD394" i="4"/>
  <c r="BD395" i="4"/>
  <c r="BD396" i="4"/>
  <c r="BD398" i="4"/>
  <c r="BD399" i="4"/>
  <c r="BD400" i="4"/>
  <c r="BD401" i="4"/>
  <c r="BD402" i="4"/>
  <c r="BD403" i="4"/>
  <c r="BD404" i="4"/>
  <c r="BD405" i="4"/>
  <c r="BD406" i="4"/>
  <c r="BD407" i="4"/>
  <c r="BD408" i="4"/>
  <c r="BD409" i="4"/>
  <c r="BD410" i="4"/>
  <c r="BD411" i="4"/>
  <c r="BD412" i="4"/>
  <c r="BD413" i="4"/>
  <c r="BD414" i="4"/>
  <c r="BD415" i="4"/>
  <c r="BD416" i="4"/>
  <c r="BD417" i="4"/>
  <c r="BD419" i="4"/>
  <c r="BD420" i="4"/>
  <c r="BD421" i="4"/>
  <c r="BD422" i="4"/>
  <c r="BD423" i="4"/>
  <c r="BD424" i="4"/>
  <c r="BD425" i="4"/>
  <c r="BD426" i="4"/>
  <c r="BD427" i="4"/>
  <c r="BD428" i="4"/>
  <c r="BD429" i="4"/>
  <c r="BD431" i="4"/>
  <c r="BD432" i="4"/>
  <c r="BD433" i="4"/>
  <c r="BD434" i="4"/>
  <c r="BD418" i="4"/>
  <c r="BD361" i="4"/>
  <c r="BD362" i="4"/>
  <c r="BD363" i="4"/>
  <c r="BD364" i="4"/>
  <c r="BD365" i="4"/>
  <c r="BD366" i="4"/>
  <c r="BD367" i="4"/>
  <c r="BD368" i="4"/>
  <c r="BD369" i="4"/>
  <c r="BD370" i="4"/>
  <c r="BD371" i="4"/>
  <c r="BD372" i="4"/>
  <c r="BD373" i="4"/>
  <c r="BD374" i="4"/>
  <c r="BD376" i="4"/>
  <c r="BD378" i="4"/>
  <c r="BD379" i="4"/>
  <c r="BD375" i="4"/>
  <c r="BD377" i="4"/>
  <c r="BD380" i="4"/>
  <c r="BD381" i="4"/>
  <c r="BD382" i="4"/>
  <c r="BD383" i="4"/>
  <c r="BD384" i="4"/>
  <c r="BD385" i="4"/>
  <c r="BD386" i="4"/>
  <c r="BD387" i="4"/>
  <c r="BD435" i="4"/>
  <c r="BD436" i="4"/>
  <c r="BD437" i="4"/>
  <c r="BD438" i="4"/>
  <c r="BD439" i="4"/>
  <c r="BD440" i="4"/>
  <c r="BD441" i="4"/>
  <c r="BD442" i="4"/>
  <c r="BD443" i="4"/>
  <c r="BD444" i="4"/>
  <c r="BD446" i="4"/>
  <c r="BD445" i="4"/>
  <c r="BD447" i="4"/>
  <c r="BD449" i="4"/>
  <c r="BD451" i="4"/>
  <c r="BD452" i="4"/>
  <c r="BD453" i="4"/>
  <c r="BD454" i="4"/>
  <c r="BD448" i="4"/>
  <c r="BD455" i="4"/>
  <c r="BD456" i="4"/>
  <c r="BD457" i="4"/>
  <c r="BD450" i="4"/>
  <c r="BD458" i="4"/>
  <c r="BD459" i="4"/>
  <c r="BD460" i="4"/>
  <c r="BD461" i="4"/>
  <c r="BD462" i="4"/>
  <c r="BD463" i="4"/>
  <c r="BD464" i="4"/>
  <c r="BD465" i="4"/>
  <c r="BD466" i="4"/>
  <c r="BD467" i="4"/>
  <c r="BD468" i="4"/>
  <c r="BD470" i="4"/>
  <c r="BD471" i="4"/>
  <c r="BD472" i="4"/>
  <c r="BD469" i="4"/>
  <c r="BD473" i="4"/>
  <c r="BD474" i="4"/>
  <c r="BD475" i="4"/>
  <c r="BD476" i="4"/>
  <c r="BD478" i="4"/>
  <c r="BD479" i="4"/>
  <c r="BD481" i="4"/>
  <c r="BD482" i="4"/>
  <c r="BD484" i="4"/>
  <c r="BD485" i="4"/>
  <c r="BD477" i="4"/>
  <c r="BD486" i="4"/>
  <c r="BD487" i="4"/>
  <c r="BD480" i="4"/>
  <c r="BD488" i="4"/>
  <c r="BD483" i="4"/>
  <c r="BD489" i="4"/>
  <c r="BD490" i="4"/>
  <c r="BD491" i="4"/>
  <c r="BD492" i="4"/>
  <c r="BD493" i="4"/>
  <c r="BD494" i="4"/>
  <c r="BD495" i="4"/>
  <c r="BD496" i="4"/>
  <c r="BD497" i="4"/>
  <c r="BD498" i="4"/>
  <c r="BD499" i="4"/>
  <c r="BD500" i="4"/>
  <c r="BD501" i="4"/>
  <c r="BD502" i="4"/>
  <c r="BD503" i="4"/>
  <c r="BD504" i="4"/>
  <c r="BD505" i="4"/>
  <c r="BD506" i="4"/>
  <c r="BD507" i="4"/>
  <c r="BD508" i="4"/>
  <c r="BD509" i="4"/>
  <c r="BD510" i="4"/>
  <c r="BD511" i="4"/>
  <c r="BD512" i="4"/>
  <c r="BD513" i="4"/>
  <c r="BD514" i="4"/>
  <c r="BD515" i="4"/>
  <c r="BD516" i="4"/>
  <c r="BD517" i="4"/>
  <c r="BD518" i="4"/>
  <c r="BD519" i="4"/>
  <c r="BD520" i="4"/>
  <c r="BD521" i="4"/>
  <c r="BD522" i="4"/>
  <c r="BD523" i="4"/>
  <c r="BD524" i="4"/>
  <c r="BD525" i="4"/>
  <c r="BD526" i="4"/>
  <c r="BD527" i="4"/>
  <c r="BD528" i="4"/>
  <c r="BD529" i="4"/>
  <c r="BD530" i="4"/>
  <c r="BD531" i="4"/>
  <c r="BD532" i="4"/>
  <c r="BD533" i="4"/>
  <c r="BD534" i="4"/>
  <c r="BD535" i="4"/>
  <c r="BD536" i="4"/>
  <c r="BD537" i="4"/>
  <c r="BD538" i="4"/>
  <c r="BD539" i="4"/>
  <c r="BD540" i="4"/>
  <c r="BD541" i="4"/>
  <c r="BD542" i="4"/>
  <c r="BD544" i="4"/>
  <c r="BD545" i="4"/>
  <c r="BD546" i="4"/>
  <c r="BD547" i="4"/>
  <c r="BD543" i="4"/>
  <c r="BD548" i="4"/>
  <c r="BD549" i="4"/>
  <c r="BD550" i="4"/>
  <c r="BD551" i="4"/>
  <c r="BD552" i="4"/>
  <c r="BD553" i="4"/>
  <c r="BD554" i="4"/>
  <c r="BD555" i="4"/>
  <c r="BD556" i="4"/>
  <c r="BD557" i="4"/>
  <c r="BD558" i="4"/>
  <c r="BD559" i="4"/>
  <c r="BD560" i="4"/>
  <c r="BD561" i="4"/>
  <c r="BD562" i="4"/>
  <c r="BD563" i="4"/>
  <c r="BD564" i="4"/>
  <c r="BD566" i="4"/>
  <c r="BD567" i="4"/>
  <c r="BD568" i="4"/>
  <c r="BD569" i="4"/>
  <c r="BD570" i="4"/>
  <c r="BD571" i="4"/>
  <c r="BD572" i="4"/>
  <c r="BD573" i="4"/>
  <c r="BD574" i="4"/>
  <c r="BD575" i="4"/>
  <c r="BD576" i="4"/>
  <c r="BD577" i="4"/>
  <c r="BD578" i="4"/>
  <c r="BD579" i="4"/>
  <c r="BD580" i="4"/>
  <c r="BD583" i="4"/>
  <c r="BD584" i="4"/>
  <c r="BD585" i="4"/>
  <c r="BD586" i="4"/>
  <c r="BD587" i="4"/>
  <c r="BD588" i="4"/>
  <c r="BD589" i="4"/>
  <c r="BD590" i="4"/>
  <c r="BD591" i="4"/>
  <c r="BD592" i="4"/>
  <c r="BD565" i="4"/>
  <c r="BD593" i="4"/>
  <c r="BD594" i="4"/>
  <c r="BD595" i="4"/>
  <c r="BD597" i="4"/>
  <c r="BD598" i="4"/>
  <c r="BD599" i="4"/>
  <c r="BD600" i="4"/>
  <c r="BD601" i="4"/>
  <c r="BD602" i="4"/>
  <c r="BD581" i="4"/>
  <c r="BD582" i="4"/>
  <c r="BD603" i="4"/>
  <c r="BD604" i="4"/>
  <c r="BD605" i="4"/>
  <c r="BD606" i="4"/>
  <c r="BD607" i="4"/>
  <c r="BD608" i="4"/>
  <c r="BD609" i="4"/>
  <c r="BD610" i="4"/>
  <c r="BD611" i="4"/>
  <c r="BD612" i="4"/>
  <c r="BD596" i="4"/>
  <c r="BD613" i="4"/>
  <c r="BD614" i="4"/>
  <c r="BD615" i="4"/>
  <c r="BD616" i="4"/>
  <c r="BD617" i="4"/>
  <c r="BD618" i="4"/>
  <c r="BD620" i="4"/>
  <c r="BD621" i="4"/>
  <c r="BD619" i="4"/>
  <c r="BD622" i="4"/>
  <c r="BD623" i="4"/>
  <c r="BD624" i="4"/>
  <c r="BD625" i="4"/>
  <c r="BD626" i="4"/>
  <c r="BD627" i="4"/>
  <c r="BD628" i="4"/>
  <c r="BD629" i="4"/>
  <c r="BD630" i="4"/>
  <c r="BD631" i="4"/>
  <c r="BD632" i="4"/>
  <c r="BD633" i="4"/>
  <c r="BD634" i="4"/>
  <c r="BD635" i="4"/>
  <c r="BD636" i="4"/>
  <c r="BD637" i="4"/>
  <c r="BD638" i="4"/>
  <c r="BD639" i="4"/>
  <c r="BD640" i="4"/>
  <c r="BD641" i="4"/>
  <c r="BD642" i="4"/>
  <c r="BD643" i="4"/>
  <c r="BD644" i="4"/>
  <c r="BD645" i="4"/>
  <c r="BD646" i="4"/>
  <c r="BD648" i="4"/>
  <c r="BD649" i="4"/>
  <c r="BD650" i="4"/>
  <c r="BD651" i="4"/>
  <c r="BD653" i="4"/>
  <c r="BD654" i="4"/>
  <c r="BD655" i="4"/>
  <c r="BD647" i="4"/>
  <c r="BD656" i="4"/>
  <c r="BD657" i="4"/>
  <c r="BD659" i="4"/>
  <c r="BD652" i="4"/>
  <c r="BD658" i="4"/>
  <c r="BD660" i="4"/>
  <c r="BD661" i="4"/>
  <c r="BD662" i="4"/>
  <c r="BD663" i="4"/>
  <c r="BD664" i="4"/>
  <c r="BD665" i="4"/>
  <c r="BD666" i="4"/>
  <c r="BD667" i="4"/>
  <c r="BD668" i="4"/>
  <c r="BD669" i="4"/>
  <c r="BD670" i="4"/>
  <c r="BD671" i="4"/>
  <c r="BD672" i="4"/>
  <c r="BD674" i="4"/>
  <c r="BD675" i="4"/>
  <c r="BD676" i="4"/>
  <c r="BD677" i="4"/>
  <c r="BD678" i="4"/>
  <c r="BD679" i="4"/>
  <c r="BD680" i="4"/>
  <c r="BD681" i="4"/>
  <c r="BD673" i="4"/>
  <c r="BD102" i="4"/>
  <c r="BD103" i="4"/>
  <c r="BD104" i="4"/>
  <c r="BD96" i="4"/>
  <c r="BD97" i="4"/>
  <c r="BD98" i="4"/>
  <c r="BD105" i="4"/>
  <c r="BD122" i="4"/>
  <c r="BD117" i="4"/>
  <c r="BD106" i="4"/>
  <c r="BD107" i="4"/>
  <c r="BD118" i="4"/>
  <c r="BD119" i="4"/>
  <c r="BD114" i="4"/>
  <c r="BD99" i="4"/>
  <c r="BD123" i="4"/>
  <c r="BD100" i="4"/>
  <c r="BD108" i="4"/>
  <c r="BD109" i="4"/>
  <c r="BD110" i="4"/>
  <c r="BD111" i="4"/>
  <c r="BD121" i="4"/>
  <c r="BD101" i="4"/>
  <c r="BD112" i="4"/>
  <c r="BD113" i="4"/>
  <c r="BD120" i="4"/>
  <c r="BD115" i="4"/>
  <c r="BD116" i="4"/>
  <c r="BA48" i="4"/>
  <c r="BA49" i="4"/>
  <c r="BA50" i="4"/>
  <c r="BA51" i="4"/>
  <c r="BA52" i="4"/>
  <c r="BA53" i="4"/>
  <c r="BA54" i="4"/>
  <c r="BA55" i="4"/>
  <c r="BA56" i="4"/>
  <c r="BA57" i="4"/>
  <c r="BA59" i="4"/>
  <c r="BA60" i="4"/>
  <c r="BA61" i="4"/>
  <c r="BA58" i="4"/>
  <c r="BA62" i="4"/>
  <c r="BA63" i="4"/>
  <c r="BA64" i="4"/>
  <c r="BA65" i="4"/>
  <c r="BA67" i="4"/>
  <c r="BA68" i="4"/>
  <c r="BA69" i="4"/>
  <c r="BA70" i="4"/>
  <c r="BA66" i="4"/>
  <c r="BA71" i="4"/>
  <c r="BA72" i="4"/>
  <c r="BA73" i="4"/>
  <c r="BA74" i="4"/>
  <c r="BA75" i="4"/>
  <c r="BA76" i="4"/>
  <c r="BA77" i="4"/>
  <c r="BA78" i="4"/>
  <c r="BA79" i="4"/>
  <c r="BA80" i="4"/>
  <c r="BA81" i="4"/>
  <c r="BA83" i="4"/>
  <c r="BA82" i="4"/>
  <c r="BA84" i="4"/>
  <c r="BA85" i="4"/>
  <c r="BA86" i="4"/>
  <c r="BA87" i="4"/>
  <c r="BA88" i="4"/>
  <c r="BA89" i="4"/>
  <c r="BA90" i="4"/>
  <c r="BA91" i="4"/>
  <c r="BA92" i="4"/>
  <c r="BA93" i="4"/>
  <c r="BA94" i="4"/>
  <c r="BA95" i="4"/>
  <c r="BA124" i="4"/>
  <c r="BA125" i="4"/>
  <c r="BA126" i="4"/>
  <c r="BA127" i="4"/>
  <c r="BA128" i="4"/>
  <c r="BA129" i="4"/>
  <c r="BA130" i="4"/>
  <c r="BA131" i="4"/>
  <c r="BA132" i="4"/>
  <c r="BA133" i="4"/>
  <c r="BA134" i="4"/>
  <c r="BA135" i="4"/>
  <c r="BA137" i="4"/>
  <c r="BA138" i="4"/>
  <c r="BA139" i="4"/>
  <c r="BA140" i="4"/>
  <c r="BA136" i="4"/>
  <c r="BA142" i="4"/>
  <c r="BA143" i="4"/>
  <c r="BA144" i="4"/>
  <c r="BA146" i="4"/>
  <c r="BA147" i="4"/>
  <c r="BA149" i="4"/>
  <c r="BA150" i="4"/>
  <c r="BA151" i="4"/>
  <c r="BA153" i="4"/>
  <c r="BA145" i="4"/>
  <c r="BA154" i="4"/>
  <c r="BA148" i="4"/>
  <c r="BA152" i="4"/>
  <c r="BA155" i="4"/>
  <c r="BA156" i="4"/>
  <c r="BA141" i="4"/>
  <c r="BA157" i="4"/>
  <c r="BA158" i="4"/>
  <c r="BA159" i="4"/>
  <c r="BA160" i="4"/>
  <c r="BA161" i="4"/>
  <c r="BA162" i="4"/>
  <c r="BA163" i="4"/>
  <c r="BA164" i="4"/>
  <c r="BA165" i="4"/>
  <c r="BA166" i="4"/>
  <c r="BA167" i="4"/>
  <c r="BA168" i="4"/>
  <c r="BA169" i="4"/>
  <c r="BA170" i="4"/>
  <c r="BA171" i="4"/>
  <c r="BA172" i="4"/>
  <c r="BA173" i="4"/>
  <c r="BA174" i="4"/>
  <c r="BA175" i="4"/>
  <c r="BA176" i="4"/>
  <c r="BA177" i="4"/>
  <c r="BA178" i="4"/>
  <c r="BA179" i="4"/>
  <c r="BA180" i="4"/>
  <c r="BA181" i="4"/>
  <c r="BA203" i="4"/>
  <c r="BA206" i="4"/>
  <c r="BA207" i="4"/>
  <c r="BA208" i="4"/>
  <c r="BA209" i="4"/>
  <c r="BA210" i="4"/>
  <c r="BA211" i="4"/>
  <c r="BA212" i="4"/>
  <c r="BA213" i="4"/>
  <c r="BA214" i="4"/>
  <c r="BA215" i="4"/>
  <c r="BA216" i="4"/>
  <c r="BA217" i="4"/>
  <c r="BA218" i="4"/>
  <c r="BA219" i="4"/>
  <c r="BA220" i="4"/>
  <c r="BA221" i="4"/>
  <c r="BA222" i="4"/>
  <c r="BA223" i="4"/>
  <c r="BA224" i="4"/>
  <c r="BA225" i="4"/>
  <c r="BA226" i="4"/>
  <c r="BA227" i="4"/>
  <c r="BA228" i="4"/>
  <c r="BA229" i="4"/>
  <c r="BA230" i="4"/>
  <c r="BA231" i="4"/>
  <c r="BA233" i="4"/>
  <c r="BA234" i="4"/>
  <c r="BA235" i="4"/>
  <c r="BA236" i="4"/>
  <c r="BA237" i="4"/>
  <c r="BA232" i="4"/>
  <c r="BA238" i="4"/>
  <c r="BA240" i="4"/>
  <c r="BA239" i="4"/>
  <c r="BA241" i="4"/>
  <c r="BA242" i="4"/>
  <c r="BA243" i="4"/>
  <c r="BA244" i="4"/>
  <c r="BA245" i="4"/>
  <c r="BA246" i="4"/>
  <c r="BA247" i="4"/>
  <c r="BA248" i="4"/>
  <c r="BA249" i="4"/>
  <c r="BA251" i="4"/>
  <c r="BA253" i="4"/>
  <c r="BA254" i="4"/>
  <c r="BA255" i="4"/>
  <c r="BA256" i="4"/>
  <c r="BA257" i="4"/>
  <c r="BA250" i="4"/>
  <c r="BA258" i="4"/>
  <c r="BA259" i="4"/>
  <c r="BA260" i="4"/>
  <c r="BA252" i="4"/>
  <c r="BA261" i="4"/>
  <c r="BA262" i="4"/>
  <c r="BA263" i="4"/>
  <c r="BA264" i="4"/>
  <c r="BA265" i="4"/>
  <c r="BA266" i="4"/>
  <c r="BA267" i="4"/>
  <c r="BA268" i="4"/>
  <c r="BA269" i="4"/>
  <c r="BA270" i="4"/>
  <c r="BA271" i="4"/>
  <c r="BA272" i="4"/>
  <c r="BA273" i="4"/>
  <c r="BA274" i="4"/>
  <c r="BA275" i="4"/>
  <c r="BA276" i="4"/>
  <c r="BA277" i="4"/>
  <c r="BA278" i="4"/>
  <c r="BA279" i="4"/>
  <c r="BA280" i="4"/>
  <c r="BA281" i="4"/>
  <c r="BA282" i="4"/>
  <c r="BA283" i="4"/>
  <c r="BA284" i="4"/>
  <c r="BA285" i="4"/>
  <c r="BA286" i="4"/>
  <c r="BA287" i="4"/>
  <c r="BA288" i="4"/>
  <c r="BA289" i="4"/>
  <c r="BA291" i="4"/>
  <c r="BA290" i="4"/>
  <c r="BA292" i="4"/>
  <c r="BA293" i="4"/>
  <c r="BA294" i="4"/>
  <c r="BA295" i="4"/>
  <c r="BA296" i="4"/>
  <c r="BA297" i="4"/>
  <c r="BA298" i="4"/>
  <c r="BA299" i="4"/>
  <c r="BA300" i="4"/>
  <c r="BA301" i="4"/>
  <c r="BA302" i="4"/>
  <c r="BA303" i="4"/>
  <c r="BA304" i="4"/>
  <c r="BA305" i="4"/>
  <c r="BA306" i="4"/>
  <c r="BA307" i="4"/>
  <c r="BA308" i="4"/>
  <c r="BA309" i="4"/>
  <c r="BA310" i="4"/>
  <c r="BA311" i="4"/>
  <c r="BA312" i="4"/>
  <c r="BA313" i="4"/>
  <c r="BA314" i="4"/>
  <c r="BA315" i="4"/>
  <c r="BA316" i="4"/>
  <c r="BA317" i="4"/>
  <c r="BA318" i="4"/>
  <c r="BA319" i="4"/>
  <c r="BA320" i="4"/>
  <c r="BA321" i="4"/>
  <c r="BA322" i="4"/>
  <c r="BA323" i="4"/>
  <c r="BA324" i="4"/>
  <c r="BA325" i="4"/>
  <c r="BA326" i="4"/>
  <c r="BA327" i="4"/>
  <c r="BA328" i="4"/>
  <c r="BA329" i="4"/>
  <c r="BA330" i="4"/>
  <c r="BA331" i="4"/>
  <c r="BA332" i="4"/>
  <c r="BA333" i="4"/>
  <c r="BA334" i="4"/>
  <c r="BA335" i="4"/>
  <c r="BA336" i="4"/>
  <c r="BA337" i="4"/>
  <c r="BA338" i="4"/>
  <c r="BA339" i="4"/>
  <c r="BA340" i="4"/>
  <c r="BA341" i="4"/>
  <c r="BA342" i="4"/>
  <c r="BA343" i="4"/>
  <c r="BA344" i="4"/>
  <c r="BA345" i="4"/>
  <c r="BA346" i="4"/>
  <c r="BA347" i="4"/>
  <c r="BA348" i="4"/>
  <c r="BA349" i="4"/>
  <c r="BA350" i="4"/>
  <c r="BA351" i="4"/>
  <c r="BA352" i="4"/>
  <c r="BA353" i="4"/>
  <c r="BA354" i="4"/>
  <c r="BA355" i="4"/>
  <c r="BA356" i="4"/>
  <c r="BA357" i="4"/>
  <c r="BA358" i="4"/>
  <c r="BA359" i="4"/>
  <c r="BA360" i="4"/>
  <c r="BA388" i="4"/>
  <c r="BA389" i="4"/>
  <c r="BA397" i="4"/>
  <c r="BA390" i="4"/>
  <c r="BA430" i="4"/>
  <c r="BA391" i="4"/>
  <c r="BA392" i="4"/>
  <c r="BA393" i="4"/>
  <c r="BA394" i="4"/>
  <c r="BA395" i="4"/>
  <c r="BA396" i="4"/>
  <c r="BA398" i="4"/>
  <c r="BA399" i="4"/>
  <c r="BA400" i="4"/>
  <c r="BA401" i="4"/>
  <c r="BA402" i="4"/>
  <c r="BA403" i="4"/>
  <c r="BA404" i="4"/>
  <c r="BA405" i="4"/>
  <c r="BA406" i="4"/>
  <c r="BA407" i="4"/>
  <c r="BA408" i="4"/>
  <c r="BA409" i="4"/>
  <c r="BA410" i="4"/>
  <c r="BA411" i="4"/>
  <c r="BA412" i="4"/>
  <c r="BA413" i="4"/>
  <c r="BA414" i="4"/>
  <c r="BA415" i="4"/>
  <c r="BA416" i="4"/>
  <c r="BA417" i="4"/>
  <c r="BA419" i="4"/>
  <c r="BA420" i="4"/>
  <c r="BA421" i="4"/>
  <c r="BA422" i="4"/>
  <c r="BA423" i="4"/>
  <c r="BA424" i="4"/>
  <c r="BA425" i="4"/>
  <c r="BA426" i="4"/>
  <c r="BA427" i="4"/>
  <c r="BA428" i="4"/>
  <c r="BA429" i="4"/>
  <c r="BA431" i="4"/>
  <c r="BA432" i="4"/>
  <c r="BA433" i="4"/>
  <c r="BA434" i="4"/>
  <c r="BA418" i="4"/>
  <c r="BA361" i="4"/>
  <c r="BA362" i="4"/>
  <c r="BA363" i="4"/>
  <c r="BA364" i="4"/>
  <c r="BA365" i="4"/>
  <c r="BA366" i="4"/>
  <c r="BA367" i="4"/>
  <c r="BA368" i="4"/>
  <c r="BA369" i="4"/>
  <c r="BA370" i="4"/>
  <c r="BA371" i="4"/>
  <c r="BA372" i="4"/>
  <c r="BA373" i="4"/>
  <c r="BA374" i="4"/>
  <c r="BA376" i="4"/>
  <c r="BA378" i="4"/>
  <c r="BA379" i="4"/>
  <c r="BA375" i="4"/>
  <c r="BA377" i="4"/>
  <c r="BA380" i="4"/>
  <c r="BA381" i="4"/>
  <c r="BA382" i="4"/>
  <c r="BA383" i="4"/>
  <c r="BA384" i="4"/>
  <c r="BA385" i="4"/>
  <c r="BA386" i="4"/>
  <c r="BA387" i="4"/>
  <c r="BA435" i="4"/>
  <c r="BA436" i="4"/>
  <c r="BA437" i="4"/>
  <c r="BA438" i="4"/>
  <c r="BA439" i="4"/>
  <c r="BA440" i="4"/>
  <c r="BA441" i="4"/>
  <c r="BA442" i="4"/>
  <c r="BA443" i="4"/>
  <c r="BA444" i="4"/>
  <c r="BA446" i="4"/>
  <c r="BA445" i="4"/>
  <c r="BA447" i="4"/>
  <c r="BA449" i="4"/>
  <c r="BA451" i="4"/>
  <c r="BA452" i="4"/>
  <c r="BA453" i="4"/>
  <c r="BA454" i="4"/>
  <c r="BA448" i="4"/>
  <c r="BA455" i="4"/>
  <c r="BA456" i="4"/>
  <c r="BA457" i="4"/>
  <c r="BA450" i="4"/>
  <c r="BA458" i="4"/>
  <c r="BA459" i="4"/>
  <c r="BA460" i="4"/>
  <c r="BA461" i="4"/>
  <c r="BA462" i="4"/>
  <c r="BA463" i="4"/>
  <c r="BA464" i="4"/>
  <c r="BA465" i="4"/>
  <c r="BA466" i="4"/>
  <c r="BA467" i="4"/>
  <c r="BA468" i="4"/>
  <c r="BA470" i="4"/>
  <c r="BA471" i="4"/>
  <c r="BA472" i="4"/>
  <c r="BA469" i="4"/>
  <c r="BA473" i="4"/>
  <c r="BA474" i="4"/>
  <c r="BA475" i="4"/>
  <c r="BA476" i="4"/>
  <c r="BA478" i="4"/>
  <c r="BA479" i="4"/>
  <c r="BA481" i="4"/>
  <c r="BA482" i="4"/>
  <c r="BA484" i="4"/>
  <c r="BA485" i="4"/>
  <c r="BA477" i="4"/>
  <c r="BA486" i="4"/>
  <c r="BA487" i="4"/>
  <c r="BA480" i="4"/>
  <c r="BA488" i="4"/>
  <c r="BA483" i="4"/>
  <c r="BA489" i="4"/>
  <c r="BA490" i="4"/>
  <c r="BA491" i="4"/>
  <c r="BA492" i="4"/>
  <c r="BA493" i="4"/>
  <c r="BA494" i="4"/>
  <c r="BA495" i="4"/>
  <c r="BA496" i="4"/>
  <c r="BA497" i="4"/>
  <c r="BA498" i="4"/>
  <c r="BA499" i="4"/>
  <c r="BA500" i="4"/>
  <c r="BA501" i="4"/>
  <c r="BA502" i="4"/>
  <c r="BA503" i="4"/>
  <c r="BA504" i="4"/>
  <c r="BA505" i="4"/>
  <c r="BA506" i="4"/>
  <c r="BA507" i="4"/>
  <c r="BA508" i="4"/>
  <c r="BA509" i="4"/>
  <c r="BA510" i="4"/>
  <c r="BA511" i="4"/>
  <c r="BA512" i="4"/>
  <c r="BA513" i="4"/>
  <c r="BA514" i="4"/>
  <c r="BA515" i="4"/>
  <c r="BA516" i="4"/>
  <c r="BA517" i="4"/>
  <c r="BA518" i="4"/>
  <c r="BA519" i="4"/>
  <c r="BA520" i="4"/>
  <c r="BA521" i="4"/>
  <c r="BA522" i="4"/>
  <c r="BA523" i="4"/>
  <c r="BA524" i="4"/>
  <c r="BA525" i="4"/>
  <c r="BA526" i="4"/>
  <c r="BA527" i="4"/>
  <c r="BA528" i="4"/>
  <c r="BA529" i="4"/>
  <c r="BA530" i="4"/>
  <c r="BA531" i="4"/>
  <c r="BA532" i="4"/>
  <c r="BA533" i="4"/>
  <c r="BA534" i="4"/>
  <c r="BA535" i="4"/>
  <c r="BA536" i="4"/>
  <c r="BA537" i="4"/>
  <c r="BA538" i="4"/>
  <c r="BA539" i="4"/>
  <c r="BA540" i="4"/>
  <c r="BA541" i="4"/>
  <c r="BA542" i="4"/>
  <c r="BA544" i="4"/>
  <c r="BA545" i="4"/>
  <c r="BA546" i="4"/>
  <c r="BA547" i="4"/>
  <c r="BA543" i="4"/>
  <c r="BA548" i="4"/>
  <c r="BA549" i="4"/>
  <c r="BA550" i="4"/>
  <c r="BA551" i="4"/>
  <c r="BA552" i="4"/>
  <c r="BA553" i="4"/>
  <c r="BA554" i="4"/>
  <c r="BA555" i="4"/>
  <c r="BA556" i="4"/>
  <c r="BA557" i="4"/>
  <c r="BA558" i="4"/>
  <c r="BA559" i="4"/>
  <c r="BA560" i="4"/>
  <c r="BA561" i="4"/>
  <c r="BA562" i="4"/>
  <c r="BA563" i="4"/>
  <c r="BA564" i="4"/>
  <c r="BA566" i="4"/>
  <c r="BA567" i="4"/>
  <c r="BA568" i="4"/>
  <c r="BA569" i="4"/>
  <c r="BA570" i="4"/>
  <c r="BA571" i="4"/>
  <c r="BA572" i="4"/>
  <c r="BA573" i="4"/>
  <c r="BA574" i="4"/>
  <c r="BA575" i="4"/>
  <c r="BA576" i="4"/>
  <c r="BA577" i="4"/>
  <c r="BA578" i="4"/>
  <c r="BA579" i="4"/>
  <c r="BA580" i="4"/>
  <c r="BA583" i="4"/>
  <c r="BA584" i="4"/>
  <c r="BA585" i="4"/>
  <c r="BA586" i="4"/>
  <c r="BA587" i="4"/>
  <c r="BA588" i="4"/>
  <c r="BA589" i="4"/>
  <c r="BA590" i="4"/>
  <c r="BA591" i="4"/>
  <c r="BA592" i="4"/>
  <c r="BA565" i="4"/>
  <c r="BA593" i="4"/>
  <c r="BA594" i="4"/>
  <c r="BA595" i="4"/>
  <c r="BA597" i="4"/>
  <c r="BA598" i="4"/>
  <c r="BA599" i="4"/>
  <c r="BA600" i="4"/>
  <c r="BA601" i="4"/>
  <c r="BA602" i="4"/>
  <c r="BA581" i="4"/>
  <c r="BA582" i="4"/>
  <c r="BA603" i="4"/>
  <c r="BA604" i="4"/>
  <c r="BA605" i="4"/>
  <c r="BA606" i="4"/>
  <c r="BA607" i="4"/>
  <c r="BA608" i="4"/>
  <c r="BA609" i="4"/>
  <c r="BA610" i="4"/>
  <c r="BA611" i="4"/>
  <c r="BA612" i="4"/>
  <c r="BA596" i="4"/>
  <c r="BA613" i="4"/>
  <c r="BA614" i="4"/>
  <c r="BA615" i="4"/>
  <c r="BA616" i="4"/>
  <c r="BA617" i="4"/>
  <c r="BA618" i="4"/>
  <c r="BA620" i="4"/>
  <c r="BA621" i="4"/>
  <c r="BA619" i="4"/>
  <c r="BA622" i="4"/>
  <c r="BA623" i="4"/>
  <c r="BA624" i="4"/>
  <c r="BA625" i="4"/>
  <c r="BA626" i="4"/>
  <c r="BA627" i="4"/>
  <c r="BA628" i="4"/>
  <c r="BA629" i="4"/>
  <c r="BA630" i="4"/>
  <c r="BA631" i="4"/>
  <c r="BA632" i="4"/>
  <c r="BA633" i="4"/>
  <c r="BA634" i="4"/>
  <c r="BA635" i="4"/>
  <c r="BA636" i="4"/>
  <c r="BA637" i="4"/>
  <c r="BA638" i="4"/>
  <c r="BA639" i="4"/>
  <c r="BA640" i="4"/>
  <c r="BA641" i="4"/>
  <c r="BA642" i="4"/>
  <c r="BA643" i="4"/>
  <c r="BA644" i="4"/>
  <c r="BA645" i="4"/>
  <c r="BA646" i="4"/>
  <c r="BA648" i="4"/>
  <c r="BA649" i="4"/>
  <c r="BA650" i="4"/>
  <c r="BA651" i="4"/>
  <c r="BA653" i="4"/>
  <c r="BA654" i="4"/>
  <c r="BA655" i="4"/>
  <c r="BA647" i="4"/>
  <c r="BA656" i="4"/>
  <c r="BA657" i="4"/>
  <c r="BA659" i="4"/>
  <c r="BA652" i="4"/>
  <c r="BA658" i="4"/>
  <c r="BA660" i="4"/>
  <c r="BA661" i="4"/>
  <c r="BA662" i="4"/>
  <c r="BA663" i="4"/>
  <c r="BA664" i="4"/>
  <c r="BA665" i="4"/>
  <c r="BA666" i="4"/>
  <c r="BA667" i="4"/>
  <c r="BA668" i="4"/>
  <c r="BA669" i="4"/>
  <c r="BA670" i="4"/>
  <c r="BA671" i="4"/>
  <c r="BA672" i="4"/>
  <c r="BA674" i="4"/>
  <c r="BA675" i="4"/>
  <c r="BA676" i="4"/>
  <c r="BA677" i="4"/>
  <c r="BA678" i="4"/>
  <c r="BA679" i="4"/>
  <c r="BA680" i="4"/>
  <c r="BA681" i="4"/>
  <c r="BA673" i="4"/>
  <c r="BA102" i="4"/>
  <c r="BA103" i="4"/>
  <c r="BA104" i="4"/>
  <c r="BA96" i="4"/>
  <c r="BA97" i="4"/>
  <c r="BA98" i="4"/>
  <c r="BA105" i="4"/>
  <c r="BA122" i="4"/>
  <c r="BA117" i="4"/>
  <c r="BA106" i="4"/>
  <c r="BA107" i="4"/>
  <c r="BA118" i="4"/>
  <c r="BA119" i="4"/>
  <c r="BA114" i="4"/>
  <c r="BA99" i="4"/>
  <c r="BA123" i="4"/>
  <c r="BA100" i="4"/>
  <c r="BA108" i="4"/>
  <c r="BA109" i="4"/>
  <c r="BA110" i="4"/>
  <c r="BA111" i="4"/>
  <c r="BA121" i="4"/>
  <c r="BA101" i="4"/>
  <c r="BA112" i="4"/>
  <c r="BA113" i="4"/>
  <c r="BA120" i="4"/>
  <c r="BA115" i="4"/>
  <c r="BA116" i="4"/>
  <c r="AX52" i="4"/>
  <c r="AX53" i="4"/>
  <c r="AX54" i="4"/>
  <c r="AX55" i="4"/>
  <c r="AX56" i="4"/>
  <c r="AX57" i="4"/>
  <c r="AX59" i="4"/>
  <c r="AX60" i="4"/>
  <c r="AX61" i="4"/>
  <c r="AX58" i="4"/>
  <c r="AX62" i="4"/>
  <c r="AX63" i="4"/>
  <c r="AX64" i="4"/>
  <c r="AX65" i="4"/>
  <c r="AX67" i="4"/>
  <c r="AX68" i="4"/>
  <c r="AX69" i="4"/>
  <c r="AX70" i="4"/>
  <c r="AX66" i="4"/>
  <c r="AX71" i="4"/>
  <c r="AX72" i="4"/>
  <c r="AX73" i="4"/>
  <c r="AX74" i="4"/>
  <c r="AX75" i="4"/>
  <c r="AX76" i="4"/>
  <c r="AX77" i="4"/>
  <c r="AX78" i="4"/>
  <c r="AX79" i="4"/>
  <c r="AX80" i="4"/>
  <c r="AX81" i="4"/>
  <c r="AX83" i="4"/>
  <c r="AX82" i="4"/>
  <c r="AX84" i="4"/>
  <c r="AX85" i="4"/>
  <c r="AX86" i="4"/>
  <c r="AX87" i="4"/>
  <c r="AX88" i="4"/>
  <c r="AX89" i="4"/>
  <c r="AX90" i="4"/>
  <c r="AX91" i="4"/>
  <c r="AX92" i="4"/>
  <c r="AX93" i="4"/>
  <c r="AX94" i="4"/>
  <c r="AX95" i="4"/>
  <c r="AX124" i="4"/>
  <c r="AX125" i="4"/>
  <c r="AX126" i="4"/>
  <c r="AX127" i="4"/>
  <c r="AX128" i="4"/>
  <c r="AX129" i="4"/>
  <c r="AX130" i="4"/>
  <c r="AX131" i="4"/>
  <c r="AX132" i="4"/>
  <c r="AX133" i="4"/>
  <c r="AX134" i="4"/>
  <c r="AX135" i="4"/>
  <c r="AX137" i="4"/>
  <c r="AX138" i="4"/>
  <c r="AX139" i="4"/>
  <c r="AX140" i="4"/>
  <c r="AX136" i="4"/>
  <c r="AX142" i="4"/>
  <c r="AX143" i="4"/>
  <c r="AX144" i="4"/>
  <c r="AX146" i="4"/>
  <c r="AX147" i="4"/>
  <c r="AX149" i="4"/>
  <c r="AX150" i="4"/>
  <c r="AX151" i="4"/>
  <c r="AX153" i="4"/>
  <c r="AX145" i="4"/>
  <c r="AX154" i="4"/>
  <c r="AX148" i="4"/>
  <c r="AX152" i="4"/>
  <c r="AX155" i="4"/>
  <c r="AX156" i="4"/>
  <c r="AX141" i="4"/>
  <c r="AX157" i="4"/>
  <c r="AX158" i="4"/>
  <c r="AX159" i="4"/>
  <c r="AX160" i="4"/>
  <c r="AX161" i="4"/>
  <c r="AX162" i="4"/>
  <c r="AX163" i="4"/>
  <c r="AX164" i="4"/>
  <c r="AX165" i="4"/>
  <c r="AX166" i="4"/>
  <c r="AX167" i="4"/>
  <c r="AX168" i="4"/>
  <c r="AX169" i="4"/>
  <c r="AX170" i="4"/>
  <c r="AX171" i="4"/>
  <c r="AX172" i="4"/>
  <c r="AX173" i="4"/>
  <c r="AX174" i="4"/>
  <c r="AX175" i="4"/>
  <c r="AX176" i="4"/>
  <c r="AX177" i="4"/>
  <c r="AX178" i="4"/>
  <c r="AX179" i="4"/>
  <c r="AX180" i="4"/>
  <c r="AX181" i="4"/>
  <c r="AX182" i="4"/>
  <c r="AX183" i="4"/>
  <c r="AX184" i="4"/>
  <c r="AX185" i="4"/>
  <c r="AX186" i="4"/>
  <c r="AX187" i="4"/>
  <c r="AX188" i="4"/>
  <c r="AX189" i="4"/>
  <c r="AX190" i="4"/>
  <c r="AX191" i="4"/>
  <c r="AX192" i="4"/>
  <c r="AX193" i="4"/>
  <c r="AX194" i="4"/>
  <c r="AX196" i="4"/>
  <c r="AX197" i="4"/>
  <c r="AX198" i="4"/>
  <c r="AX199" i="4"/>
  <c r="AX200" i="4"/>
  <c r="AX201" i="4"/>
  <c r="AX202" i="4"/>
  <c r="AX203" i="4"/>
  <c r="AX195" i="4"/>
  <c r="AX204" i="4"/>
  <c r="AX205" i="4"/>
  <c r="AX206" i="4"/>
  <c r="AX207" i="4"/>
  <c r="AX208" i="4"/>
  <c r="AX209" i="4"/>
  <c r="AX210" i="4"/>
  <c r="AX211" i="4"/>
  <c r="AX212" i="4"/>
  <c r="AX213" i="4"/>
  <c r="AX214" i="4"/>
  <c r="AX215" i="4"/>
  <c r="AX216" i="4"/>
  <c r="AX217" i="4"/>
  <c r="AX218" i="4"/>
  <c r="AX219" i="4"/>
  <c r="AX220" i="4"/>
  <c r="AX221" i="4"/>
  <c r="AX222" i="4"/>
  <c r="AX223" i="4"/>
  <c r="AX224" i="4"/>
  <c r="AX225" i="4"/>
  <c r="AX226" i="4"/>
  <c r="AX227" i="4"/>
  <c r="AX228" i="4"/>
  <c r="AX229" i="4"/>
  <c r="AX230" i="4"/>
  <c r="AX231" i="4"/>
  <c r="AX233" i="4"/>
  <c r="AX234" i="4"/>
  <c r="AX235" i="4"/>
  <c r="AX236" i="4"/>
  <c r="AX237" i="4"/>
  <c r="AX232" i="4"/>
  <c r="AX238" i="4"/>
  <c r="AX240" i="4"/>
  <c r="AX239" i="4"/>
  <c r="AX241" i="4"/>
  <c r="AX242" i="4"/>
  <c r="AX243" i="4"/>
  <c r="AX244" i="4"/>
  <c r="AX245" i="4"/>
  <c r="AX246" i="4"/>
  <c r="AX247" i="4"/>
  <c r="AX248" i="4"/>
  <c r="AX249" i="4"/>
  <c r="AX251" i="4"/>
  <c r="AX253" i="4"/>
  <c r="AX254" i="4"/>
  <c r="AX255" i="4"/>
  <c r="AX256" i="4"/>
  <c r="AX257" i="4"/>
  <c r="AX250" i="4"/>
  <c r="AX258" i="4"/>
  <c r="AX259" i="4"/>
  <c r="AX260" i="4"/>
  <c r="AX252" i="4"/>
  <c r="AX261" i="4"/>
  <c r="AX262" i="4"/>
  <c r="AX263" i="4"/>
  <c r="AX264" i="4"/>
  <c r="AX265" i="4"/>
  <c r="AX266" i="4"/>
  <c r="AX267" i="4"/>
  <c r="AX268" i="4"/>
  <c r="AX269" i="4"/>
  <c r="AX270" i="4"/>
  <c r="AX271" i="4"/>
  <c r="AX272" i="4"/>
  <c r="AX273" i="4"/>
  <c r="AX274" i="4"/>
  <c r="AX275" i="4"/>
  <c r="AX276" i="4"/>
  <c r="AX277" i="4"/>
  <c r="AX278" i="4"/>
  <c r="AX279" i="4"/>
  <c r="AX280" i="4"/>
  <c r="AX281" i="4"/>
  <c r="AX282" i="4"/>
  <c r="AX283" i="4"/>
  <c r="AX284" i="4"/>
  <c r="AX285" i="4"/>
  <c r="AX286" i="4"/>
  <c r="AX287" i="4"/>
  <c r="AX288" i="4"/>
  <c r="AX289" i="4"/>
  <c r="AX291" i="4"/>
  <c r="AX290" i="4"/>
  <c r="AX292" i="4"/>
  <c r="AX293" i="4"/>
  <c r="AX294" i="4"/>
  <c r="AX295" i="4"/>
  <c r="AX296" i="4"/>
  <c r="AX297" i="4"/>
  <c r="AX298" i="4"/>
  <c r="AX299" i="4"/>
  <c r="AX300" i="4"/>
  <c r="AX301" i="4"/>
  <c r="AX302" i="4"/>
  <c r="AX303" i="4"/>
  <c r="AX304" i="4"/>
  <c r="AX305" i="4"/>
  <c r="AX306" i="4"/>
  <c r="AX307" i="4"/>
  <c r="AX308" i="4"/>
  <c r="AX309" i="4"/>
  <c r="AX310" i="4"/>
  <c r="AX311" i="4"/>
  <c r="AX312" i="4"/>
  <c r="AX313" i="4"/>
  <c r="AX314" i="4"/>
  <c r="AX315" i="4"/>
  <c r="AX316" i="4"/>
  <c r="AX317" i="4"/>
  <c r="AX318" i="4"/>
  <c r="AX319" i="4"/>
  <c r="AX320" i="4"/>
  <c r="AX321" i="4"/>
  <c r="AX322" i="4"/>
  <c r="AX323" i="4"/>
  <c r="AX324" i="4"/>
  <c r="AX325" i="4"/>
  <c r="AX326" i="4"/>
  <c r="AX327" i="4"/>
  <c r="AX328" i="4"/>
  <c r="AX329" i="4"/>
  <c r="AX330" i="4"/>
  <c r="AX331" i="4"/>
  <c r="AX332" i="4"/>
  <c r="AX333" i="4"/>
  <c r="AX334" i="4"/>
  <c r="AX335" i="4"/>
  <c r="AX336" i="4"/>
  <c r="AX337" i="4"/>
  <c r="AX338" i="4"/>
  <c r="AX339" i="4"/>
  <c r="AX340" i="4"/>
  <c r="AX341" i="4"/>
  <c r="AX342" i="4"/>
  <c r="AX343" i="4"/>
  <c r="AX344" i="4"/>
  <c r="AX345" i="4"/>
  <c r="AX346" i="4"/>
  <c r="AX347" i="4"/>
  <c r="AX348" i="4"/>
  <c r="AX349" i="4"/>
  <c r="AX350" i="4"/>
  <c r="AX351" i="4"/>
  <c r="AX352" i="4"/>
  <c r="AX353" i="4"/>
  <c r="AX354" i="4"/>
  <c r="AX355" i="4"/>
  <c r="AX356" i="4"/>
  <c r="AX357" i="4"/>
  <c r="AX358" i="4"/>
  <c r="AX359" i="4"/>
  <c r="AX360" i="4"/>
  <c r="AX388" i="4"/>
  <c r="AX389" i="4"/>
  <c r="AX397" i="4"/>
  <c r="AX390" i="4"/>
  <c r="AX430" i="4"/>
  <c r="AX391" i="4"/>
  <c r="AX392" i="4"/>
  <c r="AX393" i="4"/>
  <c r="AX394" i="4"/>
  <c r="AX395" i="4"/>
  <c r="AX396" i="4"/>
  <c r="AX398" i="4"/>
  <c r="AX399" i="4"/>
  <c r="AX400" i="4"/>
  <c r="AX401" i="4"/>
  <c r="AX402" i="4"/>
  <c r="AX403" i="4"/>
  <c r="AX404" i="4"/>
  <c r="AX405" i="4"/>
  <c r="AX406" i="4"/>
  <c r="AX407" i="4"/>
  <c r="AX408" i="4"/>
  <c r="AX409" i="4"/>
  <c r="AX410" i="4"/>
  <c r="AX411" i="4"/>
  <c r="AX412" i="4"/>
  <c r="AX413" i="4"/>
  <c r="AX414" i="4"/>
  <c r="AX415" i="4"/>
  <c r="AX416" i="4"/>
  <c r="AX417" i="4"/>
  <c r="AX419" i="4"/>
  <c r="AX420" i="4"/>
  <c r="AX421" i="4"/>
  <c r="AX422" i="4"/>
  <c r="AX423" i="4"/>
  <c r="AX424" i="4"/>
  <c r="AX425" i="4"/>
  <c r="AX426" i="4"/>
  <c r="AX427" i="4"/>
  <c r="AX428" i="4"/>
  <c r="AX429" i="4"/>
  <c r="AX431" i="4"/>
  <c r="AX432" i="4"/>
  <c r="AX433" i="4"/>
  <c r="AX434" i="4"/>
  <c r="AX418" i="4"/>
  <c r="AX361" i="4"/>
  <c r="AX362" i="4"/>
  <c r="AX363" i="4"/>
  <c r="AX364" i="4"/>
  <c r="AX365" i="4"/>
  <c r="AX366" i="4"/>
  <c r="AX367" i="4"/>
  <c r="AX368" i="4"/>
  <c r="AX369" i="4"/>
  <c r="AX370" i="4"/>
  <c r="AX371" i="4"/>
  <c r="AX372" i="4"/>
  <c r="AX373" i="4"/>
  <c r="AX374" i="4"/>
  <c r="AX376" i="4"/>
  <c r="AX378" i="4"/>
  <c r="AX379" i="4"/>
  <c r="AX375" i="4"/>
  <c r="AX377" i="4"/>
  <c r="AX380" i="4"/>
  <c r="AX381" i="4"/>
  <c r="AX382" i="4"/>
  <c r="AX383" i="4"/>
  <c r="AX384" i="4"/>
  <c r="AX385" i="4"/>
  <c r="AX386" i="4"/>
  <c r="AX387" i="4"/>
  <c r="AX435" i="4"/>
  <c r="AX436" i="4"/>
  <c r="AX437" i="4"/>
  <c r="AX438" i="4"/>
  <c r="AX439" i="4"/>
  <c r="AX440" i="4"/>
  <c r="AX441" i="4"/>
  <c r="AX442" i="4"/>
  <c r="AX443" i="4"/>
  <c r="AX444" i="4"/>
  <c r="AX446" i="4"/>
  <c r="AX445" i="4"/>
  <c r="AX447" i="4"/>
  <c r="AX449" i="4"/>
  <c r="AX451" i="4"/>
  <c r="AX452" i="4"/>
  <c r="AX453" i="4"/>
  <c r="AX454" i="4"/>
  <c r="AX448" i="4"/>
  <c r="AX455" i="4"/>
  <c r="AX456" i="4"/>
  <c r="AX457" i="4"/>
  <c r="AX450" i="4"/>
  <c r="AX458" i="4"/>
  <c r="AX459" i="4"/>
  <c r="AX460" i="4"/>
  <c r="AX461" i="4"/>
  <c r="AX462" i="4"/>
  <c r="AX463" i="4"/>
  <c r="AX464" i="4"/>
  <c r="AX465" i="4"/>
  <c r="AX466" i="4"/>
  <c r="AX467" i="4"/>
  <c r="AX468" i="4"/>
  <c r="AX470" i="4"/>
  <c r="AX471" i="4"/>
  <c r="AX472" i="4"/>
  <c r="AX469" i="4"/>
  <c r="AX473" i="4"/>
  <c r="AX474" i="4"/>
  <c r="AX475" i="4"/>
  <c r="AX476" i="4"/>
  <c r="AX478" i="4"/>
  <c r="AX479" i="4"/>
  <c r="AX481" i="4"/>
  <c r="AX482" i="4"/>
  <c r="AX484" i="4"/>
  <c r="AX485" i="4"/>
  <c r="AX477" i="4"/>
  <c r="AX486" i="4"/>
  <c r="AX487" i="4"/>
  <c r="AX480" i="4"/>
  <c r="AX488" i="4"/>
  <c r="AX483" i="4"/>
  <c r="AX489" i="4"/>
  <c r="AX490" i="4"/>
  <c r="AX491" i="4"/>
  <c r="AX492" i="4"/>
  <c r="AX493" i="4"/>
  <c r="AX494" i="4"/>
  <c r="AX495" i="4"/>
  <c r="AX496" i="4"/>
  <c r="AX497" i="4"/>
  <c r="AX498" i="4"/>
  <c r="AX499" i="4"/>
  <c r="AX500" i="4"/>
  <c r="AX501" i="4"/>
  <c r="AX502" i="4"/>
  <c r="AX503" i="4"/>
  <c r="AX504" i="4"/>
  <c r="AX505" i="4"/>
  <c r="AX506" i="4"/>
  <c r="AX507" i="4"/>
  <c r="AX508" i="4"/>
  <c r="AX509" i="4"/>
  <c r="AX510" i="4"/>
  <c r="AX511" i="4"/>
  <c r="AX512" i="4"/>
  <c r="AX513" i="4"/>
  <c r="AX514" i="4"/>
  <c r="AX515" i="4"/>
  <c r="AX516" i="4"/>
  <c r="AX517" i="4"/>
  <c r="AX518" i="4"/>
  <c r="AX519" i="4"/>
  <c r="AX520" i="4"/>
  <c r="AX521" i="4"/>
  <c r="AX522" i="4"/>
  <c r="AX523" i="4"/>
  <c r="AX524" i="4"/>
  <c r="AX525" i="4"/>
  <c r="AX526" i="4"/>
  <c r="AX527" i="4"/>
  <c r="AX528" i="4"/>
  <c r="AX529" i="4"/>
  <c r="AX530" i="4"/>
  <c r="AX531" i="4"/>
  <c r="AX532" i="4"/>
  <c r="AX533" i="4"/>
  <c r="AX534" i="4"/>
  <c r="AX535" i="4"/>
  <c r="AX536" i="4"/>
  <c r="AX537" i="4"/>
  <c r="AX538" i="4"/>
  <c r="AX539" i="4"/>
  <c r="AX540" i="4"/>
  <c r="AX541" i="4"/>
  <c r="AX542" i="4"/>
  <c r="AX544" i="4"/>
  <c r="AX545" i="4"/>
  <c r="AX546" i="4"/>
  <c r="AX547" i="4"/>
  <c r="AX543" i="4"/>
  <c r="AX548" i="4"/>
  <c r="AX549" i="4"/>
  <c r="AX550" i="4"/>
  <c r="AX551" i="4"/>
  <c r="AX552" i="4"/>
  <c r="AX553" i="4"/>
  <c r="AX554" i="4"/>
  <c r="AX555" i="4"/>
  <c r="AX556" i="4"/>
  <c r="AX557" i="4"/>
  <c r="AX558" i="4"/>
  <c r="AX559" i="4"/>
  <c r="AX560" i="4"/>
  <c r="AX561" i="4"/>
  <c r="AX562" i="4"/>
  <c r="AX563" i="4"/>
  <c r="AX564" i="4"/>
  <c r="AX566" i="4"/>
  <c r="AX567" i="4"/>
  <c r="AX568" i="4"/>
  <c r="AX569" i="4"/>
  <c r="AX570" i="4"/>
  <c r="AX571" i="4"/>
  <c r="AX572" i="4"/>
  <c r="AX573" i="4"/>
  <c r="AX574" i="4"/>
  <c r="AX575" i="4"/>
  <c r="AX576" i="4"/>
  <c r="AX577" i="4"/>
  <c r="AX578" i="4"/>
  <c r="AX579" i="4"/>
  <c r="AX580" i="4"/>
  <c r="AX583" i="4"/>
  <c r="AX584" i="4"/>
  <c r="AX585" i="4"/>
  <c r="AX586" i="4"/>
  <c r="AX587" i="4"/>
  <c r="AX588" i="4"/>
  <c r="AX589" i="4"/>
  <c r="AX590" i="4"/>
  <c r="AX591" i="4"/>
  <c r="AX592" i="4"/>
  <c r="AX565" i="4"/>
  <c r="AX593" i="4"/>
  <c r="AX594" i="4"/>
  <c r="AX595" i="4"/>
  <c r="AX597" i="4"/>
  <c r="AX598" i="4"/>
  <c r="AX599" i="4"/>
  <c r="AX600" i="4"/>
  <c r="AX601" i="4"/>
  <c r="AX602" i="4"/>
  <c r="AX581" i="4"/>
  <c r="AX582" i="4"/>
  <c r="AX603" i="4"/>
  <c r="AX604" i="4"/>
  <c r="AX605" i="4"/>
  <c r="AX606" i="4"/>
  <c r="AX607" i="4"/>
  <c r="AX608" i="4"/>
  <c r="AX609" i="4"/>
  <c r="AX610" i="4"/>
  <c r="AX611" i="4"/>
  <c r="AX612" i="4"/>
  <c r="AX596" i="4"/>
  <c r="AX613" i="4"/>
  <c r="AX614" i="4"/>
  <c r="AX615" i="4"/>
  <c r="AX616" i="4"/>
  <c r="AX617" i="4"/>
  <c r="AX618" i="4"/>
  <c r="AX620" i="4"/>
  <c r="AX621" i="4"/>
  <c r="AX619" i="4"/>
  <c r="AX622" i="4"/>
  <c r="AX623" i="4"/>
  <c r="AX624" i="4"/>
  <c r="AX625" i="4"/>
  <c r="AX626" i="4"/>
  <c r="AX627" i="4"/>
  <c r="AX628" i="4"/>
  <c r="AX629" i="4"/>
  <c r="AX630" i="4"/>
  <c r="AX631" i="4"/>
  <c r="AX632" i="4"/>
  <c r="AX633" i="4"/>
  <c r="AX634" i="4"/>
  <c r="AX635" i="4"/>
  <c r="AX636" i="4"/>
  <c r="AX637" i="4"/>
  <c r="AX638" i="4"/>
  <c r="AX639" i="4"/>
  <c r="AX640" i="4"/>
  <c r="AX641" i="4"/>
  <c r="AX642" i="4"/>
  <c r="AX643" i="4"/>
  <c r="AX644" i="4"/>
  <c r="AX645" i="4"/>
  <c r="AX646" i="4"/>
  <c r="AX648" i="4"/>
  <c r="AX649" i="4"/>
  <c r="AX650" i="4"/>
  <c r="AX651" i="4"/>
  <c r="AX653" i="4"/>
  <c r="AX654" i="4"/>
  <c r="AX655" i="4"/>
  <c r="AX647" i="4"/>
  <c r="AX656" i="4"/>
  <c r="AX657" i="4"/>
  <c r="AX659" i="4"/>
  <c r="AX652" i="4"/>
  <c r="AX658" i="4"/>
  <c r="AX660" i="4"/>
  <c r="AX661" i="4"/>
  <c r="AX662" i="4"/>
  <c r="AX663" i="4"/>
  <c r="AX664" i="4"/>
  <c r="AX665" i="4"/>
  <c r="AX666" i="4"/>
  <c r="AX667" i="4"/>
  <c r="AX668" i="4"/>
  <c r="AX669" i="4"/>
  <c r="AX670" i="4"/>
  <c r="AX671" i="4"/>
  <c r="AX672" i="4"/>
  <c r="AX674" i="4"/>
  <c r="AX675" i="4"/>
  <c r="AX676" i="4"/>
  <c r="AX677" i="4"/>
  <c r="AX678" i="4"/>
  <c r="AX679" i="4"/>
  <c r="AX680" i="4"/>
  <c r="AX681" i="4"/>
  <c r="AX673" i="4"/>
  <c r="AX102" i="4"/>
  <c r="AX103" i="4"/>
  <c r="AX104" i="4"/>
  <c r="AX96" i="4"/>
  <c r="AX97" i="4"/>
  <c r="AX98" i="4"/>
  <c r="AX105" i="4"/>
  <c r="AX122" i="4"/>
  <c r="AX117" i="4"/>
  <c r="AX106" i="4"/>
  <c r="AX107" i="4"/>
  <c r="AX118" i="4"/>
  <c r="AX119" i="4"/>
  <c r="AX114" i="4"/>
  <c r="AX99" i="4"/>
  <c r="AX123" i="4"/>
  <c r="AX100" i="4"/>
  <c r="AX108" i="4"/>
  <c r="AX109" i="4"/>
  <c r="AX110" i="4"/>
  <c r="AX111" i="4"/>
  <c r="AX121" i="4"/>
  <c r="AX101" i="4"/>
  <c r="AX112" i="4"/>
  <c r="AX113" i="4"/>
  <c r="AX120" i="4"/>
  <c r="AX115" i="4"/>
  <c r="AX116" i="4"/>
  <c r="AU52" i="4"/>
  <c r="AU53" i="4"/>
  <c r="AU54" i="4"/>
  <c r="AU55" i="4"/>
  <c r="AU56" i="4"/>
  <c r="AU57" i="4"/>
  <c r="AU59" i="4"/>
  <c r="AU60" i="4"/>
  <c r="AU61" i="4"/>
  <c r="AU58" i="4"/>
  <c r="AU62" i="4"/>
  <c r="AU63" i="4"/>
  <c r="AU64" i="4"/>
  <c r="AU65" i="4"/>
  <c r="AU67" i="4"/>
  <c r="AU68" i="4"/>
  <c r="AU69" i="4"/>
  <c r="AU70" i="4"/>
  <c r="AU66" i="4"/>
  <c r="AU71" i="4"/>
  <c r="AU72" i="4"/>
  <c r="AU73" i="4"/>
  <c r="AU74" i="4"/>
  <c r="AU75" i="4"/>
  <c r="AU76" i="4"/>
  <c r="AU77" i="4"/>
  <c r="AU78" i="4"/>
  <c r="AU79" i="4"/>
  <c r="AU80" i="4"/>
  <c r="AU81" i="4"/>
  <c r="AU83" i="4"/>
  <c r="AU82" i="4"/>
  <c r="AU84" i="4"/>
  <c r="AU85" i="4"/>
  <c r="AU86" i="4"/>
  <c r="AU87" i="4"/>
  <c r="AU88" i="4"/>
  <c r="AU89" i="4"/>
  <c r="AU90" i="4"/>
  <c r="AU91" i="4"/>
  <c r="AU92" i="4"/>
  <c r="AU93" i="4"/>
  <c r="AU94" i="4"/>
  <c r="AU95" i="4"/>
  <c r="AU124" i="4"/>
  <c r="AU125" i="4"/>
  <c r="AU126" i="4"/>
  <c r="AU127" i="4"/>
  <c r="AU128" i="4"/>
  <c r="AU129" i="4"/>
  <c r="AU130" i="4"/>
  <c r="AU131" i="4"/>
  <c r="AU132" i="4"/>
  <c r="AU133" i="4"/>
  <c r="AU134" i="4"/>
  <c r="AU135" i="4"/>
  <c r="AU137" i="4"/>
  <c r="AU138" i="4"/>
  <c r="AU139" i="4"/>
  <c r="AU140" i="4"/>
  <c r="AU136" i="4"/>
  <c r="AU142" i="4"/>
  <c r="AU143" i="4"/>
  <c r="AU144" i="4"/>
  <c r="AU146" i="4"/>
  <c r="AU147" i="4"/>
  <c r="AU149" i="4"/>
  <c r="AU150" i="4"/>
  <c r="AU151" i="4"/>
  <c r="AU153" i="4"/>
  <c r="AU145" i="4"/>
  <c r="AU154" i="4"/>
  <c r="AU148" i="4"/>
  <c r="AU152" i="4"/>
  <c r="AU155" i="4"/>
  <c r="AU156" i="4"/>
  <c r="AU141" i="4"/>
  <c r="AU157" i="4"/>
  <c r="AU158" i="4"/>
  <c r="AU159" i="4"/>
  <c r="AU160" i="4"/>
  <c r="AU161" i="4"/>
  <c r="AU162" i="4"/>
  <c r="AU163" i="4"/>
  <c r="AU164" i="4"/>
  <c r="AU165" i="4"/>
  <c r="AU166" i="4"/>
  <c r="AU167" i="4"/>
  <c r="AU168" i="4"/>
  <c r="AU169" i="4"/>
  <c r="AU170" i="4"/>
  <c r="AU171" i="4"/>
  <c r="AU172" i="4"/>
  <c r="AU173" i="4"/>
  <c r="AU174" i="4"/>
  <c r="AU175" i="4"/>
  <c r="AU176" i="4"/>
  <c r="AU177" i="4"/>
  <c r="AU178" i="4"/>
  <c r="AU179" i="4"/>
  <c r="AU180" i="4"/>
  <c r="AU181" i="4"/>
  <c r="AU198" i="4"/>
  <c r="AU205" i="4"/>
  <c r="AU206" i="4"/>
  <c r="AU207" i="4"/>
  <c r="AU208" i="4"/>
  <c r="AU209" i="4"/>
  <c r="AU210" i="4"/>
  <c r="AU211" i="4"/>
  <c r="AU212" i="4"/>
  <c r="AU213" i="4"/>
  <c r="AU214" i="4"/>
  <c r="AU215" i="4"/>
  <c r="AU216" i="4"/>
  <c r="AU217" i="4"/>
  <c r="AU218" i="4"/>
  <c r="AU219" i="4"/>
  <c r="AU220" i="4"/>
  <c r="AU221" i="4"/>
  <c r="AU222" i="4"/>
  <c r="AU223" i="4"/>
  <c r="AU224" i="4"/>
  <c r="AU225" i="4"/>
  <c r="AU226" i="4"/>
  <c r="AU227" i="4"/>
  <c r="AU228" i="4"/>
  <c r="AU229" i="4"/>
  <c r="AU230" i="4"/>
  <c r="AU231" i="4"/>
  <c r="AU233" i="4"/>
  <c r="AU234" i="4"/>
  <c r="AU235" i="4"/>
  <c r="AU236" i="4"/>
  <c r="AU237" i="4"/>
  <c r="AU232" i="4"/>
  <c r="AU238" i="4"/>
  <c r="AU240" i="4"/>
  <c r="AU239" i="4"/>
  <c r="AU241" i="4"/>
  <c r="AU242" i="4"/>
  <c r="AU243" i="4"/>
  <c r="AU244" i="4"/>
  <c r="AU245" i="4"/>
  <c r="AU246" i="4"/>
  <c r="AU247" i="4"/>
  <c r="AU248" i="4"/>
  <c r="AU249" i="4"/>
  <c r="AU251" i="4"/>
  <c r="AU253" i="4"/>
  <c r="AU254" i="4"/>
  <c r="AU255" i="4"/>
  <c r="AU256" i="4"/>
  <c r="AU257" i="4"/>
  <c r="AU250" i="4"/>
  <c r="AU258" i="4"/>
  <c r="AU259" i="4"/>
  <c r="AU260" i="4"/>
  <c r="AU252" i="4"/>
  <c r="AU261" i="4"/>
  <c r="AU262" i="4"/>
  <c r="AU263" i="4"/>
  <c r="AU264" i="4"/>
  <c r="AU265" i="4"/>
  <c r="AU266" i="4"/>
  <c r="AU267" i="4"/>
  <c r="AU268" i="4"/>
  <c r="AU269" i="4"/>
  <c r="AU270" i="4"/>
  <c r="AU271" i="4"/>
  <c r="AU272" i="4"/>
  <c r="AU273" i="4"/>
  <c r="AU274" i="4"/>
  <c r="AU275" i="4"/>
  <c r="AU276" i="4"/>
  <c r="AU277" i="4"/>
  <c r="AU278" i="4"/>
  <c r="AU279" i="4"/>
  <c r="AU280" i="4"/>
  <c r="AU281" i="4"/>
  <c r="AU282" i="4"/>
  <c r="AU283" i="4"/>
  <c r="AU284" i="4"/>
  <c r="AU285" i="4"/>
  <c r="AU286" i="4"/>
  <c r="AU287" i="4"/>
  <c r="AU288" i="4"/>
  <c r="AU289" i="4"/>
  <c r="AU291" i="4"/>
  <c r="AU290" i="4"/>
  <c r="AU292" i="4"/>
  <c r="AU293" i="4"/>
  <c r="AU294" i="4"/>
  <c r="AU295" i="4"/>
  <c r="AU296" i="4"/>
  <c r="AU297" i="4"/>
  <c r="AU298" i="4"/>
  <c r="AU299" i="4"/>
  <c r="AU300" i="4"/>
  <c r="AU301" i="4"/>
  <c r="AU302" i="4"/>
  <c r="AU303" i="4"/>
  <c r="AU304" i="4"/>
  <c r="AU305" i="4"/>
  <c r="AU306" i="4"/>
  <c r="AU307" i="4"/>
  <c r="AU308" i="4"/>
  <c r="AU309" i="4"/>
  <c r="AU310" i="4"/>
  <c r="AU311" i="4"/>
  <c r="AU312" i="4"/>
  <c r="AU313" i="4"/>
  <c r="AU314" i="4"/>
  <c r="AU315" i="4"/>
  <c r="AU316" i="4"/>
  <c r="AU317" i="4"/>
  <c r="AU318" i="4"/>
  <c r="AU319" i="4"/>
  <c r="AU320" i="4"/>
  <c r="AU321" i="4"/>
  <c r="AU322" i="4"/>
  <c r="AU323" i="4"/>
  <c r="AU324" i="4"/>
  <c r="AU325" i="4"/>
  <c r="AU326" i="4"/>
  <c r="AU327" i="4"/>
  <c r="AU328" i="4"/>
  <c r="AU329" i="4"/>
  <c r="AU330" i="4"/>
  <c r="AU331" i="4"/>
  <c r="AU332" i="4"/>
  <c r="AU333" i="4"/>
  <c r="AU334" i="4"/>
  <c r="AU335" i="4"/>
  <c r="AU336" i="4"/>
  <c r="AU337" i="4"/>
  <c r="AU338" i="4"/>
  <c r="AU339" i="4"/>
  <c r="AU340" i="4"/>
  <c r="AU341" i="4"/>
  <c r="AU342" i="4"/>
  <c r="AU343" i="4"/>
  <c r="AU344" i="4"/>
  <c r="AU345" i="4"/>
  <c r="AU346" i="4"/>
  <c r="AU347" i="4"/>
  <c r="AU348" i="4"/>
  <c r="AU349" i="4"/>
  <c r="AU350" i="4"/>
  <c r="AU351" i="4"/>
  <c r="AU352" i="4"/>
  <c r="AU353" i="4"/>
  <c r="AU354" i="4"/>
  <c r="AU355" i="4"/>
  <c r="AU356" i="4"/>
  <c r="AU357" i="4"/>
  <c r="AU358" i="4"/>
  <c r="AU359" i="4"/>
  <c r="AU360" i="4"/>
  <c r="AU388" i="4"/>
  <c r="AU389" i="4"/>
  <c r="AU397" i="4"/>
  <c r="AU390" i="4"/>
  <c r="AU430" i="4"/>
  <c r="AU391" i="4"/>
  <c r="AU392" i="4"/>
  <c r="AU393" i="4"/>
  <c r="AU394" i="4"/>
  <c r="AU395" i="4"/>
  <c r="AU396" i="4"/>
  <c r="AU398" i="4"/>
  <c r="AU399" i="4"/>
  <c r="AU400" i="4"/>
  <c r="AU401" i="4"/>
  <c r="AU402" i="4"/>
  <c r="AU403" i="4"/>
  <c r="AU404" i="4"/>
  <c r="AU405" i="4"/>
  <c r="AU406" i="4"/>
  <c r="AU407" i="4"/>
  <c r="AU408" i="4"/>
  <c r="AU409" i="4"/>
  <c r="AU410" i="4"/>
  <c r="AU411" i="4"/>
  <c r="AU412" i="4"/>
  <c r="AU413" i="4"/>
  <c r="AU414" i="4"/>
  <c r="AU415" i="4"/>
  <c r="AU416" i="4"/>
  <c r="AU417" i="4"/>
  <c r="AU419" i="4"/>
  <c r="AU420" i="4"/>
  <c r="AU421" i="4"/>
  <c r="AU422" i="4"/>
  <c r="AU423" i="4"/>
  <c r="AU424" i="4"/>
  <c r="AU425" i="4"/>
  <c r="AU426" i="4"/>
  <c r="AU427" i="4"/>
  <c r="AU428" i="4"/>
  <c r="AU429" i="4"/>
  <c r="AU431" i="4"/>
  <c r="AU432" i="4"/>
  <c r="AU433" i="4"/>
  <c r="AU434" i="4"/>
  <c r="AU418" i="4"/>
  <c r="AU361" i="4"/>
  <c r="AU362" i="4"/>
  <c r="AU363" i="4"/>
  <c r="AU364" i="4"/>
  <c r="AU365" i="4"/>
  <c r="AU366" i="4"/>
  <c r="AU367" i="4"/>
  <c r="AU368" i="4"/>
  <c r="AU369" i="4"/>
  <c r="AU370" i="4"/>
  <c r="AU371" i="4"/>
  <c r="AU372" i="4"/>
  <c r="AU373" i="4"/>
  <c r="AU374" i="4"/>
  <c r="AU376" i="4"/>
  <c r="AU378" i="4"/>
  <c r="AU379" i="4"/>
  <c r="AU375" i="4"/>
  <c r="AU377" i="4"/>
  <c r="AU380" i="4"/>
  <c r="AU381" i="4"/>
  <c r="AU382" i="4"/>
  <c r="AU383" i="4"/>
  <c r="AU384" i="4"/>
  <c r="AU385" i="4"/>
  <c r="AU386" i="4"/>
  <c r="AU387" i="4"/>
  <c r="AU435" i="4"/>
  <c r="AU436" i="4"/>
  <c r="AU437" i="4"/>
  <c r="AU438" i="4"/>
  <c r="AU439" i="4"/>
  <c r="AU440" i="4"/>
  <c r="AU441" i="4"/>
  <c r="AU442" i="4"/>
  <c r="AU443" i="4"/>
  <c r="AU444" i="4"/>
  <c r="AU446" i="4"/>
  <c r="AU445" i="4"/>
  <c r="AU447" i="4"/>
  <c r="AU449" i="4"/>
  <c r="AU451" i="4"/>
  <c r="AU452" i="4"/>
  <c r="AU453" i="4"/>
  <c r="AU454" i="4"/>
  <c r="AU448" i="4"/>
  <c r="AU455" i="4"/>
  <c r="AU456" i="4"/>
  <c r="AU457" i="4"/>
  <c r="AU450" i="4"/>
  <c r="AU458" i="4"/>
  <c r="AU459" i="4"/>
  <c r="AU460" i="4"/>
  <c r="AU461" i="4"/>
  <c r="AU462" i="4"/>
  <c r="AU463" i="4"/>
  <c r="AU464" i="4"/>
  <c r="AU465" i="4"/>
  <c r="AU466" i="4"/>
  <c r="AU467" i="4"/>
  <c r="AU468" i="4"/>
  <c r="AU470" i="4"/>
  <c r="AU471" i="4"/>
  <c r="AU472" i="4"/>
  <c r="AU469" i="4"/>
  <c r="AU473" i="4"/>
  <c r="AU474" i="4"/>
  <c r="AU475" i="4"/>
  <c r="AU476" i="4"/>
  <c r="AU478" i="4"/>
  <c r="AU479" i="4"/>
  <c r="AU481" i="4"/>
  <c r="AU482" i="4"/>
  <c r="AU484" i="4"/>
  <c r="AU485" i="4"/>
  <c r="AU477" i="4"/>
  <c r="AU486" i="4"/>
  <c r="AU487" i="4"/>
  <c r="AU480" i="4"/>
  <c r="AU488" i="4"/>
  <c r="AU483" i="4"/>
  <c r="AU489" i="4"/>
  <c r="AU490" i="4"/>
  <c r="AU491" i="4"/>
  <c r="AU492" i="4"/>
  <c r="AU493" i="4"/>
  <c r="AU494" i="4"/>
  <c r="AU495" i="4"/>
  <c r="AU496" i="4"/>
  <c r="AU497" i="4"/>
  <c r="AU498" i="4"/>
  <c r="AU499" i="4"/>
  <c r="AU500" i="4"/>
  <c r="AU501" i="4"/>
  <c r="AU502" i="4"/>
  <c r="AU503" i="4"/>
  <c r="AU504" i="4"/>
  <c r="AU505" i="4"/>
  <c r="AU506" i="4"/>
  <c r="AU507" i="4"/>
  <c r="AU508" i="4"/>
  <c r="AU509" i="4"/>
  <c r="AU510" i="4"/>
  <c r="AU511" i="4"/>
  <c r="AU512" i="4"/>
  <c r="AU513" i="4"/>
  <c r="AU514" i="4"/>
  <c r="AU515" i="4"/>
  <c r="AU516" i="4"/>
  <c r="AU517" i="4"/>
  <c r="AU518" i="4"/>
  <c r="AU519" i="4"/>
  <c r="AU520" i="4"/>
  <c r="AU521" i="4"/>
  <c r="AU522" i="4"/>
  <c r="AU523" i="4"/>
  <c r="AU524" i="4"/>
  <c r="AU525" i="4"/>
  <c r="AU526" i="4"/>
  <c r="AU527" i="4"/>
  <c r="AU528" i="4"/>
  <c r="AU529" i="4"/>
  <c r="AU530" i="4"/>
  <c r="AU531" i="4"/>
  <c r="AU532" i="4"/>
  <c r="AU533" i="4"/>
  <c r="AU534" i="4"/>
  <c r="AU535" i="4"/>
  <c r="AU536" i="4"/>
  <c r="AU537" i="4"/>
  <c r="AU538" i="4"/>
  <c r="AU539" i="4"/>
  <c r="AU540" i="4"/>
  <c r="AU541" i="4"/>
  <c r="AU542" i="4"/>
  <c r="AU544" i="4"/>
  <c r="AU545" i="4"/>
  <c r="AU546" i="4"/>
  <c r="AU547" i="4"/>
  <c r="AU543" i="4"/>
  <c r="AU548" i="4"/>
  <c r="AU549" i="4"/>
  <c r="AU550" i="4"/>
  <c r="AU551" i="4"/>
  <c r="AU552" i="4"/>
  <c r="AU553" i="4"/>
  <c r="AU554" i="4"/>
  <c r="AU555" i="4"/>
  <c r="AU556" i="4"/>
  <c r="AU557" i="4"/>
  <c r="AU558" i="4"/>
  <c r="AU559" i="4"/>
  <c r="AU560" i="4"/>
  <c r="AU561" i="4"/>
  <c r="AU562" i="4"/>
  <c r="AU563" i="4"/>
  <c r="AU564" i="4"/>
  <c r="AU566" i="4"/>
  <c r="AU567" i="4"/>
  <c r="AU568" i="4"/>
  <c r="AU569" i="4"/>
  <c r="AU570" i="4"/>
  <c r="AU571" i="4"/>
  <c r="AU572" i="4"/>
  <c r="AU573" i="4"/>
  <c r="AU574" i="4"/>
  <c r="AU575" i="4"/>
  <c r="AU576" i="4"/>
  <c r="AU577" i="4"/>
  <c r="AU578" i="4"/>
  <c r="AU579" i="4"/>
  <c r="AU580" i="4"/>
  <c r="AU583" i="4"/>
  <c r="AU584" i="4"/>
  <c r="AU585" i="4"/>
  <c r="AU586" i="4"/>
  <c r="AU587" i="4"/>
  <c r="AU588" i="4"/>
  <c r="AU589" i="4"/>
  <c r="AU590" i="4"/>
  <c r="AU591" i="4"/>
  <c r="AU592" i="4"/>
  <c r="AU565" i="4"/>
  <c r="AU593" i="4"/>
  <c r="AU594" i="4"/>
  <c r="AU595" i="4"/>
  <c r="AU597" i="4"/>
  <c r="AU598" i="4"/>
  <c r="AU599" i="4"/>
  <c r="AU600" i="4"/>
  <c r="AU601" i="4"/>
  <c r="AU602" i="4"/>
  <c r="AU581" i="4"/>
  <c r="AU582" i="4"/>
  <c r="AU603" i="4"/>
  <c r="AU604" i="4"/>
  <c r="AU605" i="4"/>
  <c r="AU606" i="4"/>
  <c r="AU607" i="4"/>
  <c r="AU608" i="4"/>
  <c r="AU609" i="4"/>
  <c r="AU610" i="4"/>
  <c r="AU611" i="4"/>
  <c r="AU612" i="4"/>
  <c r="AU596" i="4"/>
  <c r="AU613" i="4"/>
  <c r="AU614" i="4"/>
  <c r="AU615" i="4"/>
  <c r="AU616" i="4"/>
  <c r="AU617" i="4"/>
  <c r="AU618" i="4"/>
  <c r="AU620" i="4"/>
  <c r="AU621" i="4"/>
  <c r="AU619" i="4"/>
  <c r="AU622" i="4"/>
  <c r="AU623" i="4"/>
  <c r="AU624" i="4"/>
  <c r="AU625" i="4"/>
  <c r="AU626" i="4"/>
  <c r="AU627" i="4"/>
  <c r="AU628" i="4"/>
  <c r="AU629" i="4"/>
  <c r="AU630" i="4"/>
  <c r="AU631" i="4"/>
  <c r="AU632" i="4"/>
  <c r="AU633" i="4"/>
  <c r="AU634" i="4"/>
  <c r="AU635" i="4"/>
  <c r="AU636" i="4"/>
  <c r="AU637" i="4"/>
  <c r="AU638" i="4"/>
  <c r="AU639" i="4"/>
  <c r="AU640" i="4"/>
  <c r="AU641" i="4"/>
  <c r="AU642" i="4"/>
  <c r="AU643" i="4"/>
  <c r="AU644" i="4"/>
  <c r="AU645" i="4"/>
  <c r="AU646" i="4"/>
  <c r="AU648" i="4"/>
  <c r="AU649" i="4"/>
  <c r="AU650" i="4"/>
  <c r="AU651" i="4"/>
  <c r="AU653" i="4"/>
  <c r="AU654" i="4"/>
  <c r="AU655" i="4"/>
  <c r="AU647" i="4"/>
  <c r="AU656" i="4"/>
  <c r="AU657" i="4"/>
  <c r="AU659" i="4"/>
  <c r="AU652" i="4"/>
  <c r="AU658" i="4"/>
  <c r="AU660" i="4"/>
  <c r="AU661" i="4"/>
  <c r="AU662" i="4"/>
  <c r="AU663" i="4"/>
  <c r="AU664" i="4"/>
  <c r="AU665" i="4"/>
  <c r="AU666" i="4"/>
  <c r="AU667" i="4"/>
  <c r="AU668" i="4"/>
  <c r="AU669" i="4"/>
  <c r="AU670" i="4"/>
  <c r="AU671" i="4"/>
  <c r="AU672" i="4"/>
  <c r="AU674" i="4"/>
  <c r="AU675" i="4"/>
  <c r="AU676" i="4"/>
  <c r="AU677" i="4"/>
  <c r="AU678" i="4"/>
  <c r="AU679" i="4"/>
  <c r="AU680" i="4"/>
  <c r="AU681" i="4"/>
  <c r="AU673" i="4"/>
  <c r="AU102" i="4"/>
  <c r="AU103" i="4"/>
  <c r="AU104" i="4"/>
  <c r="AU96" i="4"/>
  <c r="AU97" i="4"/>
  <c r="AU98" i="4"/>
  <c r="AU105" i="4"/>
  <c r="AU122" i="4"/>
  <c r="AU117" i="4"/>
  <c r="AU106" i="4"/>
  <c r="AU107" i="4"/>
  <c r="AU118" i="4"/>
  <c r="AU119" i="4"/>
  <c r="AU114" i="4"/>
  <c r="AU99" i="4"/>
  <c r="AU123" i="4"/>
  <c r="AU100" i="4"/>
  <c r="AU108" i="4"/>
  <c r="AU109" i="4"/>
  <c r="AU110" i="4"/>
  <c r="AU111" i="4"/>
  <c r="AU121" i="4"/>
  <c r="AU101" i="4"/>
  <c r="AU112" i="4"/>
  <c r="AU113" i="4"/>
  <c r="AU120" i="4"/>
  <c r="AU115" i="4"/>
  <c r="AU116" i="4"/>
  <c r="AR51" i="4"/>
  <c r="AR52" i="4"/>
  <c r="AR53" i="4"/>
  <c r="AR54" i="4"/>
  <c r="AR55" i="4"/>
  <c r="AR56" i="4"/>
  <c r="AR57" i="4"/>
  <c r="AR59" i="4"/>
  <c r="AR60" i="4"/>
  <c r="AR61" i="4"/>
  <c r="AR58" i="4"/>
  <c r="AR62" i="4"/>
  <c r="AR63" i="4"/>
  <c r="AR64" i="4"/>
  <c r="AR65" i="4"/>
  <c r="AR67" i="4"/>
  <c r="AR68" i="4"/>
  <c r="AR69" i="4"/>
  <c r="AR70" i="4"/>
  <c r="AR66" i="4"/>
  <c r="AR71" i="4"/>
  <c r="AR72" i="4"/>
  <c r="AR73" i="4"/>
  <c r="AR74" i="4"/>
  <c r="AR75" i="4"/>
  <c r="AR76" i="4"/>
  <c r="AR77" i="4"/>
  <c r="AR78" i="4"/>
  <c r="AR79" i="4"/>
  <c r="AR80" i="4"/>
  <c r="AR81" i="4"/>
  <c r="AR83" i="4"/>
  <c r="AR82" i="4"/>
  <c r="AR84" i="4"/>
  <c r="AR85" i="4"/>
  <c r="AR86" i="4"/>
  <c r="AR87" i="4"/>
  <c r="AR88" i="4"/>
  <c r="AR89" i="4"/>
  <c r="AR90" i="4"/>
  <c r="AR91" i="4"/>
  <c r="AR92" i="4"/>
  <c r="AR93" i="4"/>
  <c r="AR94" i="4"/>
  <c r="AR95" i="4"/>
  <c r="AR124" i="4"/>
  <c r="AR125" i="4"/>
  <c r="AR126" i="4"/>
  <c r="AR127" i="4"/>
  <c r="AR128" i="4"/>
  <c r="AR129" i="4"/>
  <c r="AR130" i="4"/>
  <c r="AR131" i="4"/>
  <c r="AR132" i="4"/>
  <c r="AR133" i="4"/>
  <c r="AR134" i="4"/>
  <c r="AR135" i="4"/>
  <c r="AR137" i="4"/>
  <c r="AR138" i="4"/>
  <c r="AR139" i="4"/>
  <c r="AR140" i="4"/>
  <c r="AR136" i="4"/>
  <c r="AR142" i="4"/>
  <c r="AR143" i="4"/>
  <c r="AR144" i="4"/>
  <c r="AR146" i="4"/>
  <c r="AR147" i="4"/>
  <c r="AR149" i="4"/>
  <c r="AR150" i="4"/>
  <c r="AR151" i="4"/>
  <c r="AR153" i="4"/>
  <c r="AR145" i="4"/>
  <c r="AR154" i="4"/>
  <c r="AR148" i="4"/>
  <c r="AR152" i="4"/>
  <c r="AR155" i="4"/>
  <c r="AR156" i="4"/>
  <c r="AR141" i="4"/>
  <c r="AR157" i="4"/>
  <c r="AR158" i="4"/>
  <c r="AR159" i="4"/>
  <c r="AR160" i="4"/>
  <c r="AR161" i="4"/>
  <c r="AR162" i="4"/>
  <c r="AR163" i="4"/>
  <c r="AR164" i="4"/>
  <c r="AR165" i="4"/>
  <c r="AR166" i="4"/>
  <c r="AR167" i="4"/>
  <c r="AR168" i="4"/>
  <c r="AR169" i="4"/>
  <c r="AR170" i="4"/>
  <c r="AR171" i="4"/>
  <c r="AR172" i="4"/>
  <c r="AR173" i="4"/>
  <c r="AR174" i="4"/>
  <c r="AR175" i="4"/>
  <c r="AR176" i="4"/>
  <c r="AR177" i="4"/>
  <c r="AR178" i="4"/>
  <c r="AR179" i="4"/>
  <c r="AR180" i="4"/>
  <c r="AR181" i="4"/>
  <c r="AR182" i="4"/>
  <c r="AR183" i="4"/>
  <c r="AR184" i="4"/>
  <c r="AR185" i="4"/>
  <c r="AR186" i="4"/>
  <c r="AR187" i="4"/>
  <c r="AR188" i="4"/>
  <c r="AR189" i="4"/>
  <c r="AR190" i="4"/>
  <c r="AR191" i="4"/>
  <c r="AR192" i="4"/>
  <c r="AR193" i="4"/>
  <c r="AR194" i="4"/>
  <c r="AR196" i="4"/>
  <c r="AR197" i="4"/>
  <c r="AR198" i="4"/>
  <c r="AR199" i="4"/>
  <c r="AR200" i="4"/>
  <c r="AR201" i="4"/>
  <c r="AR202" i="4"/>
  <c r="AR203" i="4"/>
  <c r="AR195" i="4"/>
  <c r="AR204" i="4"/>
  <c r="AR205" i="4"/>
  <c r="AR206" i="4"/>
  <c r="AR207" i="4"/>
  <c r="AR208" i="4"/>
  <c r="AR209" i="4"/>
  <c r="AR210" i="4"/>
  <c r="AR211" i="4"/>
  <c r="AR212" i="4"/>
  <c r="AR213" i="4"/>
  <c r="AR214" i="4"/>
  <c r="AR215" i="4"/>
  <c r="AR216" i="4"/>
  <c r="AR217" i="4"/>
  <c r="AR218" i="4"/>
  <c r="AR219" i="4"/>
  <c r="AR220" i="4"/>
  <c r="AR221" i="4"/>
  <c r="AR222" i="4"/>
  <c r="AR223" i="4"/>
  <c r="AR224" i="4"/>
  <c r="AR225" i="4"/>
  <c r="AR226" i="4"/>
  <c r="AR227" i="4"/>
  <c r="AR228" i="4"/>
  <c r="AR229" i="4"/>
  <c r="AR230" i="4"/>
  <c r="AR231" i="4"/>
  <c r="AR233" i="4"/>
  <c r="AR234" i="4"/>
  <c r="AR235" i="4"/>
  <c r="AR236" i="4"/>
  <c r="AR237" i="4"/>
  <c r="AR232" i="4"/>
  <c r="AR238" i="4"/>
  <c r="AR240" i="4"/>
  <c r="AR239" i="4"/>
  <c r="AR241" i="4"/>
  <c r="AR242" i="4"/>
  <c r="AR243" i="4"/>
  <c r="AR244" i="4"/>
  <c r="AR245" i="4"/>
  <c r="AR246" i="4"/>
  <c r="AR247" i="4"/>
  <c r="AR248" i="4"/>
  <c r="AR249" i="4"/>
  <c r="AR251" i="4"/>
  <c r="AR253" i="4"/>
  <c r="AR254" i="4"/>
  <c r="AR255" i="4"/>
  <c r="AR256" i="4"/>
  <c r="AR257" i="4"/>
  <c r="AR250" i="4"/>
  <c r="AR258" i="4"/>
  <c r="AR259" i="4"/>
  <c r="AR260" i="4"/>
  <c r="AR252" i="4"/>
  <c r="AR261" i="4"/>
  <c r="AR262" i="4"/>
  <c r="AR263" i="4"/>
  <c r="AR264" i="4"/>
  <c r="AR265" i="4"/>
  <c r="AR266" i="4"/>
  <c r="AR267" i="4"/>
  <c r="AR268" i="4"/>
  <c r="AR269" i="4"/>
  <c r="AR270" i="4"/>
  <c r="AR271" i="4"/>
  <c r="AR272" i="4"/>
  <c r="AR273" i="4"/>
  <c r="AR274" i="4"/>
  <c r="AR275" i="4"/>
  <c r="AR276" i="4"/>
  <c r="AR277" i="4"/>
  <c r="AR278" i="4"/>
  <c r="AR279" i="4"/>
  <c r="AR280" i="4"/>
  <c r="AR281" i="4"/>
  <c r="AR282" i="4"/>
  <c r="AR283" i="4"/>
  <c r="AR284" i="4"/>
  <c r="AR285" i="4"/>
  <c r="AR286" i="4"/>
  <c r="AR287" i="4"/>
  <c r="AR288" i="4"/>
  <c r="AR289" i="4"/>
  <c r="AR291" i="4"/>
  <c r="AR290" i="4"/>
  <c r="AR292" i="4"/>
  <c r="AR293" i="4"/>
  <c r="AR294" i="4"/>
  <c r="AR295" i="4"/>
  <c r="AR296" i="4"/>
  <c r="AR297" i="4"/>
  <c r="AR298" i="4"/>
  <c r="AR299" i="4"/>
  <c r="AR300" i="4"/>
  <c r="AR301" i="4"/>
  <c r="AR302" i="4"/>
  <c r="AR303" i="4"/>
  <c r="AR304" i="4"/>
  <c r="AR305" i="4"/>
  <c r="AR306" i="4"/>
  <c r="AR307" i="4"/>
  <c r="AR308" i="4"/>
  <c r="AR309" i="4"/>
  <c r="AR310" i="4"/>
  <c r="AR311" i="4"/>
  <c r="AR312" i="4"/>
  <c r="AR313" i="4"/>
  <c r="AR314" i="4"/>
  <c r="AR315" i="4"/>
  <c r="AR316" i="4"/>
  <c r="AR317" i="4"/>
  <c r="AR318" i="4"/>
  <c r="AR319" i="4"/>
  <c r="AR320" i="4"/>
  <c r="AR321" i="4"/>
  <c r="AR322" i="4"/>
  <c r="AR323" i="4"/>
  <c r="AR324" i="4"/>
  <c r="AR325" i="4"/>
  <c r="AR326" i="4"/>
  <c r="AR327" i="4"/>
  <c r="AR328" i="4"/>
  <c r="AR329" i="4"/>
  <c r="AR330" i="4"/>
  <c r="AR331" i="4"/>
  <c r="AR332" i="4"/>
  <c r="AR333" i="4"/>
  <c r="AR334" i="4"/>
  <c r="AR335" i="4"/>
  <c r="AR336" i="4"/>
  <c r="AR337" i="4"/>
  <c r="AR338" i="4"/>
  <c r="AR339" i="4"/>
  <c r="AR340" i="4"/>
  <c r="AR341" i="4"/>
  <c r="AR342" i="4"/>
  <c r="AR343" i="4"/>
  <c r="AR344" i="4"/>
  <c r="AR345" i="4"/>
  <c r="AR346" i="4"/>
  <c r="AR347" i="4"/>
  <c r="AR348" i="4"/>
  <c r="AR349" i="4"/>
  <c r="AR350" i="4"/>
  <c r="AR351" i="4"/>
  <c r="AR352" i="4"/>
  <c r="AR353" i="4"/>
  <c r="AR354" i="4"/>
  <c r="AR355" i="4"/>
  <c r="AR356" i="4"/>
  <c r="AR357" i="4"/>
  <c r="AR358" i="4"/>
  <c r="AR359" i="4"/>
  <c r="AR360" i="4"/>
  <c r="AR388" i="4"/>
  <c r="AR389" i="4"/>
  <c r="AR397" i="4"/>
  <c r="AR390" i="4"/>
  <c r="AR430" i="4"/>
  <c r="AR391" i="4"/>
  <c r="AR392" i="4"/>
  <c r="AR393" i="4"/>
  <c r="AR394" i="4"/>
  <c r="AR395" i="4"/>
  <c r="AR396" i="4"/>
  <c r="AR398" i="4"/>
  <c r="AR399" i="4"/>
  <c r="AR400" i="4"/>
  <c r="AR401" i="4"/>
  <c r="AR402" i="4"/>
  <c r="AR403" i="4"/>
  <c r="AR404" i="4"/>
  <c r="AR405" i="4"/>
  <c r="AR406" i="4"/>
  <c r="AR407" i="4"/>
  <c r="AR408" i="4"/>
  <c r="AR409" i="4"/>
  <c r="AR410" i="4"/>
  <c r="AR411" i="4"/>
  <c r="AR412" i="4"/>
  <c r="AR413" i="4"/>
  <c r="AR414" i="4"/>
  <c r="AR415" i="4"/>
  <c r="AR416" i="4"/>
  <c r="AR417" i="4"/>
  <c r="AR419" i="4"/>
  <c r="AR420" i="4"/>
  <c r="AR421" i="4"/>
  <c r="AR422" i="4"/>
  <c r="AR423" i="4"/>
  <c r="AR424" i="4"/>
  <c r="AR425" i="4"/>
  <c r="AR426" i="4"/>
  <c r="AR427" i="4"/>
  <c r="AR428" i="4"/>
  <c r="AR429" i="4"/>
  <c r="AR431" i="4"/>
  <c r="AR432" i="4"/>
  <c r="AR433" i="4"/>
  <c r="AR434" i="4"/>
  <c r="AR418" i="4"/>
  <c r="AR361" i="4"/>
  <c r="AR362" i="4"/>
  <c r="AR363" i="4"/>
  <c r="AR364" i="4"/>
  <c r="AR365" i="4"/>
  <c r="AR366" i="4"/>
  <c r="AR367" i="4"/>
  <c r="AR368" i="4"/>
  <c r="AR369" i="4"/>
  <c r="AR370" i="4"/>
  <c r="AR371" i="4"/>
  <c r="AR372" i="4"/>
  <c r="AR373" i="4"/>
  <c r="AR374" i="4"/>
  <c r="AR376" i="4"/>
  <c r="AR378" i="4"/>
  <c r="AR379" i="4"/>
  <c r="AR375" i="4"/>
  <c r="AR377" i="4"/>
  <c r="AR380" i="4"/>
  <c r="AR381" i="4"/>
  <c r="AR382" i="4"/>
  <c r="AR383" i="4"/>
  <c r="AR384" i="4"/>
  <c r="AR385" i="4"/>
  <c r="AR386" i="4"/>
  <c r="AR387" i="4"/>
  <c r="AR435" i="4"/>
  <c r="AR436" i="4"/>
  <c r="AR437" i="4"/>
  <c r="AR438" i="4"/>
  <c r="AR439" i="4"/>
  <c r="AR440" i="4"/>
  <c r="AR441" i="4"/>
  <c r="AR442" i="4"/>
  <c r="AR443" i="4"/>
  <c r="AR444" i="4"/>
  <c r="AR446" i="4"/>
  <c r="AR445" i="4"/>
  <c r="AR447" i="4"/>
  <c r="AR449" i="4"/>
  <c r="AR451" i="4"/>
  <c r="AR452" i="4"/>
  <c r="AR453" i="4"/>
  <c r="AR454" i="4"/>
  <c r="AR448" i="4"/>
  <c r="AR455" i="4"/>
  <c r="AR456" i="4"/>
  <c r="AR457" i="4"/>
  <c r="AR450" i="4"/>
  <c r="AR458" i="4"/>
  <c r="AR459" i="4"/>
  <c r="AR460" i="4"/>
  <c r="AR461" i="4"/>
  <c r="AR462" i="4"/>
  <c r="AR463" i="4"/>
  <c r="AR464" i="4"/>
  <c r="AR465" i="4"/>
  <c r="AR466" i="4"/>
  <c r="AR467" i="4"/>
  <c r="AR468" i="4"/>
  <c r="AR470" i="4"/>
  <c r="AR471" i="4"/>
  <c r="AR472" i="4"/>
  <c r="AR469" i="4"/>
  <c r="AR473" i="4"/>
  <c r="AR474" i="4"/>
  <c r="AR475" i="4"/>
  <c r="AR476" i="4"/>
  <c r="AR478" i="4"/>
  <c r="AR479" i="4"/>
  <c r="AR481" i="4"/>
  <c r="AR482" i="4"/>
  <c r="AR484" i="4"/>
  <c r="AR485" i="4"/>
  <c r="AR477" i="4"/>
  <c r="AR486" i="4"/>
  <c r="AR487" i="4"/>
  <c r="AR480" i="4"/>
  <c r="AR488" i="4"/>
  <c r="AR483" i="4"/>
  <c r="AR489" i="4"/>
  <c r="AR490" i="4"/>
  <c r="AR491" i="4"/>
  <c r="AR492" i="4"/>
  <c r="AR493" i="4"/>
  <c r="AR494" i="4"/>
  <c r="AR495" i="4"/>
  <c r="AR496" i="4"/>
  <c r="AR497" i="4"/>
  <c r="AR498" i="4"/>
  <c r="AR499" i="4"/>
  <c r="AR500" i="4"/>
  <c r="AR501" i="4"/>
  <c r="AR502" i="4"/>
  <c r="AR503" i="4"/>
  <c r="AR504" i="4"/>
  <c r="AR505" i="4"/>
  <c r="AR506" i="4"/>
  <c r="AR507" i="4"/>
  <c r="AR508" i="4"/>
  <c r="AR509" i="4"/>
  <c r="AR510" i="4"/>
  <c r="AR511" i="4"/>
  <c r="AR512" i="4"/>
  <c r="AR513" i="4"/>
  <c r="AR514" i="4"/>
  <c r="AR515" i="4"/>
  <c r="AR516" i="4"/>
  <c r="AR517" i="4"/>
  <c r="AR518" i="4"/>
  <c r="AR519" i="4"/>
  <c r="AR520" i="4"/>
  <c r="AR521" i="4"/>
  <c r="AR522" i="4"/>
  <c r="AR523" i="4"/>
  <c r="AR524" i="4"/>
  <c r="AR525" i="4"/>
  <c r="AR526" i="4"/>
  <c r="AR527" i="4"/>
  <c r="AR528" i="4"/>
  <c r="AR529" i="4"/>
  <c r="AR530" i="4"/>
  <c r="AR531" i="4"/>
  <c r="AR532" i="4"/>
  <c r="AR533" i="4"/>
  <c r="AR534" i="4"/>
  <c r="AR535" i="4"/>
  <c r="AR536" i="4"/>
  <c r="AR537" i="4"/>
  <c r="AR538" i="4"/>
  <c r="AR539" i="4"/>
  <c r="AR540" i="4"/>
  <c r="AR541" i="4"/>
  <c r="AR542" i="4"/>
  <c r="AR544" i="4"/>
  <c r="AR545" i="4"/>
  <c r="AR546" i="4"/>
  <c r="AR547" i="4"/>
  <c r="AR543" i="4"/>
  <c r="AR548" i="4"/>
  <c r="AR549" i="4"/>
  <c r="AR550" i="4"/>
  <c r="AR551" i="4"/>
  <c r="AR552" i="4"/>
  <c r="AR553" i="4"/>
  <c r="AR554" i="4"/>
  <c r="AR555" i="4"/>
  <c r="AR556" i="4"/>
  <c r="AR557" i="4"/>
  <c r="AR558" i="4"/>
  <c r="AR559" i="4"/>
  <c r="AR560" i="4"/>
  <c r="AR561" i="4"/>
  <c r="AR562" i="4"/>
  <c r="AR563" i="4"/>
  <c r="AR564" i="4"/>
  <c r="AR566" i="4"/>
  <c r="AR567" i="4"/>
  <c r="AR568" i="4"/>
  <c r="AR569" i="4"/>
  <c r="AR570" i="4"/>
  <c r="AR571" i="4"/>
  <c r="AR572" i="4"/>
  <c r="AR573" i="4"/>
  <c r="AR574" i="4"/>
  <c r="AR575" i="4"/>
  <c r="AR576" i="4"/>
  <c r="AR577" i="4"/>
  <c r="AR578" i="4"/>
  <c r="AR579" i="4"/>
  <c r="AR580" i="4"/>
  <c r="AR583" i="4"/>
  <c r="AR584" i="4"/>
  <c r="AR585" i="4"/>
  <c r="AR586" i="4"/>
  <c r="AR587" i="4"/>
  <c r="AR588" i="4"/>
  <c r="AR589" i="4"/>
  <c r="AR590" i="4"/>
  <c r="AR591" i="4"/>
  <c r="AR592" i="4"/>
  <c r="AR565" i="4"/>
  <c r="AR593" i="4"/>
  <c r="AR594" i="4"/>
  <c r="AR595" i="4"/>
  <c r="AR597" i="4"/>
  <c r="AR598" i="4"/>
  <c r="AR599" i="4"/>
  <c r="AR600" i="4"/>
  <c r="AR601" i="4"/>
  <c r="AR602" i="4"/>
  <c r="AR581" i="4"/>
  <c r="AR582" i="4"/>
  <c r="AR603" i="4"/>
  <c r="AR604" i="4"/>
  <c r="AR605" i="4"/>
  <c r="AR606" i="4"/>
  <c r="AR607" i="4"/>
  <c r="AR608" i="4"/>
  <c r="AR609" i="4"/>
  <c r="AR610" i="4"/>
  <c r="AR611" i="4"/>
  <c r="AR612" i="4"/>
  <c r="AR596" i="4"/>
  <c r="AR613" i="4"/>
  <c r="AR614" i="4"/>
  <c r="AR615" i="4"/>
  <c r="AR616" i="4"/>
  <c r="AR617" i="4"/>
  <c r="AR618" i="4"/>
  <c r="AR620" i="4"/>
  <c r="AR621" i="4"/>
  <c r="AR619" i="4"/>
  <c r="AR622" i="4"/>
  <c r="AR623" i="4"/>
  <c r="AR624" i="4"/>
  <c r="AR625" i="4"/>
  <c r="AR626" i="4"/>
  <c r="AR627" i="4"/>
  <c r="AR628" i="4"/>
  <c r="AR629" i="4"/>
  <c r="AR630" i="4"/>
  <c r="AR631" i="4"/>
  <c r="AR632" i="4"/>
  <c r="AR633" i="4"/>
  <c r="AR634" i="4"/>
  <c r="AR635" i="4"/>
  <c r="AR636" i="4"/>
  <c r="AR637" i="4"/>
  <c r="AR638" i="4"/>
  <c r="AR639" i="4"/>
  <c r="AR640" i="4"/>
  <c r="AR641" i="4"/>
  <c r="AR642" i="4"/>
  <c r="AR643" i="4"/>
  <c r="AR644" i="4"/>
  <c r="AR645" i="4"/>
  <c r="AR646" i="4"/>
  <c r="AR648" i="4"/>
  <c r="AR649" i="4"/>
  <c r="AR650" i="4"/>
  <c r="AR651" i="4"/>
  <c r="AR653" i="4"/>
  <c r="AR654" i="4"/>
  <c r="AR655" i="4"/>
  <c r="AR647" i="4"/>
  <c r="AR656" i="4"/>
  <c r="AR657" i="4"/>
  <c r="AR659" i="4"/>
  <c r="AR652" i="4"/>
  <c r="AR658" i="4"/>
  <c r="AR660" i="4"/>
  <c r="AR661" i="4"/>
  <c r="AR662" i="4"/>
  <c r="AR663" i="4"/>
  <c r="AR664" i="4"/>
  <c r="AR665" i="4"/>
  <c r="AR666" i="4"/>
  <c r="AR667" i="4"/>
  <c r="AR668" i="4"/>
  <c r="AR669" i="4"/>
  <c r="AR670" i="4"/>
  <c r="AR671" i="4"/>
  <c r="AR672" i="4"/>
  <c r="AR674" i="4"/>
  <c r="AR675" i="4"/>
  <c r="AR676" i="4"/>
  <c r="AR677" i="4"/>
  <c r="AR678" i="4"/>
  <c r="AR679" i="4"/>
  <c r="AR680" i="4"/>
  <c r="AR681" i="4"/>
  <c r="AR673" i="4"/>
  <c r="AR102" i="4"/>
  <c r="AR103" i="4"/>
  <c r="AR104" i="4"/>
  <c r="AR96" i="4"/>
  <c r="AR97" i="4"/>
  <c r="AR98" i="4"/>
  <c r="AR105" i="4"/>
  <c r="AR122" i="4"/>
  <c r="AR117" i="4"/>
  <c r="AR106" i="4"/>
  <c r="AR107" i="4"/>
  <c r="AR118" i="4"/>
  <c r="AR119" i="4"/>
  <c r="AR114" i="4"/>
  <c r="AR99" i="4"/>
  <c r="AR123" i="4"/>
  <c r="AR100" i="4"/>
  <c r="AR108" i="4"/>
  <c r="AR109" i="4"/>
  <c r="AR110" i="4"/>
  <c r="AR111" i="4"/>
  <c r="AR121" i="4"/>
  <c r="AR101" i="4"/>
  <c r="AR112" i="4"/>
  <c r="AR113" i="4"/>
  <c r="AR120" i="4"/>
  <c r="AR115" i="4"/>
  <c r="AR116" i="4"/>
  <c r="AO53" i="4"/>
  <c r="AO54" i="4"/>
  <c r="AO55" i="4"/>
  <c r="AO56" i="4"/>
  <c r="AO57" i="4"/>
  <c r="AO59" i="4"/>
  <c r="AO60" i="4"/>
  <c r="AO61" i="4"/>
  <c r="AO58" i="4"/>
  <c r="AO62" i="4"/>
  <c r="AO63" i="4"/>
  <c r="AO64" i="4"/>
  <c r="AO65" i="4"/>
  <c r="AO67" i="4"/>
  <c r="AO68" i="4"/>
  <c r="AO69" i="4"/>
  <c r="AO70" i="4"/>
  <c r="AO66" i="4"/>
  <c r="AO71" i="4"/>
  <c r="AO72" i="4"/>
  <c r="AO73" i="4"/>
  <c r="AO74" i="4"/>
  <c r="AO75" i="4"/>
  <c r="AO76" i="4"/>
  <c r="AO77" i="4"/>
  <c r="AO78" i="4"/>
  <c r="AO79" i="4"/>
  <c r="AO80" i="4"/>
  <c r="AO81" i="4"/>
  <c r="AO83" i="4"/>
  <c r="AO82" i="4"/>
  <c r="AO84" i="4"/>
  <c r="AO85" i="4"/>
  <c r="AO86" i="4"/>
  <c r="AO87" i="4"/>
  <c r="AO88" i="4"/>
  <c r="AO89" i="4"/>
  <c r="AO90" i="4"/>
  <c r="AO91" i="4"/>
  <c r="AO92" i="4"/>
  <c r="AO93" i="4"/>
  <c r="AO94" i="4"/>
  <c r="AO95" i="4"/>
  <c r="AO124" i="4"/>
  <c r="AO125" i="4"/>
  <c r="AO126" i="4"/>
  <c r="AO127" i="4"/>
  <c r="AO128" i="4"/>
  <c r="AO129" i="4"/>
  <c r="AO130" i="4"/>
  <c r="AO131" i="4"/>
  <c r="AO132" i="4"/>
  <c r="AO133" i="4"/>
  <c r="AO134" i="4"/>
  <c r="AO135" i="4"/>
  <c r="AO137" i="4"/>
  <c r="AO138" i="4"/>
  <c r="AO139" i="4"/>
  <c r="AO140" i="4"/>
  <c r="AO136" i="4"/>
  <c r="AO142" i="4"/>
  <c r="AO143" i="4"/>
  <c r="AO144" i="4"/>
  <c r="AO146" i="4"/>
  <c r="AO147" i="4"/>
  <c r="AO149" i="4"/>
  <c r="AO150" i="4"/>
  <c r="AO151" i="4"/>
  <c r="AO153" i="4"/>
  <c r="AO145" i="4"/>
  <c r="AO154" i="4"/>
  <c r="AO148" i="4"/>
  <c r="AO152" i="4"/>
  <c r="AO155" i="4"/>
  <c r="AO156" i="4"/>
  <c r="AO141" i="4"/>
  <c r="AO157" i="4"/>
  <c r="AO158" i="4"/>
  <c r="AO159" i="4"/>
  <c r="AO160" i="4"/>
  <c r="AO161" i="4"/>
  <c r="AO162" i="4"/>
  <c r="AO163" i="4"/>
  <c r="AO164" i="4"/>
  <c r="AO165" i="4"/>
  <c r="AO166" i="4"/>
  <c r="AO167" i="4"/>
  <c r="AO168" i="4"/>
  <c r="AO169" i="4"/>
  <c r="AO170" i="4"/>
  <c r="AO171" i="4"/>
  <c r="AO172" i="4"/>
  <c r="AO173" i="4"/>
  <c r="AO174" i="4"/>
  <c r="AO175" i="4"/>
  <c r="AO176" i="4"/>
  <c r="AO177" i="4"/>
  <c r="AO178" i="4"/>
  <c r="AO179" i="4"/>
  <c r="AO180" i="4"/>
  <c r="AO181" i="4"/>
  <c r="AO182" i="4"/>
  <c r="AO183" i="4"/>
  <c r="AO184" i="4"/>
  <c r="AO185" i="4"/>
  <c r="AO186" i="4"/>
  <c r="AO187" i="4"/>
  <c r="AO188" i="4"/>
  <c r="AO189" i="4"/>
  <c r="AO190" i="4"/>
  <c r="AO191" i="4"/>
  <c r="AO192" i="4"/>
  <c r="AO193" i="4"/>
  <c r="AO194" i="4"/>
  <c r="AO196" i="4"/>
  <c r="AO197" i="4"/>
  <c r="AO198" i="4"/>
  <c r="AO199" i="4"/>
  <c r="AO200" i="4"/>
  <c r="AO201" i="4"/>
  <c r="AO202" i="4"/>
  <c r="AO203" i="4"/>
  <c r="AO195" i="4"/>
  <c r="AO204" i="4"/>
  <c r="AO205" i="4"/>
  <c r="AO206" i="4"/>
  <c r="AO207" i="4"/>
  <c r="AO208" i="4"/>
  <c r="AO209" i="4"/>
  <c r="AO210" i="4"/>
  <c r="AO211" i="4"/>
  <c r="AO212" i="4"/>
  <c r="AO213" i="4"/>
  <c r="AO214" i="4"/>
  <c r="AO215" i="4"/>
  <c r="AO216" i="4"/>
  <c r="AO217" i="4"/>
  <c r="AO218" i="4"/>
  <c r="AO219" i="4"/>
  <c r="AO220" i="4"/>
  <c r="AO221" i="4"/>
  <c r="AO222" i="4"/>
  <c r="AO223" i="4"/>
  <c r="AO224" i="4"/>
  <c r="AO225" i="4"/>
  <c r="AO226" i="4"/>
  <c r="AO227" i="4"/>
  <c r="AO228" i="4"/>
  <c r="AO229" i="4"/>
  <c r="AO230" i="4"/>
  <c r="AO231" i="4"/>
  <c r="AO233" i="4"/>
  <c r="AO234" i="4"/>
  <c r="AO235" i="4"/>
  <c r="AO236" i="4"/>
  <c r="AO237" i="4"/>
  <c r="AO232" i="4"/>
  <c r="AO238" i="4"/>
  <c r="AO240" i="4"/>
  <c r="AO239" i="4"/>
  <c r="AO241" i="4"/>
  <c r="AO242" i="4"/>
  <c r="AO243" i="4"/>
  <c r="AO244" i="4"/>
  <c r="AO245" i="4"/>
  <c r="AO246" i="4"/>
  <c r="AO247" i="4"/>
  <c r="AO248" i="4"/>
  <c r="AO249" i="4"/>
  <c r="AO251" i="4"/>
  <c r="AO253" i="4"/>
  <c r="AO254" i="4"/>
  <c r="AO255" i="4"/>
  <c r="AO256" i="4"/>
  <c r="AO257" i="4"/>
  <c r="AO250" i="4"/>
  <c r="AO258" i="4"/>
  <c r="AO259" i="4"/>
  <c r="AO260" i="4"/>
  <c r="AO252" i="4"/>
  <c r="AO261" i="4"/>
  <c r="AO262" i="4"/>
  <c r="AO263" i="4"/>
  <c r="AO264" i="4"/>
  <c r="AO265" i="4"/>
  <c r="AO266" i="4"/>
  <c r="AO267" i="4"/>
  <c r="AO268" i="4"/>
  <c r="AO269" i="4"/>
  <c r="AO270" i="4"/>
  <c r="AO271" i="4"/>
  <c r="AO272" i="4"/>
  <c r="AO273" i="4"/>
  <c r="AO274" i="4"/>
  <c r="AO275" i="4"/>
  <c r="AO276" i="4"/>
  <c r="AO277" i="4"/>
  <c r="AO278" i="4"/>
  <c r="AO279" i="4"/>
  <c r="AO280" i="4"/>
  <c r="AO281" i="4"/>
  <c r="AO282" i="4"/>
  <c r="AO283" i="4"/>
  <c r="AO284" i="4"/>
  <c r="AO285" i="4"/>
  <c r="AO286" i="4"/>
  <c r="AO287" i="4"/>
  <c r="AO288" i="4"/>
  <c r="AO289" i="4"/>
  <c r="AO291" i="4"/>
  <c r="AO290" i="4"/>
  <c r="AO292" i="4"/>
  <c r="AO293" i="4"/>
  <c r="AO294" i="4"/>
  <c r="AO295" i="4"/>
  <c r="AO296" i="4"/>
  <c r="AO297" i="4"/>
  <c r="AO298" i="4"/>
  <c r="AO299" i="4"/>
  <c r="AO300" i="4"/>
  <c r="AO301" i="4"/>
  <c r="AO302" i="4"/>
  <c r="AO303" i="4"/>
  <c r="AO304" i="4"/>
  <c r="AO305" i="4"/>
  <c r="AO306" i="4"/>
  <c r="AO307" i="4"/>
  <c r="AO308" i="4"/>
  <c r="AO309" i="4"/>
  <c r="AO310" i="4"/>
  <c r="AO311" i="4"/>
  <c r="AO312" i="4"/>
  <c r="AO313" i="4"/>
  <c r="AO314" i="4"/>
  <c r="AO315" i="4"/>
  <c r="AO316" i="4"/>
  <c r="AO317" i="4"/>
  <c r="AO318" i="4"/>
  <c r="AO319" i="4"/>
  <c r="AO320" i="4"/>
  <c r="AO321" i="4"/>
  <c r="AO322" i="4"/>
  <c r="AO323" i="4"/>
  <c r="AO324" i="4"/>
  <c r="AO325" i="4"/>
  <c r="AO326" i="4"/>
  <c r="AO327" i="4"/>
  <c r="AO328" i="4"/>
  <c r="AO329" i="4"/>
  <c r="AO330" i="4"/>
  <c r="AO331" i="4"/>
  <c r="AO332" i="4"/>
  <c r="AO333" i="4"/>
  <c r="AO334" i="4"/>
  <c r="AO335" i="4"/>
  <c r="AO336" i="4"/>
  <c r="AO337" i="4"/>
  <c r="AO338" i="4"/>
  <c r="AO339" i="4"/>
  <c r="AO340" i="4"/>
  <c r="AO341" i="4"/>
  <c r="AO342" i="4"/>
  <c r="AO343" i="4"/>
  <c r="AO344" i="4"/>
  <c r="AO345" i="4"/>
  <c r="AO346" i="4"/>
  <c r="AO347" i="4"/>
  <c r="AO348" i="4"/>
  <c r="AO349" i="4"/>
  <c r="AO350" i="4"/>
  <c r="AO351" i="4"/>
  <c r="AO352" i="4"/>
  <c r="AO353" i="4"/>
  <c r="AO354" i="4"/>
  <c r="AO355" i="4"/>
  <c r="AO356" i="4"/>
  <c r="AO357" i="4"/>
  <c r="AO358" i="4"/>
  <c r="AO359" i="4"/>
  <c r="AO360" i="4"/>
  <c r="AO388" i="4"/>
  <c r="AO389" i="4"/>
  <c r="AO397" i="4"/>
  <c r="AO390" i="4"/>
  <c r="AO430" i="4"/>
  <c r="AO391" i="4"/>
  <c r="AO392" i="4"/>
  <c r="AO393" i="4"/>
  <c r="AO394" i="4"/>
  <c r="AO395" i="4"/>
  <c r="AO396" i="4"/>
  <c r="AO398" i="4"/>
  <c r="AO399" i="4"/>
  <c r="AO400" i="4"/>
  <c r="AO401" i="4"/>
  <c r="AO402" i="4"/>
  <c r="AO403" i="4"/>
  <c r="AO404" i="4"/>
  <c r="AO405" i="4"/>
  <c r="AO406" i="4"/>
  <c r="AO407" i="4"/>
  <c r="AO408" i="4"/>
  <c r="AO409" i="4"/>
  <c r="AO410" i="4"/>
  <c r="AO411" i="4"/>
  <c r="AO412" i="4"/>
  <c r="AO413" i="4"/>
  <c r="AO414" i="4"/>
  <c r="AO415" i="4"/>
  <c r="AO416" i="4"/>
  <c r="AO417" i="4"/>
  <c r="AO419" i="4"/>
  <c r="AO420" i="4"/>
  <c r="AO421" i="4"/>
  <c r="AO422" i="4"/>
  <c r="AO423" i="4"/>
  <c r="AO424" i="4"/>
  <c r="AO425" i="4"/>
  <c r="AO426" i="4"/>
  <c r="AO427" i="4"/>
  <c r="AO428" i="4"/>
  <c r="AO429" i="4"/>
  <c r="AO431" i="4"/>
  <c r="AO432" i="4"/>
  <c r="AO433" i="4"/>
  <c r="AO434" i="4"/>
  <c r="AO418" i="4"/>
  <c r="AO361" i="4"/>
  <c r="AO362" i="4"/>
  <c r="AO363" i="4"/>
  <c r="AO364" i="4"/>
  <c r="AO365" i="4"/>
  <c r="AO366" i="4"/>
  <c r="AO367" i="4"/>
  <c r="AO368" i="4"/>
  <c r="AO369" i="4"/>
  <c r="AO370" i="4"/>
  <c r="AO371" i="4"/>
  <c r="AO372" i="4"/>
  <c r="AO373" i="4"/>
  <c r="AO374" i="4"/>
  <c r="AO376" i="4"/>
  <c r="AO378" i="4"/>
  <c r="AO379" i="4"/>
  <c r="AO375" i="4"/>
  <c r="AO377" i="4"/>
  <c r="AO380" i="4"/>
  <c r="AO381" i="4"/>
  <c r="AO382" i="4"/>
  <c r="AO383" i="4"/>
  <c r="AO384" i="4"/>
  <c r="AO385" i="4"/>
  <c r="AO386" i="4"/>
  <c r="AO387" i="4"/>
  <c r="AO435" i="4"/>
  <c r="AO436" i="4"/>
  <c r="AO437" i="4"/>
  <c r="AO438" i="4"/>
  <c r="AO439" i="4"/>
  <c r="AO440" i="4"/>
  <c r="AO441" i="4"/>
  <c r="AO442" i="4"/>
  <c r="AO443" i="4"/>
  <c r="AO444" i="4"/>
  <c r="AO446" i="4"/>
  <c r="AO445" i="4"/>
  <c r="AO447" i="4"/>
  <c r="AO449" i="4"/>
  <c r="AO451" i="4"/>
  <c r="AO452" i="4"/>
  <c r="AO453" i="4"/>
  <c r="AO454" i="4"/>
  <c r="AO448" i="4"/>
  <c r="AO455" i="4"/>
  <c r="AO456" i="4"/>
  <c r="AO457" i="4"/>
  <c r="AO450" i="4"/>
  <c r="AO458" i="4"/>
  <c r="AO459" i="4"/>
  <c r="AO460" i="4"/>
  <c r="AO461" i="4"/>
  <c r="AO462" i="4"/>
  <c r="AO463" i="4"/>
  <c r="AO464" i="4"/>
  <c r="AO465" i="4"/>
  <c r="AO466" i="4"/>
  <c r="AO467" i="4"/>
  <c r="AO468" i="4"/>
  <c r="AO470" i="4"/>
  <c r="AO471" i="4"/>
  <c r="AO472" i="4"/>
  <c r="AO469" i="4"/>
  <c r="AO473" i="4"/>
  <c r="AO474" i="4"/>
  <c r="AO475" i="4"/>
  <c r="AO476" i="4"/>
  <c r="AO478" i="4"/>
  <c r="AO479" i="4"/>
  <c r="AO481" i="4"/>
  <c r="AO482" i="4"/>
  <c r="AO484" i="4"/>
  <c r="AO485" i="4"/>
  <c r="AO477" i="4"/>
  <c r="AO486" i="4"/>
  <c r="AO487" i="4"/>
  <c r="AO480" i="4"/>
  <c r="AO488" i="4"/>
  <c r="AO483" i="4"/>
  <c r="AO489" i="4"/>
  <c r="AO490" i="4"/>
  <c r="AO491" i="4"/>
  <c r="AO492" i="4"/>
  <c r="AO493" i="4"/>
  <c r="AO494" i="4"/>
  <c r="AO495" i="4"/>
  <c r="AO496" i="4"/>
  <c r="AO497" i="4"/>
  <c r="AO498" i="4"/>
  <c r="AO499" i="4"/>
  <c r="AO500" i="4"/>
  <c r="AO501" i="4"/>
  <c r="AO502" i="4"/>
  <c r="AO503" i="4"/>
  <c r="AO504" i="4"/>
  <c r="AO505" i="4"/>
  <c r="AO506" i="4"/>
  <c r="AO507" i="4"/>
  <c r="AO508" i="4"/>
  <c r="AO509" i="4"/>
  <c r="AO510" i="4"/>
  <c r="AO511" i="4"/>
  <c r="AO512" i="4"/>
  <c r="AO513" i="4"/>
  <c r="AO514" i="4"/>
  <c r="AO515" i="4"/>
  <c r="AO516" i="4"/>
  <c r="AO517" i="4"/>
  <c r="AO518" i="4"/>
  <c r="AO519" i="4"/>
  <c r="AO520" i="4"/>
  <c r="AO521" i="4"/>
  <c r="AO522" i="4"/>
  <c r="AO523" i="4"/>
  <c r="AO524" i="4"/>
  <c r="AO525" i="4"/>
  <c r="AO526" i="4"/>
  <c r="AO527" i="4"/>
  <c r="AO528" i="4"/>
  <c r="AO529" i="4"/>
  <c r="AO530" i="4"/>
  <c r="AO531" i="4"/>
  <c r="AO532" i="4"/>
  <c r="AO533" i="4"/>
  <c r="AO534" i="4"/>
  <c r="AO535" i="4"/>
  <c r="AO536" i="4"/>
  <c r="AO537" i="4"/>
  <c r="AO538" i="4"/>
  <c r="AO539" i="4"/>
  <c r="AO540" i="4"/>
  <c r="AO541" i="4"/>
  <c r="AO542" i="4"/>
  <c r="AO544" i="4"/>
  <c r="AO545" i="4"/>
  <c r="AO546" i="4"/>
  <c r="AO547" i="4"/>
  <c r="AO543" i="4"/>
  <c r="AO548" i="4"/>
  <c r="AO549" i="4"/>
  <c r="AO550" i="4"/>
  <c r="AO551" i="4"/>
  <c r="AO552" i="4"/>
  <c r="AO553" i="4"/>
  <c r="AO554" i="4"/>
  <c r="AO555" i="4"/>
  <c r="AO556" i="4"/>
  <c r="AO557" i="4"/>
  <c r="AO558" i="4"/>
  <c r="AO559" i="4"/>
  <c r="AO560" i="4"/>
  <c r="AO561" i="4"/>
  <c r="AO562" i="4"/>
  <c r="AO563" i="4"/>
  <c r="AO564" i="4"/>
  <c r="AO566" i="4"/>
  <c r="AO567" i="4"/>
  <c r="AO568" i="4"/>
  <c r="AO569" i="4"/>
  <c r="AO570" i="4"/>
  <c r="AO571" i="4"/>
  <c r="AO572" i="4"/>
  <c r="AO573" i="4"/>
  <c r="AO574" i="4"/>
  <c r="AO575" i="4"/>
  <c r="AO576" i="4"/>
  <c r="AO577" i="4"/>
  <c r="AO578" i="4"/>
  <c r="AO579" i="4"/>
  <c r="AO580" i="4"/>
  <c r="AO583" i="4"/>
  <c r="AO584" i="4"/>
  <c r="AO585" i="4"/>
  <c r="AO586" i="4"/>
  <c r="AO587" i="4"/>
  <c r="AO588" i="4"/>
  <c r="AO589" i="4"/>
  <c r="AO591" i="4"/>
  <c r="AO592" i="4"/>
  <c r="AO565" i="4"/>
  <c r="AO593" i="4"/>
  <c r="AO594" i="4"/>
  <c r="AO595" i="4"/>
  <c r="AO597" i="4"/>
  <c r="AO598" i="4"/>
  <c r="AO599" i="4"/>
  <c r="AO600" i="4"/>
  <c r="AO601" i="4"/>
  <c r="AO602" i="4"/>
  <c r="AO581" i="4"/>
  <c r="AO582" i="4"/>
  <c r="AO603" i="4"/>
  <c r="AO604" i="4"/>
  <c r="AO605" i="4"/>
  <c r="AO606" i="4"/>
  <c r="AO607" i="4"/>
  <c r="AO608" i="4"/>
  <c r="AO609" i="4"/>
  <c r="AO610" i="4"/>
  <c r="AO611" i="4"/>
  <c r="AO612" i="4"/>
  <c r="AO596" i="4"/>
  <c r="AO613" i="4"/>
  <c r="AO614" i="4"/>
  <c r="AO615" i="4"/>
  <c r="AO616" i="4"/>
  <c r="AO617" i="4"/>
  <c r="AO618" i="4"/>
  <c r="AO620" i="4"/>
  <c r="AO621" i="4"/>
  <c r="AO619" i="4"/>
  <c r="AO622" i="4"/>
  <c r="AO623" i="4"/>
  <c r="AO624" i="4"/>
  <c r="AO625" i="4"/>
  <c r="AO626" i="4"/>
  <c r="AO627" i="4"/>
  <c r="AO628" i="4"/>
  <c r="AO629" i="4"/>
  <c r="AO630" i="4"/>
  <c r="AO631" i="4"/>
  <c r="AO632" i="4"/>
  <c r="AO633" i="4"/>
  <c r="AO634" i="4"/>
  <c r="AO635" i="4"/>
  <c r="AO636" i="4"/>
  <c r="AO637" i="4"/>
  <c r="AO638" i="4"/>
  <c r="AO639" i="4"/>
  <c r="AO640" i="4"/>
  <c r="AO641" i="4"/>
  <c r="AO642" i="4"/>
  <c r="AO643" i="4"/>
  <c r="AO644" i="4"/>
  <c r="AO645" i="4"/>
  <c r="AO646" i="4"/>
  <c r="AO648" i="4"/>
  <c r="AO649" i="4"/>
  <c r="AO650" i="4"/>
  <c r="AO651" i="4"/>
  <c r="AO653" i="4"/>
  <c r="AO654" i="4"/>
  <c r="AO655" i="4"/>
  <c r="AO647" i="4"/>
  <c r="AO656" i="4"/>
  <c r="AO657" i="4"/>
  <c r="AO659" i="4"/>
  <c r="AO652" i="4"/>
  <c r="AO658" i="4"/>
  <c r="AO660" i="4"/>
  <c r="AO661" i="4"/>
  <c r="AO662" i="4"/>
  <c r="AO663" i="4"/>
  <c r="AO664" i="4"/>
  <c r="AO665" i="4"/>
  <c r="AO666" i="4"/>
  <c r="AO667" i="4"/>
  <c r="AO668" i="4"/>
  <c r="AO669" i="4"/>
  <c r="AO670" i="4"/>
  <c r="AO671" i="4"/>
  <c r="AO672" i="4"/>
  <c r="AO674" i="4"/>
  <c r="AO675" i="4"/>
  <c r="AO676" i="4"/>
  <c r="AO677" i="4"/>
  <c r="AO678" i="4"/>
  <c r="AO679" i="4"/>
  <c r="AO680" i="4"/>
  <c r="AO681" i="4"/>
  <c r="AO673" i="4"/>
  <c r="AO102" i="4"/>
  <c r="AO103" i="4"/>
  <c r="AO104" i="4"/>
  <c r="AO96" i="4"/>
  <c r="AO97" i="4"/>
  <c r="AO98" i="4"/>
  <c r="AO105" i="4"/>
  <c r="AO122" i="4"/>
  <c r="AO117" i="4"/>
  <c r="AO106" i="4"/>
  <c r="AO107" i="4"/>
  <c r="AO118" i="4"/>
  <c r="AO119" i="4"/>
  <c r="AO114" i="4"/>
  <c r="AO99" i="4"/>
  <c r="AO123" i="4"/>
  <c r="AO100" i="4"/>
  <c r="AO108" i="4"/>
  <c r="AO109" i="4"/>
  <c r="AO110" i="4"/>
  <c r="AO111" i="4"/>
  <c r="AO121" i="4"/>
  <c r="AO101" i="4"/>
  <c r="AO112" i="4"/>
  <c r="AO113" i="4"/>
  <c r="AO120" i="4"/>
  <c r="AO115" i="4"/>
  <c r="AO116" i="4"/>
  <c r="AL52" i="4"/>
  <c r="AL53" i="4"/>
  <c r="AL54" i="4"/>
  <c r="AL55" i="4"/>
  <c r="AL56" i="4"/>
  <c r="AL57" i="4"/>
  <c r="AL59" i="4"/>
  <c r="AL60" i="4"/>
  <c r="AL61" i="4"/>
  <c r="AL58" i="4"/>
  <c r="AL62" i="4"/>
  <c r="AL63" i="4"/>
  <c r="AL64" i="4"/>
  <c r="AL65" i="4"/>
  <c r="AL67" i="4"/>
  <c r="AL68" i="4"/>
  <c r="AL69" i="4"/>
  <c r="AL70" i="4"/>
  <c r="AL66" i="4"/>
  <c r="AL71" i="4"/>
  <c r="AL72" i="4"/>
  <c r="AL73" i="4"/>
  <c r="AL74" i="4"/>
  <c r="AL75" i="4"/>
  <c r="AL76" i="4"/>
  <c r="AL77" i="4"/>
  <c r="AL78" i="4"/>
  <c r="AL79" i="4"/>
  <c r="AL80" i="4"/>
  <c r="AL81" i="4"/>
  <c r="AL83" i="4"/>
  <c r="AL82" i="4"/>
  <c r="AL84" i="4"/>
  <c r="AL85" i="4"/>
  <c r="AL86" i="4"/>
  <c r="AL87" i="4"/>
  <c r="AL88" i="4"/>
  <c r="AL89" i="4"/>
  <c r="AL90" i="4"/>
  <c r="AL91" i="4"/>
  <c r="AL92" i="4"/>
  <c r="AL93" i="4"/>
  <c r="AL94" i="4"/>
  <c r="AL95" i="4"/>
  <c r="AL124" i="4"/>
  <c r="AL125" i="4"/>
  <c r="AL126" i="4"/>
  <c r="AL127" i="4"/>
  <c r="AL128" i="4"/>
  <c r="AL129" i="4"/>
  <c r="AL130" i="4"/>
  <c r="AL131" i="4"/>
  <c r="AL132" i="4"/>
  <c r="AL133" i="4"/>
  <c r="AL134" i="4"/>
  <c r="AL135" i="4"/>
  <c r="AL137" i="4"/>
  <c r="AL138" i="4"/>
  <c r="AL139" i="4"/>
  <c r="AL140" i="4"/>
  <c r="AL136" i="4"/>
  <c r="AL142" i="4"/>
  <c r="AL143" i="4"/>
  <c r="AL144" i="4"/>
  <c r="AL146" i="4"/>
  <c r="AL147" i="4"/>
  <c r="AL149" i="4"/>
  <c r="AL150" i="4"/>
  <c r="AL151" i="4"/>
  <c r="AL153" i="4"/>
  <c r="AL145" i="4"/>
  <c r="AL154" i="4"/>
  <c r="AL148" i="4"/>
  <c r="AL152" i="4"/>
  <c r="AL155" i="4"/>
  <c r="AL156" i="4"/>
  <c r="AL141" i="4"/>
  <c r="AL157" i="4"/>
  <c r="AL158" i="4"/>
  <c r="AL159" i="4"/>
  <c r="AL160" i="4"/>
  <c r="AL161" i="4"/>
  <c r="AL162" i="4"/>
  <c r="AL163" i="4"/>
  <c r="AL164" i="4"/>
  <c r="AL165" i="4"/>
  <c r="AL166" i="4"/>
  <c r="AL167" i="4"/>
  <c r="AL168" i="4"/>
  <c r="AL169" i="4"/>
  <c r="AL170" i="4"/>
  <c r="AL171" i="4"/>
  <c r="AL172" i="4"/>
  <c r="AL173" i="4"/>
  <c r="AL174" i="4"/>
  <c r="AL175" i="4"/>
  <c r="AL176" i="4"/>
  <c r="AL177" i="4"/>
  <c r="AL178" i="4"/>
  <c r="AL179" i="4"/>
  <c r="AL180" i="4"/>
  <c r="AL181" i="4"/>
  <c r="AL182" i="4"/>
  <c r="AL183" i="4"/>
  <c r="AL184" i="4"/>
  <c r="AL185" i="4"/>
  <c r="AL186" i="4"/>
  <c r="AL187" i="4"/>
  <c r="AL188" i="4"/>
  <c r="AL189" i="4"/>
  <c r="AL190" i="4"/>
  <c r="AL191" i="4"/>
  <c r="AL192" i="4"/>
  <c r="AL193" i="4"/>
  <c r="AL194" i="4"/>
  <c r="AL196" i="4"/>
  <c r="AL197" i="4"/>
  <c r="AL198" i="4"/>
  <c r="AL199" i="4"/>
  <c r="AL200" i="4"/>
  <c r="AL201" i="4"/>
  <c r="AL202" i="4"/>
  <c r="AL203" i="4"/>
  <c r="AL195" i="4"/>
  <c r="AL204" i="4"/>
  <c r="AL205" i="4"/>
  <c r="AL206" i="4"/>
  <c r="AL207" i="4"/>
  <c r="AL208" i="4"/>
  <c r="AL209" i="4"/>
  <c r="AL210" i="4"/>
  <c r="AL211" i="4"/>
  <c r="AL212" i="4"/>
  <c r="AL213" i="4"/>
  <c r="AL214" i="4"/>
  <c r="AL215" i="4"/>
  <c r="AL216" i="4"/>
  <c r="AL217" i="4"/>
  <c r="AL218" i="4"/>
  <c r="AL219" i="4"/>
  <c r="AL220" i="4"/>
  <c r="AL221" i="4"/>
  <c r="AL222" i="4"/>
  <c r="AL223" i="4"/>
  <c r="AL224" i="4"/>
  <c r="AL225" i="4"/>
  <c r="AL226" i="4"/>
  <c r="AL227" i="4"/>
  <c r="AL228" i="4"/>
  <c r="AL229" i="4"/>
  <c r="AL230" i="4"/>
  <c r="AL231" i="4"/>
  <c r="AL233" i="4"/>
  <c r="AL234" i="4"/>
  <c r="AL235" i="4"/>
  <c r="AL236" i="4"/>
  <c r="AL237" i="4"/>
  <c r="AL232" i="4"/>
  <c r="AL238" i="4"/>
  <c r="AL240" i="4"/>
  <c r="AL239" i="4"/>
  <c r="AL241" i="4"/>
  <c r="AL242" i="4"/>
  <c r="AL243" i="4"/>
  <c r="AL244" i="4"/>
  <c r="AL245" i="4"/>
  <c r="AL246" i="4"/>
  <c r="AL247" i="4"/>
  <c r="AL248" i="4"/>
  <c r="AL249" i="4"/>
  <c r="AL251" i="4"/>
  <c r="AL253" i="4"/>
  <c r="AL254" i="4"/>
  <c r="AL255" i="4"/>
  <c r="AL256" i="4"/>
  <c r="AL257" i="4"/>
  <c r="AL250" i="4"/>
  <c r="AL258" i="4"/>
  <c r="AL259" i="4"/>
  <c r="AL260" i="4"/>
  <c r="AL252" i="4"/>
  <c r="AL261" i="4"/>
  <c r="AL262" i="4"/>
  <c r="AL263" i="4"/>
  <c r="AL264" i="4"/>
  <c r="AL265" i="4"/>
  <c r="AL266" i="4"/>
  <c r="AL267" i="4"/>
  <c r="AL268" i="4"/>
  <c r="AL269" i="4"/>
  <c r="AL270" i="4"/>
  <c r="AL271" i="4"/>
  <c r="AL272" i="4"/>
  <c r="AL273" i="4"/>
  <c r="AL274" i="4"/>
  <c r="AL275" i="4"/>
  <c r="AL276" i="4"/>
  <c r="AL277" i="4"/>
  <c r="AL278" i="4"/>
  <c r="AL279" i="4"/>
  <c r="AL280" i="4"/>
  <c r="AL281" i="4"/>
  <c r="AL282" i="4"/>
  <c r="AL283" i="4"/>
  <c r="AL284" i="4"/>
  <c r="AL285" i="4"/>
  <c r="AL286" i="4"/>
  <c r="AL287" i="4"/>
  <c r="AL288" i="4"/>
  <c r="AL289" i="4"/>
  <c r="AL291" i="4"/>
  <c r="AL290" i="4"/>
  <c r="AL292" i="4"/>
  <c r="AL293" i="4"/>
  <c r="AL294" i="4"/>
  <c r="AL295" i="4"/>
  <c r="AL296" i="4"/>
  <c r="AL297" i="4"/>
  <c r="AL298" i="4"/>
  <c r="AL299" i="4"/>
  <c r="AL300" i="4"/>
  <c r="AL301" i="4"/>
  <c r="AL302" i="4"/>
  <c r="AL303" i="4"/>
  <c r="AL304" i="4"/>
  <c r="AL305" i="4"/>
  <c r="AL306" i="4"/>
  <c r="AL307" i="4"/>
  <c r="AL308" i="4"/>
  <c r="AL309" i="4"/>
  <c r="AL310" i="4"/>
  <c r="AL311" i="4"/>
  <c r="AL312" i="4"/>
  <c r="AL313" i="4"/>
  <c r="AL314" i="4"/>
  <c r="AL315" i="4"/>
  <c r="AL316" i="4"/>
  <c r="AL317" i="4"/>
  <c r="AL318" i="4"/>
  <c r="AL319" i="4"/>
  <c r="AL320" i="4"/>
  <c r="AL321" i="4"/>
  <c r="AL322" i="4"/>
  <c r="AL323" i="4"/>
  <c r="AL324" i="4"/>
  <c r="AL325" i="4"/>
  <c r="AL326" i="4"/>
  <c r="AL327" i="4"/>
  <c r="AL328" i="4"/>
  <c r="AL329" i="4"/>
  <c r="AL330" i="4"/>
  <c r="AL331" i="4"/>
  <c r="AL332" i="4"/>
  <c r="AL333" i="4"/>
  <c r="AL334" i="4"/>
  <c r="AL335" i="4"/>
  <c r="AL336" i="4"/>
  <c r="AL337" i="4"/>
  <c r="AL338" i="4"/>
  <c r="AL339" i="4"/>
  <c r="AL340" i="4"/>
  <c r="AL341" i="4"/>
  <c r="AL342" i="4"/>
  <c r="AL343" i="4"/>
  <c r="AL344" i="4"/>
  <c r="AL345" i="4"/>
  <c r="AL346" i="4"/>
  <c r="AL347" i="4"/>
  <c r="AL348" i="4"/>
  <c r="AL349" i="4"/>
  <c r="AL350" i="4"/>
  <c r="AL351" i="4"/>
  <c r="AL352" i="4"/>
  <c r="AL353" i="4"/>
  <c r="AL354" i="4"/>
  <c r="AL355" i="4"/>
  <c r="AL356" i="4"/>
  <c r="AL357" i="4"/>
  <c r="AL358" i="4"/>
  <c r="AL359" i="4"/>
  <c r="AL360" i="4"/>
  <c r="AL388" i="4"/>
  <c r="AL389" i="4"/>
  <c r="AL397" i="4"/>
  <c r="AL390" i="4"/>
  <c r="AL430" i="4"/>
  <c r="AL391" i="4"/>
  <c r="AL392" i="4"/>
  <c r="AL393" i="4"/>
  <c r="AL394" i="4"/>
  <c r="AL395" i="4"/>
  <c r="AL396" i="4"/>
  <c r="AL398" i="4"/>
  <c r="AL399" i="4"/>
  <c r="AL400" i="4"/>
  <c r="AL401" i="4"/>
  <c r="AL402" i="4"/>
  <c r="AL403" i="4"/>
  <c r="AL404" i="4"/>
  <c r="AL405" i="4"/>
  <c r="AL406" i="4"/>
  <c r="AL407" i="4"/>
  <c r="AL408" i="4"/>
  <c r="AL409" i="4"/>
  <c r="AL410" i="4"/>
  <c r="AL411" i="4"/>
  <c r="AL412" i="4"/>
  <c r="AL413" i="4"/>
  <c r="AL414" i="4"/>
  <c r="AL415" i="4"/>
  <c r="AL416" i="4"/>
  <c r="AL417" i="4"/>
  <c r="AL419" i="4"/>
  <c r="AL420" i="4"/>
  <c r="AL421" i="4"/>
  <c r="AL422" i="4"/>
  <c r="AL423" i="4"/>
  <c r="AL424" i="4"/>
  <c r="AL425" i="4"/>
  <c r="AL426" i="4"/>
  <c r="AL427" i="4"/>
  <c r="AL428" i="4"/>
  <c r="AL429" i="4"/>
  <c r="AL431" i="4"/>
  <c r="AL432" i="4"/>
  <c r="AL433" i="4"/>
  <c r="AL434" i="4"/>
  <c r="AL418" i="4"/>
  <c r="AL361" i="4"/>
  <c r="AL362" i="4"/>
  <c r="AL363" i="4"/>
  <c r="AL364" i="4"/>
  <c r="AL365" i="4"/>
  <c r="AL366" i="4"/>
  <c r="AL367" i="4"/>
  <c r="AL368" i="4"/>
  <c r="AL369" i="4"/>
  <c r="AL370" i="4"/>
  <c r="AL371" i="4"/>
  <c r="AL372" i="4"/>
  <c r="AL373" i="4"/>
  <c r="AL374" i="4"/>
  <c r="AL376" i="4"/>
  <c r="AL378" i="4"/>
  <c r="AL379" i="4"/>
  <c r="AL375" i="4"/>
  <c r="AL377" i="4"/>
  <c r="AL380" i="4"/>
  <c r="AL381" i="4"/>
  <c r="AL382" i="4"/>
  <c r="AL383" i="4"/>
  <c r="AL384" i="4"/>
  <c r="AL385" i="4"/>
  <c r="AL386" i="4"/>
  <c r="AL387" i="4"/>
  <c r="AL435" i="4"/>
  <c r="AL436" i="4"/>
  <c r="AL437" i="4"/>
  <c r="AL438" i="4"/>
  <c r="AL439" i="4"/>
  <c r="AL440" i="4"/>
  <c r="AL441" i="4"/>
  <c r="AL442" i="4"/>
  <c r="AL443" i="4"/>
  <c r="AL444" i="4"/>
  <c r="AL446" i="4"/>
  <c r="AL445" i="4"/>
  <c r="AL447" i="4"/>
  <c r="AL449" i="4"/>
  <c r="AL451" i="4"/>
  <c r="AL452" i="4"/>
  <c r="AL453" i="4"/>
  <c r="AL454" i="4"/>
  <c r="AL448" i="4"/>
  <c r="AL455" i="4"/>
  <c r="AL456" i="4"/>
  <c r="AL457" i="4"/>
  <c r="AL450" i="4"/>
  <c r="AL458" i="4"/>
  <c r="AL459" i="4"/>
  <c r="AL460" i="4"/>
  <c r="AL461" i="4"/>
  <c r="AL462" i="4"/>
  <c r="AL463" i="4"/>
  <c r="AL464" i="4"/>
  <c r="AL465" i="4"/>
  <c r="AL466" i="4"/>
  <c r="AL467" i="4"/>
  <c r="AL468" i="4"/>
  <c r="AL470" i="4"/>
  <c r="AL471" i="4"/>
  <c r="AL472" i="4"/>
  <c r="AL469" i="4"/>
  <c r="AL473" i="4"/>
  <c r="AL474" i="4"/>
  <c r="AL475" i="4"/>
  <c r="AL476" i="4"/>
  <c r="AL478" i="4"/>
  <c r="AL479" i="4"/>
  <c r="AL481" i="4"/>
  <c r="AL482" i="4"/>
  <c r="AL484" i="4"/>
  <c r="AL485" i="4"/>
  <c r="AL477" i="4"/>
  <c r="AL486" i="4"/>
  <c r="AL487" i="4"/>
  <c r="AL480" i="4"/>
  <c r="AL488" i="4"/>
  <c r="AL483" i="4"/>
  <c r="AL489" i="4"/>
  <c r="AL490" i="4"/>
  <c r="AL491" i="4"/>
  <c r="AL492" i="4"/>
  <c r="AL493" i="4"/>
  <c r="AL494" i="4"/>
  <c r="AL495" i="4"/>
  <c r="AL496" i="4"/>
  <c r="AL497" i="4"/>
  <c r="AL498" i="4"/>
  <c r="AL499" i="4"/>
  <c r="AL500" i="4"/>
  <c r="AL501" i="4"/>
  <c r="AL502" i="4"/>
  <c r="AL503" i="4"/>
  <c r="AL504" i="4"/>
  <c r="AL505" i="4"/>
  <c r="AL506" i="4"/>
  <c r="AL507" i="4"/>
  <c r="AL508" i="4"/>
  <c r="AL509" i="4"/>
  <c r="AL510" i="4"/>
  <c r="AL511" i="4"/>
  <c r="AL512" i="4"/>
  <c r="AL513" i="4"/>
  <c r="AL514" i="4"/>
  <c r="AL515" i="4"/>
  <c r="AL516" i="4"/>
  <c r="AL517" i="4"/>
  <c r="AL518" i="4"/>
  <c r="AL519" i="4"/>
  <c r="AL520" i="4"/>
  <c r="AL521" i="4"/>
  <c r="AL522" i="4"/>
  <c r="AL523" i="4"/>
  <c r="AL524" i="4"/>
  <c r="AL525" i="4"/>
  <c r="AL526" i="4"/>
  <c r="AL527" i="4"/>
  <c r="AL528" i="4"/>
  <c r="AL529" i="4"/>
  <c r="AL530" i="4"/>
  <c r="AL531" i="4"/>
  <c r="AL532" i="4"/>
  <c r="AL533" i="4"/>
  <c r="AL534" i="4"/>
  <c r="AL535" i="4"/>
  <c r="AL536" i="4"/>
  <c r="AL537" i="4"/>
  <c r="AL538" i="4"/>
  <c r="AL539" i="4"/>
  <c r="AL540" i="4"/>
  <c r="AL541" i="4"/>
  <c r="AL542" i="4"/>
  <c r="AL544" i="4"/>
  <c r="AL545" i="4"/>
  <c r="AL546" i="4"/>
  <c r="AL547" i="4"/>
  <c r="AL543" i="4"/>
  <c r="AL548" i="4"/>
  <c r="AL549" i="4"/>
  <c r="AL550" i="4"/>
  <c r="AL551" i="4"/>
  <c r="AL552" i="4"/>
  <c r="AL553" i="4"/>
  <c r="AL554" i="4"/>
  <c r="AL555" i="4"/>
  <c r="AL556" i="4"/>
  <c r="AL557" i="4"/>
  <c r="AL558" i="4"/>
  <c r="AL559" i="4"/>
  <c r="AL560" i="4"/>
  <c r="AL561" i="4"/>
  <c r="AL562" i="4"/>
  <c r="AL563" i="4"/>
  <c r="AL564" i="4"/>
  <c r="AL566" i="4"/>
  <c r="AL567" i="4"/>
  <c r="AL568" i="4"/>
  <c r="AL569" i="4"/>
  <c r="AL570" i="4"/>
  <c r="AL571" i="4"/>
  <c r="AL572" i="4"/>
  <c r="AL573" i="4"/>
  <c r="AL574" i="4"/>
  <c r="AL575" i="4"/>
  <c r="AL576" i="4"/>
  <c r="AL577" i="4"/>
  <c r="AL578" i="4"/>
  <c r="AL579" i="4"/>
  <c r="AL580" i="4"/>
  <c r="AL583" i="4"/>
  <c r="AL584" i="4"/>
  <c r="AL585" i="4"/>
  <c r="AL586" i="4"/>
  <c r="AL587" i="4"/>
  <c r="AL588" i="4"/>
  <c r="AL589" i="4"/>
  <c r="AL591" i="4"/>
  <c r="AL592" i="4"/>
  <c r="AL565" i="4"/>
  <c r="AL593" i="4"/>
  <c r="AL594" i="4"/>
  <c r="AL595" i="4"/>
  <c r="AL597" i="4"/>
  <c r="AL598" i="4"/>
  <c r="AL599" i="4"/>
  <c r="AL600" i="4"/>
  <c r="AL601" i="4"/>
  <c r="AL602" i="4"/>
  <c r="AL581" i="4"/>
  <c r="AL582" i="4"/>
  <c r="AL603" i="4"/>
  <c r="AL604" i="4"/>
  <c r="AL605" i="4"/>
  <c r="AL606" i="4"/>
  <c r="AL607" i="4"/>
  <c r="AL608" i="4"/>
  <c r="AL609" i="4"/>
  <c r="AL610" i="4"/>
  <c r="AL611" i="4"/>
  <c r="AL612" i="4"/>
  <c r="AL596" i="4"/>
  <c r="AL613" i="4"/>
  <c r="AL614" i="4"/>
  <c r="AL615" i="4"/>
  <c r="AL616" i="4"/>
  <c r="AL617" i="4"/>
  <c r="AL618" i="4"/>
  <c r="AL620" i="4"/>
  <c r="AL621" i="4"/>
  <c r="AL619" i="4"/>
  <c r="AL622" i="4"/>
  <c r="AL623" i="4"/>
  <c r="AL624" i="4"/>
  <c r="AL625" i="4"/>
  <c r="AL626" i="4"/>
  <c r="AL627" i="4"/>
  <c r="AL628" i="4"/>
  <c r="AL629" i="4"/>
  <c r="AL630" i="4"/>
  <c r="AL631" i="4"/>
  <c r="AL632" i="4"/>
  <c r="AL633" i="4"/>
  <c r="AL634" i="4"/>
  <c r="AL635" i="4"/>
  <c r="AL636" i="4"/>
  <c r="AL637" i="4"/>
  <c r="AL638" i="4"/>
  <c r="AL639" i="4"/>
  <c r="AL640" i="4"/>
  <c r="AL641" i="4"/>
  <c r="AL642" i="4"/>
  <c r="AL643" i="4"/>
  <c r="AL644" i="4"/>
  <c r="AL645" i="4"/>
  <c r="AL646" i="4"/>
  <c r="AL648" i="4"/>
  <c r="AL649" i="4"/>
  <c r="AL650" i="4"/>
  <c r="AL651" i="4"/>
  <c r="AL653" i="4"/>
  <c r="AL654" i="4"/>
  <c r="AL655" i="4"/>
  <c r="AL647" i="4"/>
  <c r="AL656" i="4"/>
  <c r="AL657" i="4"/>
  <c r="AL659" i="4"/>
  <c r="AL652" i="4"/>
  <c r="AL658" i="4"/>
  <c r="AL660" i="4"/>
  <c r="AL661" i="4"/>
  <c r="AL662" i="4"/>
  <c r="AL663" i="4"/>
  <c r="AL664" i="4"/>
  <c r="AL665" i="4"/>
  <c r="AL666" i="4"/>
  <c r="AL667" i="4"/>
  <c r="AL668" i="4"/>
  <c r="AL669" i="4"/>
  <c r="AL670" i="4"/>
  <c r="AL671" i="4"/>
  <c r="AL672" i="4"/>
  <c r="AL674" i="4"/>
  <c r="AL675" i="4"/>
  <c r="AL676" i="4"/>
  <c r="AL677" i="4"/>
  <c r="AL678" i="4"/>
  <c r="AL679" i="4"/>
  <c r="AL680" i="4"/>
  <c r="AL681" i="4"/>
  <c r="AL673" i="4"/>
  <c r="AL102" i="4"/>
  <c r="AL103" i="4"/>
  <c r="AL104" i="4"/>
  <c r="AL96" i="4"/>
  <c r="AL97" i="4"/>
  <c r="AL98" i="4"/>
  <c r="AL105" i="4"/>
  <c r="AL122" i="4"/>
  <c r="AL117" i="4"/>
  <c r="AL106" i="4"/>
  <c r="AL107" i="4"/>
  <c r="AL118" i="4"/>
  <c r="AL119" i="4"/>
  <c r="AL114" i="4"/>
  <c r="AL99" i="4"/>
  <c r="AL123" i="4"/>
  <c r="AL100" i="4"/>
  <c r="AL108" i="4"/>
  <c r="AL109" i="4"/>
  <c r="AL110" i="4"/>
  <c r="AL111" i="4"/>
  <c r="AL121" i="4"/>
  <c r="AL101" i="4"/>
  <c r="AL112" i="4"/>
  <c r="AL113" i="4"/>
  <c r="AL120" i="4"/>
  <c r="AL115" i="4"/>
  <c r="AL116" i="4"/>
  <c r="AI55" i="4"/>
  <c r="AI56" i="4"/>
  <c r="AI57" i="4"/>
  <c r="AI59" i="4"/>
  <c r="AI60" i="4"/>
  <c r="AI61" i="4"/>
  <c r="AI58" i="4"/>
  <c r="AI62" i="4"/>
  <c r="AI63" i="4"/>
  <c r="AI64" i="4"/>
  <c r="AI65" i="4"/>
  <c r="AI67" i="4"/>
  <c r="AI68" i="4"/>
  <c r="AI69" i="4"/>
  <c r="AI70" i="4"/>
  <c r="AI66" i="4"/>
  <c r="AI71" i="4"/>
  <c r="AI72" i="4"/>
  <c r="AI73" i="4"/>
  <c r="AI74" i="4"/>
  <c r="AI75" i="4"/>
  <c r="AI76" i="4"/>
  <c r="AI77" i="4"/>
  <c r="AI78" i="4"/>
  <c r="AI79" i="4"/>
  <c r="AI80" i="4"/>
  <c r="AI81" i="4"/>
  <c r="AI83" i="4"/>
  <c r="AI82" i="4"/>
  <c r="AI84" i="4"/>
  <c r="AI85" i="4"/>
  <c r="AI86" i="4"/>
  <c r="AI87" i="4"/>
  <c r="AI88" i="4"/>
  <c r="AI89" i="4"/>
  <c r="AI90" i="4"/>
  <c r="AI91" i="4"/>
  <c r="AI92" i="4"/>
  <c r="AI93" i="4"/>
  <c r="AI94" i="4"/>
  <c r="AI95" i="4"/>
  <c r="AI124" i="4"/>
  <c r="AI125" i="4"/>
  <c r="AI126" i="4"/>
  <c r="AI127" i="4"/>
  <c r="AI128" i="4"/>
  <c r="AI129" i="4"/>
  <c r="AI130" i="4"/>
  <c r="AI131" i="4"/>
  <c r="AI132" i="4"/>
  <c r="AI133" i="4"/>
  <c r="AI134" i="4"/>
  <c r="AI135" i="4"/>
  <c r="AI137" i="4"/>
  <c r="AI138" i="4"/>
  <c r="AI139" i="4"/>
  <c r="AI140" i="4"/>
  <c r="AI136" i="4"/>
  <c r="AI142" i="4"/>
  <c r="AI143" i="4"/>
  <c r="AI144" i="4"/>
  <c r="AI146" i="4"/>
  <c r="AI147" i="4"/>
  <c r="AI149" i="4"/>
  <c r="AI150" i="4"/>
  <c r="AI151" i="4"/>
  <c r="AI153" i="4"/>
  <c r="AI145" i="4"/>
  <c r="AI154" i="4"/>
  <c r="AI148" i="4"/>
  <c r="AI152" i="4"/>
  <c r="AI155" i="4"/>
  <c r="AI156" i="4"/>
  <c r="AI141" i="4"/>
  <c r="AI157" i="4"/>
  <c r="AI158" i="4"/>
  <c r="AI159" i="4"/>
  <c r="AI160" i="4"/>
  <c r="AI161" i="4"/>
  <c r="AI162" i="4"/>
  <c r="AI163" i="4"/>
  <c r="AI164" i="4"/>
  <c r="AI165" i="4"/>
  <c r="AI166" i="4"/>
  <c r="AI167" i="4"/>
  <c r="AI168" i="4"/>
  <c r="AI169" i="4"/>
  <c r="AI170" i="4"/>
  <c r="AI171" i="4"/>
  <c r="AI172" i="4"/>
  <c r="AI173" i="4"/>
  <c r="AI174" i="4"/>
  <c r="AI175" i="4"/>
  <c r="AI176" i="4"/>
  <c r="AI177" i="4"/>
  <c r="AI178" i="4"/>
  <c r="AI179" i="4"/>
  <c r="AI180" i="4"/>
  <c r="AI181" i="4"/>
  <c r="AI185" i="4"/>
  <c r="AI188" i="4"/>
  <c r="AI190" i="4"/>
  <c r="AI191" i="4"/>
  <c r="AI192" i="4"/>
  <c r="AI193" i="4"/>
  <c r="AI194" i="4"/>
  <c r="AI196" i="4"/>
  <c r="AI197" i="4"/>
  <c r="AI198" i="4"/>
  <c r="AI199" i="4"/>
  <c r="AI200" i="4"/>
  <c r="AI201" i="4"/>
  <c r="AI202" i="4"/>
  <c r="AI203" i="4"/>
  <c r="AI195" i="4"/>
  <c r="AI204" i="4"/>
  <c r="AI205" i="4"/>
  <c r="AI206" i="4"/>
  <c r="AI207" i="4"/>
  <c r="AI208" i="4"/>
  <c r="AI209" i="4"/>
  <c r="AI210" i="4"/>
  <c r="AI211" i="4"/>
  <c r="AI212" i="4"/>
  <c r="AI213" i="4"/>
  <c r="AI214" i="4"/>
  <c r="AI215" i="4"/>
  <c r="AI216" i="4"/>
  <c r="AI217" i="4"/>
  <c r="AI218" i="4"/>
  <c r="AI219" i="4"/>
  <c r="AI220" i="4"/>
  <c r="AI221" i="4"/>
  <c r="AI222" i="4"/>
  <c r="AI223" i="4"/>
  <c r="AI224" i="4"/>
  <c r="AI225" i="4"/>
  <c r="AI226" i="4"/>
  <c r="AI227" i="4"/>
  <c r="AI228" i="4"/>
  <c r="AI229" i="4"/>
  <c r="AI230" i="4"/>
  <c r="AI231" i="4"/>
  <c r="AI233" i="4"/>
  <c r="AI234" i="4"/>
  <c r="AI235" i="4"/>
  <c r="AI236" i="4"/>
  <c r="AI237" i="4"/>
  <c r="AI232" i="4"/>
  <c r="AI238" i="4"/>
  <c r="AI240" i="4"/>
  <c r="AI239" i="4"/>
  <c r="AI241" i="4"/>
  <c r="AI242" i="4"/>
  <c r="AI243" i="4"/>
  <c r="AI244" i="4"/>
  <c r="AI245" i="4"/>
  <c r="AI246" i="4"/>
  <c r="AI247" i="4"/>
  <c r="AI248" i="4"/>
  <c r="AI249" i="4"/>
  <c r="AI251" i="4"/>
  <c r="AI253" i="4"/>
  <c r="AI254" i="4"/>
  <c r="AI255" i="4"/>
  <c r="AI256" i="4"/>
  <c r="AI257" i="4"/>
  <c r="AI250" i="4"/>
  <c r="AI258" i="4"/>
  <c r="AI259" i="4"/>
  <c r="AI260" i="4"/>
  <c r="AI252" i="4"/>
  <c r="AI261" i="4"/>
  <c r="AI262" i="4"/>
  <c r="AI263" i="4"/>
  <c r="AI264" i="4"/>
  <c r="AI265" i="4"/>
  <c r="AI266" i="4"/>
  <c r="AI267" i="4"/>
  <c r="AI268" i="4"/>
  <c r="AI269" i="4"/>
  <c r="AI270" i="4"/>
  <c r="AI271" i="4"/>
  <c r="AI272" i="4"/>
  <c r="AI273" i="4"/>
  <c r="AI274" i="4"/>
  <c r="AI275" i="4"/>
  <c r="AI276" i="4"/>
  <c r="AI277" i="4"/>
  <c r="AI278" i="4"/>
  <c r="AI279" i="4"/>
  <c r="AI280" i="4"/>
  <c r="AI281" i="4"/>
  <c r="AI282" i="4"/>
  <c r="AI283" i="4"/>
  <c r="AI284" i="4"/>
  <c r="AI285" i="4"/>
  <c r="AI286" i="4"/>
  <c r="AI287" i="4"/>
  <c r="AI288" i="4"/>
  <c r="AI289" i="4"/>
  <c r="AI291" i="4"/>
  <c r="AI290" i="4"/>
  <c r="AI292" i="4"/>
  <c r="AI293" i="4"/>
  <c r="AI294" i="4"/>
  <c r="AI295" i="4"/>
  <c r="AI296" i="4"/>
  <c r="AI297" i="4"/>
  <c r="AI298" i="4"/>
  <c r="AI299" i="4"/>
  <c r="AI300" i="4"/>
  <c r="AI301" i="4"/>
  <c r="AI302" i="4"/>
  <c r="AI303" i="4"/>
  <c r="AI304" i="4"/>
  <c r="AI305" i="4"/>
  <c r="AI306" i="4"/>
  <c r="AI307" i="4"/>
  <c r="AI308" i="4"/>
  <c r="AI309" i="4"/>
  <c r="AI310" i="4"/>
  <c r="AI311" i="4"/>
  <c r="AI312" i="4"/>
  <c r="AI313" i="4"/>
  <c r="AI314" i="4"/>
  <c r="AI315" i="4"/>
  <c r="AI316" i="4"/>
  <c r="AI317" i="4"/>
  <c r="AI318" i="4"/>
  <c r="AI319" i="4"/>
  <c r="AI320" i="4"/>
  <c r="AI321" i="4"/>
  <c r="AI322" i="4"/>
  <c r="AI323" i="4"/>
  <c r="AI324" i="4"/>
  <c r="AI325" i="4"/>
  <c r="AI326" i="4"/>
  <c r="AI327" i="4"/>
  <c r="AI328" i="4"/>
  <c r="AI329" i="4"/>
  <c r="AI330" i="4"/>
  <c r="AI331" i="4"/>
  <c r="AI332" i="4"/>
  <c r="AI333" i="4"/>
  <c r="AI334" i="4"/>
  <c r="AI335" i="4"/>
  <c r="AI336" i="4"/>
  <c r="AI337" i="4"/>
  <c r="AI338" i="4"/>
  <c r="AI339" i="4"/>
  <c r="AI340" i="4"/>
  <c r="AI341" i="4"/>
  <c r="AI342" i="4"/>
  <c r="AI343" i="4"/>
  <c r="AI344" i="4"/>
  <c r="AI345" i="4"/>
  <c r="AI346" i="4"/>
  <c r="AI347" i="4"/>
  <c r="AI348" i="4"/>
  <c r="AI349" i="4"/>
  <c r="AI350" i="4"/>
  <c r="AI351" i="4"/>
  <c r="AI352" i="4"/>
  <c r="AI353" i="4"/>
  <c r="AI354" i="4"/>
  <c r="AI355" i="4"/>
  <c r="AI356" i="4"/>
  <c r="AI357" i="4"/>
  <c r="AI358" i="4"/>
  <c r="AI359" i="4"/>
  <c r="AI360" i="4"/>
  <c r="AI388" i="4"/>
  <c r="AI389" i="4"/>
  <c r="AI397" i="4"/>
  <c r="AI390" i="4"/>
  <c r="AI430" i="4"/>
  <c r="AI391" i="4"/>
  <c r="AI392" i="4"/>
  <c r="AI393" i="4"/>
  <c r="AI394" i="4"/>
  <c r="AI395" i="4"/>
  <c r="AI396" i="4"/>
  <c r="AI398" i="4"/>
  <c r="AI399" i="4"/>
  <c r="AI400" i="4"/>
  <c r="AI401" i="4"/>
  <c r="AI402" i="4"/>
  <c r="AI403" i="4"/>
  <c r="AI404" i="4"/>
  <c r="AI405" i="4"/>
  <c r="AI406" i="4"/>
  <c r="AI407" i="4"/>
  <c r="AI408" i="4"/>
  <c r="AI409" i="4"/>
  <c r="AI410" i="4"/>
  <c r="AI411" i="4"/>
  <c r="AI412" i="4"/>
  <c r="AI413" i="4"/>
  <c r="AI414" i="4"/>
  <c r="AI415" i="4"/>
  <c r="AI416" i="4"/>
  <c r="AI417" i="4"/>
  <c r="AI419" i="4"/>
  <c r="AI420" i="4"/>
  <c r="AI421" i="4"/>
  <c r="AI422" i="4"/>
  <c r="AI423" i="4"/>
  <c r="AI424" i="4"/>
  <c r="AI425" i="4"/>
  <c r="AI426" i="4"/>
  <c r="AI427" i="4"/>
  <c r="AI428" i="4"/>
  <c r="AI429" i="4"/>
  <c r="AI431" i="4"/>
  <c r="AI432" i="4"/>
  <c r="AI433" i="4"/>
  <c r="AI434" i="4"/>
  <c r="AI418" i="4"/>
  <c r="AI361" i="4"/>
  <c r="AI362" i="4"/>
  <c r="AI363" i="4"/>
  <c r="AI364" i="4"/>
  <c r="AI365" i="4"/>
  <c r="AI366" i="4"/>
  <c r="AI367" i="4"/>
  <c r="AI368" i="4"/>
  <c r="AI369" i="4"/>
  <c r="AI370" i="4"/>
  <c r="AI371" i="4"/>
  <c r="AI372" i="4"/>
  <c r="AI373" i="4"/>
  <c r="AI374" i="4"/>
  <c r="AI376" i="4"/>
  <c r="AI378" i="4"/>
  <c r="AI379" i="4"/>
  <c r="AI375" i="4"/>
  <c r="AI377" i="4"/>
  <c r="AI380" i="4"/>
  <c r="AI381" i="4"/>
  <c r="AI382" i="4"/>
  <c r="AI383" i="4"/>
  <c r="AI384" i="4"/>
  <c r="AI385" i="4"/>
  <c r="AI386" i="4"/>
  <c r="AI387" i="4"/>
  <c r="AI435" i="4"/>
  <c r="AI436" i="4"/>
  <c r="AI437" i="4"/>
  <c r="AI438" i="4"/>
  <c r="AI439" i="4"/>
  <c r="AI440" i="4"/>
  <c r="AI441" i="4"/>
  <c r="AI442" i="4"/>
  <c r="AI443" i="4"/>
  <c r="AI444" i="4"/>
  <c r="AI446" i="4"/>
  <c r="AI445" i="4"/>
  <c r="AI447" i="4"/>
  <c r="AI449" i="4"/>
  <c r="AI451" i="4"/>
  <c r="AI452" i="4"/>
  <c r="AI453" i="4"/>
  <c r="AI454" i="4"/>
  <c r="AI448" i="4"/>
  <c r="AI455" i="4"/>
  <c r="AI456" i="4"/>
  <c r="AI457" i="4"/>
  <c r="AI450" i="4"/>
  <c r="AI458" i="4"/>
  <c r="AI459" i="4"/>
  <c r="AI460" i="4"/>
  <c r="AI461" i="4"/>
  <c r="AI462" i="4"/>
  <c r="AI463" i="4"/>
  <c r="AI464" i="4"/>
  <c r="AI465" i="4"/>
  <c r="AI466" i="4"/>
  <c r="AI467" i="4"/>
  <c r="AI468" i="4"/>
  <c r="AI470" i="4"/>
  <c r="AI471" i="4"/>
  <c r="AI472" i="4"/>
  <c r="AI469" i="4"/>
  <c r="AI473" i="4"/>
  <c r="AI474" i="4"/>
  <c r="AI475" i="4"/>
  <c r="AI476" i="4"/>
  <c r="AI478" i="4"/>
  <c r="AI479" i="4"/>
  <c r="AI481" i="4"/>
  <c r="AI482" i="4"/>
  <c r="AI484" i="4"/>
  <c r="AI485" i="4"/>
  <c r="AI477" i="4"/>
  <c r="AI486" i="4"/>
  <c r="AI487" i="4"/>
  <c r="AI480" i="4"/>
  <c r="AI488" i="4"/>
  <c r="AI483" i="4"/>
  <c r="AI489" i="4"/>
  <c r="AI490" i="4"/>
  <c r="AI491" i="4"/>
  <c r="AI492" i="4"/>
  <c r="AI493" i="4"/>
  <c r="AI494" i="4"/>
  <c r="AI495" i="4"/>
  <c r="AI496" i="4"/>
  <c r="AI497" i="4"/>
  <c r="AI498" i="4"/>
  <c r="AI499" i="4"/>
  <c r="AI500" i="4"/>
  <c r="AI501" i="4"/>
  <c r="AI502" i="4"/>
  <c r="AI503" i="4"/>
  <c r="AI504" i="4"/>
  <c r="AI505" i="4"/>
  <c r="AI506" i="4"/>
  <c r="AI507" i="4"/>
  <c r="AI508" i="4"/>
  <c r="AI509" i="4"/>
  <c r="AI510" i="4"/>
  <c r="AI511" i="4"/>
  <c r="AI512" i="4"/>
  <c r="AI513" i="4"/>
  <c r="AI514" i="4"/>
  <c r="AI515" i="4"/>
  <c r="AI553" i="4"/>
  <c r="AI554" i="4"/>
  <c r="AI555" i="4"/>
  <c r="AI556" i="4"/>
  <c r="AI557" i="4"/>
  <c r="AI558" i="4"/>
  <c r="AI559" i="4"/>
  <c r="AI560" i="4"/>
  <c r="AI561" i="4"/>
  <c r="AI562" i="4"/>
  <c r="AI563" i="4"/>
  <c r="AI564" i="4"/>
  <c r="AI566" i="4"/>
  <c r="AI567" i="4"/>
  <c r="AI568" i="4"/>
  <c r="AI569" i="4"/>
  <c r="AI570" i="4"/>
  <c r="AI571" i="4"/>
  <c r="AI572" i="4"/>
  <c r="AI573" i="4"/>
  <c r="AI574" i="4"/>
  <c r="AI575" i="4"/>
  <c r="AI576" i="4"/>
  <c r="AI577" i="4"/>
  <c r="AI578" i="4"/>
  <c r="AI579" i="4"/>
  <c r="AI580" i="4"/>
  <c r="AI583" i="4"/>
  <c r="AI584" i="4"/>
  <c r="AI585" i="4"/>
  <c r="AI586" i="4"/>
  <c r="AI587" i="4"/>
  <c r="AI588" i="4"/>
  <c r="AI589" i="4"/>
  <c r="AI590" i="4"/>
  <c r="AI591" i="4"/>
  <c r="AI592" i="4"/>
  <c r="AI565" i="4"/>
  <c r="AI593" i="4"/>
  <c r="AI594" i="4"/>
  <c r="AI595" i="4"/>
  <c r="AI597" i="4"/>
  <c r="AI598" i="4"/>
  <c r="AI599" i="4"/>
  <c r="AI600" i="4"/>
  <c r="AI601" i="4"/>
  <c r="AI602" i="4"/>
  <c r="AI581" i="4"/>
  <c r="AI582" i="4"/>
  <c r="AI603" i="4"/>
  <c r="AI604" i="4"/>
  <c r="AI605" i="4"/>
  <c r="AI606" i="4"/>
  <c r="AI607" i="4"/>
  <c r="AI608" i="4"/>
  <c r="AI609" i="4"/>
  <c r="AI610" i="4"/>
  <c r="AI611" i="4"/>
  <c r="AI612" i="4"/>
  <c r="AI596" i="4"/>
  <c r="AI613" i="4"/>
  <c r="AI614" i="4"/>
  <c r="AI615" i="4"/>
  <c r="AI616" i="4"/>
  <c r="AI617" i="4"/>
  <c r="AI618" i="4"/>
  <c r="AI620" i="4"/>
  <c r="AI621" i="4"/>
  <c r="AI619" i="4"/>
  <c r="AI622" i="4"/>
  <c r="AI623" i="4"/>
  <c r="AI624" i="4"/>
  <c r="AI625" i="4"/>
  <c r="AI626" i="4"/>
  <c r="AI627" i="4"/>
  <c r="AI628" i="4"/>
  <c r="AI629" i="4"/>
  <c r="AI630" i="4"/>
  <c r="AI631" i="4"/>
  <c r="AI632" i="4"/>
  <c r="AI633" i="4"/>
  <c r="AI634" i="4"/>
  <c r="AI635" i="4"/>
  <c r="AI636" i="4"/>
  <c r="AI637" i="4"/>
  <c r="AI638" i="4"/>
  <c r="AI639" i="4"/>
  <c r="AI640" i="4"/>
  <c r="AI641" i="4"/>
  <c r="AI642" i="4"/>
  <c r="AI643" i="4"/>
  <c r="AI644" i="4"/>
  <c r="AI645" i="4"/>
  <c r="AI646" i="4"/>
  <c r="AI648" i="4"/>
  <c r="AI649" i="4"/>
  <c r="AI650" i="4"/>
  <c r="AI651" i="4"/>
  <c r="AI653" i="4"/>
  <c r="AI654" i="4"/>
  <c r="AI655" i="4"/>
  <c r="AI647" i="4"/>
  <c r="AI656" i="4"/>
  <c r="AI657" i="4"/>
  <c r="AI659" i="4"/>
  <c r="AI652" i="4"/>
  <c r="AI658" i="4"/>
  <c r="AI660" i="4"/>
  <c r="AI661" i="4"/>
  <c r="AI662" i="4"/>
  <c r="AI663" i="4"/>
  <c r="AI664" i="4"/>
  <c r="AI665" i="4"/>
  <c r="AI666" i="4"/>
  <c r="AI667" i="4"/>
  <c r="AI668" i="4"/>
  <c r="AI669" i="4"/>
  <c r="AI670" i="4"/>
  <c r="AI671" i="4"/>
  <c r="AI672" i="4"/>
  <c r="AI674" i="4"/>
  <c r="AI675" i="4"/>
  <c r="AI676" i="4"/>
  <c r="AI677" i="4"/>
  <c r="AI678" i="4"/>
  <c r="AI679" i="4"/>
  <c r="AI680" i="4"/>
  <c r="AI681" i="4"/>
  <c r="AI673" i="4"/>
  <c r="AI102" i="4"/>
  <c r="AI103" i="4"/>
  <c r="AI104" i="4"/>
  <c r="AI96" i="4"/>
  <c r="AI97" i="4"/>
  <c r="AI98" i="4"/>
  <c r="AI105" i="4"/>
  <c r="AI122" i="4"/>
  <c r="AI117" i="4"/>
  <c r="AI106" i="4"/>
  <c r="AI107" i="4"/>
  <c r="AI118" i="4"/>
  <c r="AI119" i="4"/>
  <c r="AI114" i="4"/>
  <c r="AI99" i="4"/>
  <c r="AI123" i="4"/>
  <c r="AI100" i="4"/>
  <c r="AI108" i="4"/>
  <c r="AI109" i="4"/>
  <c r="AI110" i="4"/>
  <c r="AI111" i="4"/>
  <c r="AI121" i="4"/>
  <c r="AI101" i="4"/>
  <c r="AI112" i="4"/>
  <c r="AI113" i="4"/>
  <c r="AI120" i="4"/>
  <c r="AI115" i="4"/>
  <c r="AI116" i="4"/>
  <c r="AF49" i="4"/>
  <c r="AF50" i="4"/>
  <c r="AF51" i="4"/>
  <c r="AF52" i="4"/>
  <c r="AF53" i="4"/>
  <c r="AF54" i="4"/>
  <c r="AF55" i="4"/>
  <c r="AF56" i="4"/>
  <c r="AF57" i="4"/>
  <c r="AF59" i="4"/>
  <c r="AF60" i="4"/>
  <c r="AF61" i="4"/>
  <c r="AF58" i="4"/>
  <c r="AF62" i="4"/>
  <c r="AF63" i="4"/>
  <c r="AF64" i="4"/>
  <c r="AF65" i="4"/>
  <c r="AF67" i="4"/>
  <c r="AF68" i="4"/>
  <c r="AF69" i="4"/>
  <c r="AF70" i="4"/>
  <c r="AF66" i="4"/>
  <c r="AF71" i="4"/>
  <c r="AF72" i="4"/>
  <c r="AF73" i="4"/>
  <c r="AF74" i="4"/>
  <c r="AF75" i="4"/>
  <c r="AF76" i="4"/>
  <c r="AF77" i="4"/>
  <c r="AF78" i="4"/>
  <c r="AF79" i="4"/>
  <c r="AF80" i="4"/>
  <c r="AF81" i="4"/>
  <c r="AF83" i="4"/>
  <c r="AF82" i="4"/>
  <c r="AF84" i="4"/>
  <c r="AF85" i="4"/>
  <c r="AF86" i="4"/>
  <c r="AF87" i="4"/>
  <c r="AF88" i="4"/>
  <c r="AF89" i="4"/>
  <c r="AF90" i="4"/>
  <c r="AF91" i="4"/>
  <c r="AF92" i="4"/>
  <c r="AF93" i="4"/>
  <c r="AF94" i="4"/>
  <c r="AF95" i="4"/>
  <c r="AF124" i="4"/>
  <c r="AF125" i="4"/>
  <c r="AF126" i="4"/>
  <c r="AF127" i="4"/>
  <c r="AF128" i="4"/>
  <c r="AF129" i="4"/>
  <c r="AF130" i="4"/>
  <c r="AF131" i="4"/>
  <c r="AF132" i="4"/>
  <c r="AF133" i="4"/>
  <c r="AF134" i="4"/>
  <c r="AF135" i="4"/>
  <c r="AF137" i="4"/>
  <c r="AF138" i="4"/>
  <c r="AF139" i="4"/>
  <c r="AF140" i="4"/>
  <c r="AF136" i="4"/>
  <c r="AF142" i="4"/>
  <c r="AF143" i="4"/>
  <c r="AF144" i="4"/>
  <c r="AF146" i="4"/>
  <c r="AF147" i="4"/>
  <c r="AF149" i="4"/>
  <c r="AF150" i="4"/>
  <c r="AF151" i="4"/>
  <c r="AF153" i="4"/>
  <c r="AF145" i="4"/>
  <c r="AF154" i="4"/>
  <c r="AF148" i="4"/>
  <c r="AF152" i="4"/>
  <c r="AF155" i="4"/>
  <c r="AF156" i="4"/>
  <c r="AF141" i="4"/>
  <c r="AF157" i="4"/>
  <c r="AF158" i="4"/>
  <c r="AF159" i="4"/>
  <c r="AF160" i="4"/>
  <c r="AF161" i="4"/>
  <c r="AF162" i="4"/>
  <c r="AF163" i="4"/>
  <c r="AF164" i="4"/>
  <c r="AF165" i="4"/>
  <c r="AF166" i="4"/>
  <c r="AF167" i="4"/>
  <c r="AF168" i="4"/>
  <c r="AF169" i="4"/>
  <c r="AF170" i="4"/>
  <c r="AF171" i="4"/>
  <c r="AF172" i="4"/>
  <c r="AF173" i="4"/>
  <c r="AF174" i="4"/>
  <c r="AF175" i="4"/>
  <c r="AF176" i="4"/>
  <c r="AF177" i="4"/>
  <c r="AF178" i="4"/>
  <c r="AF179" i="4"/>
  <c r="AF180" i="4"/>
  <c r="AF181" i="4"/>
  <c r="AF182" i="4"/>
  <c r="AF183" i="4"/>
  <c r="AF184" i="4"/>
  <c r="AF185" i="4"/>
  <c r="AF186" i="4"/>
  <c r="AF187" i="4"/>
  <c r="AF188" i="4"/>
  <c r="AF189" i="4"/>
  <c r="AF190" i="4"/>
  <c r="AF191" i="4"/>
  <c r="AF192" i="4"/>
  <c r="AF193" i="4"/>
  <c r="AF194" i="4"/>
  <c r="AF196" i="4"/>
  <c r="AF197" i="4"/>
  <c r="AF198" i="4"/>
  <c r="AF199" i="4"/>
  <c r="AF200" i="4"/>
  <c r="AF201" i="4"/>
  <c r="AF202" i="4"/>
  <c r="AF203" i="4"/>
  <c r="AF195" i="4"/>
  <c r="AF204" i="4"/>
  <c r="AF205" i="4"/>
  <c r="AF206" i="4"/>
  <c r="AF207" i="4"/>
  <c r="AF208" i="4"/>
  <c r="AF209" i="4"/>
  <c r="AF210" i="4"/>
  <c r="AF211" i="4"/>
  <c r="AF212" i="4"/>
  <c r="AF213" i="4"/>
  <c r="AF214" i="4"/>
  <c r="AF215" i="4"/>
  <c r="AF216" i="4"/>
  <c r="AF217" i="4"/>
  <c r="AF218" i="4"/>
  <c r="AF219" i="4"/>
  <c r="AF220" i="4"/>
  <c r="AF221" i="4"/>
  <c r="AF222" i="4"/>
  <c r="AF223" i="4"/>
  <c r="AF224" i="4"/>
  <c r="AF225" i="4"/>
  <c r="AF226" i="4"/>
  <c r="AF227" i="4"/>
  <c r="AF228" i="4"/>
  <c r="AF229" i="4"/>
  <c r="AF230" i="4"/>
  <c r="AF231" i="4"/>
  <c r="AF233" i="4"/>
  <c r="AF234" i="4"/>
  <c r="AF235" i="4"/>
  <c r="AF236" i="4"/>
  <c r="AF237" i="4"/>
  <c r="AF232" i="4"/>
  <c r="AF238" i="4"/>
  <c r="AF240" i="4"/>
  <c r="AF239" i="4"/>
  <c r="AF241" i="4"/>
  <c r="AF242" i="4"/>
  <c r="AF243" i="4"/>
  <c r="AF244" i="4"/>
  <c r="AF245" i="4"/>
  <c r="AF246" i="4"/>
  <c r="AF247" i="4"/>
  <c r="AF248" i="4"/>
  <c r="AF249" i="4"/>
  <c r="AF251" i="4"/>
  <c r="AF253" i="4"/>
  <c r="AF254" i="4"/>
  <c r="AF255" i="4"/>
  <c r="AF256" i="4"/>
  <c r="AF257" i="4"/>
  <c r="AF250" i="4"/>
  <c r="AF258" i="4"/>
  <c r="AF259" i="4"/>
  <c r="AF260" i="4"/>
  <c r="AF252" i="4"/>
  <c r="AF261" i="4"/>
  <c r="AF262" i="4"/>
  <c r="AF263" i="4"/>
  <c r="AF264" i="4"/>
  <c r="AF265" i="4"/>
  <c r="AF266" i="4"/>
  <c r="AF267" i="4"/>
  <c r="AF268" i="4"/>
  <c r="AF269" i="4"/>
  <c r="AF270" i="4"/>
  <c r="AF271" i="4"/>
  <c r="AF272" i="4"/>
  <c r="AF273" i="4"/>
  <c r="AF274" i="4"/>
  <c r="AF275" i="4"/>
  <c r="AF276" i="4"/>
  <c r="AF277" i="4"/>
  <c r="AF278" i="4"/>
  <c r="AF279" i="4"/>
  <c r="AF280" i="4"/>
  <c r="AF281" i="4"/>
  <c r="AF282" i="4"/>
  <c r="AF283" i="4"/>
  <c r="AF284" i="4"/>
  <c r="AF285" i="4"/>
  <c r="AF286" i="4"/>
  <c r="AF287" i="4"/>
  <c r="AF288" i="4"/>
  <c r="AF289" i="4"/>
  <c r="AF291" i="4"/>
  <c r="AF290" i="4"/>
  <c r="AF292" i="4"/>
  <c r="AF293" i="4"/>
  <c r="AF294" i="4"/>
  <c r="AF295" i="4"/>
  <c r="AF296" i="4"/>
  <c r="AF297" i="4"/>
  <c r="AF298" i="4"/>
  <c r="AF299" i="4"/>
  <c r="AF300" i="4"/>
  <c r="AF301" i="4"/>
  <c r="AF302" i="4"/>
  <c r="AF303" i="4"/>
  <c r="AF304" i="4"/>
  <c r="AF305" i="4"/>
  <c r="AF306" i="4"/>
  <c r="AF307" i="4"/>
  <c r="AF308" i="4"/>
  <c r="AF309" i="4"/>
  <c r="AF310" i="4"/>
  <c r="AF311" i="4"/>
  <c r="AF312" i="4"/>
  <c r="AF313" i="4"/>
  <c r="AF314" i="4"/>
  <c r="AF315" i="4"/>
  <c r="AF316" i="4"/>
  <c r="AF317" i="4"/>
  <c r="AF318" i="4"/>
  <c r="AF319" i="4"/>
  <c r="AF320" i="4"/>
  <c r="AF321" i="4"/>
  <c r="AF322" i="4"/>
  <c r="AF323" i="4"/>
  <c r="AF324" i="4"/>
  <c r="AF325" i="4"/>
  <c r="AF326" i="4"/>
  <c r="AF327" i="4"/>
  <c r="AF328" i="4"/>
  <c r="AF329" i="4"/>
  <c r="AF330" i="4"/>
  <c r="AF331" i="4"/>
  <c r="AF332" i="4"/>
  <c r="AF333" i="4"/>
  <c r="AF334" i="4"/>
  <c r="AF335" i="4"/>
  <c r="AF336" i="4"/>
  <c r="AF337" i="4"/>
  <c r="AF338" i="4"/>
  <c r="AF339" i="4"/>
  <c r="AF340" i="4"/>
  <c r="AF341" i="4"/>
  <c r="AF342" i="4"/>
  <c r="AF343" i="4"/>
  <c r="AF344" i="4"/>
  <c r="AF345" i="4"/>
  <c r="AF346" i="4"/>
  <c r="AF347" i="4"/>
  <c r="AF348" i="4"/>
  <c r="AF349" i="4"/>
  <c r="AF350" i="4"/>
  <c r="AF351" i="4"/>
  <c r="AF352" i="4"/>
  <c r="AF353" i="4"/>
  <c r="AF354" i="4"/>
  <c r="AF355" i="4"/>
  <c r="AF356" i="4"/>
  <c r="AF357" i="4"/>
  <c r="AF358" i="4"/>
  <c r="AF359" i="4"/>
  <c r="AF360" i="4"/>
  <c r="AF388" i="4"/>
  <c r="AF389" i="4"/>
  <c r="AF397" i="4"/>
  <c r="AF390" i="4"/>
  <c r="AF430" i="4"/>
  <c r="AF391" i="4"/>
  <c r="AF392" i="4"/>
  <c r="AF393" i="4"/>
  <c r="AF394" i="4"/>
  <c r="AF395" i="4"/>
  <c r="AF396" i="4"/>
  <c r="AF398" i="4"/>
  <c r="AF399" i="4"/>
  <c r="AF400" i="4"/>
  <c r="AF401" i="4"/>
  <c r="AF402" i="4"/>
  <c r="AF403" i="4"/>
  <c r="AF404" i="4"/>
  <c r="AF405" i="4"/>
  <c r="AF406" i="4"/>
  <c r="AF407" i="4"/>
  <c r="AF408" i="4"/>
  <c r="AF409" i="4"/>
  <c r="AF410" i="4"/>
  <c r="AF411" i="4"/>
  <c r="AF412" i="4"/>
  <c r="AF413" i="4"/>
  <c r="AF414" i="4"/>
  <c r="AF415" i="4"/>
  <c r="AF416" i="4"/>
  <c r="AF417" i="4"/>
  <c r="AF419" i="4"/>
  <c r="AF420" i="4"/>
  <c r="AF421" i="4"/>
  <c r="AF422" i="4"/>
  <c r="AF423" i="4"/>
  <c r="AF424" i="4"/>
  <c r="AF425" i="4"/>
  <c r="AF426" i="4"/>
  <c r="AF427" i="4"/>
  <c r="AF428" i="4"/>
  <c r="AF429" i="4"/>
  <c r="AF431" i="4"/>
  <c r="AF432" i="4"/>
  <c r="AF433" i="4"/>
  <c r="AF434" i="4"/>
  <c r="AF418" i="4"/>
  <c r="AF361" i="4"/>
  <c r="AF362" i="4"/>
  <c r="AF363" i="4"/>
  <c r="AF364" i="4"/>
  <c r="AF365" i="4"/>
  <c r="AF366" i="4"/>
  <c r="AF367" i="4"/>
  <c r="AF368" i="4"/>
  <c r="AF369" i="4"/>
  <c r="AF370" i="4"/>
  <c r="AF371" i="4"/>
  <c r="AF372" i="4"/>
  <c r="AF373" i="4"/>
  <c r="AF374" i="4"/>
  <c r="AF376" i="4"/>
  <c r="AF378" i="4"/>
  <c r="AF379" i="4"/>
  <c r="AF375" i="4"/>
  <c r="AF377" i="4"/>
  <c r="AF380" i="4"/>
  <c r="AF381" i="4"/>
  <c r="AF382" i="4"/>
  <c r="AF383" i="4"/>
  <c r="AF384" i="4"/>
  <c r="AF385" i="4"/>
  <c r="AF386" i="4"/>
  <c r="AF387" i="4"/>
  <c r="AF435" i="4"/>
  <c r="AF436" i="4"/>
  <c r="AF437" i="4"/>
  <c r="AF438" i="4"/>
  <c r="AF439" i="4"/>
  <c r="AF440" i="4"/>
  <c r="AF441" i="4"/>
  <c r="AF442" i="4"/>
  <c r="AF443" i="4"/>
  <c r="AF444" i="4"/>
  <c r="AF446" i="4"/>
  <c r="AF445" i="4"/>
  <c r="AF447" i="4"/>
  <c r="AF449" i="4"/>
  <c r="AF451" i="4"/>
  <c r="AF452" i="4"/>
  <c r="AF453" i="4"/>
  <c r="AF454" i="4"/>
  <c r="AF448" i="4"/>
  <c r="AF455" i="4"/>
  <c r="AF456" i="4"/>
  <c r="AF457" i="4"/>
  <c r="AF450" i="4"/>
  <c r="AF458" i="4"/>
  <c r="AF459" i="4"/>
  <c r="AF460" i="4"/>
  <c r="AF461" i="4"/>
  <c r="AF462" i="4"/>
  <c r="AF463" i="4"/>
  <c r="AF464" i="4"/>
  <c r="AF465" i="4"/>
  <c r="AF466" i="4"/>
  <c r="AF467" i="4"/>
  <c r="AF468" i="4"/>
  <c r="AF470" i="4"/>
  <c r="AF471" i="4"/>
  <c r="AF472" i="4"/>
  <c r="AF469" i="4"/>
  <c r="AF473" i="4"/>
  <c r="AF474" i="4"/>
  <c r="AF475" i="4"/>
  <c r="AF476" i="4"/>
  <c r="AF478" i="4"/>
  <c r="AF479" i="4"/>
  <c r="AF481" i="4"/>
  <c r="AF482" i="4"/>
  <c r="AF484" i="4"/>
  <c r="AF485" i="4"/>
  <c r="AF477" i="4"/>
  <c r="AF486" i="4"/>
  <c r="AF487" i="4"/>
  <c r="AF480" i="4"/>
  <c r="AF488" i="4"/>
  <c r="AF483" i="4"/>
  <c r="AF489" i="4"/>
  <c r="AF490" i="4"/>
  <c r="AF491" i="4"/>
  <c r="AF492" i="4"/>
  <c r="AF493" i="4"/>
  <c r="AF494" i="4"/>
  <c r="AF495" i="4"/>
  <c r="AF496" i="4"/>
  <c r="AF497" i="4"/>
  <c r="AF498" i="4"/>
  <c r="AF499" i="4"/>
  <c r="AF500" i="4"/>
  <c r="AF501" i="4"/>
  <c r="AF502" i="4"/>
  <c r="AF503" i="4"/>
  <c r="AF504" i="4"/>
  <c r="AF505" i="4"/>
  <c r="AF506" i="4"/>
  <c r="AF507" i="4"/>
  <c r="AF508" i="4"/>
  <c r="AF509" i="4"/>
  <c r="AF510" i="4"/>
  <c r="AF511" i="4"/>
  <c r="AF512" i="4"/>
  <c r="AF513" i="4"/>
  <c r="AF514" i="4"/>
  <c r="AF515" i="4"/>
  <c r="AF554" i="4"/>
  <c r="AF555" i="4"/>
  <c r="AF556" i="4"/>
  <c r="AF557" i="4"/>
  <c r="AF558" i="4"/>
  <c r="AF559" i="4"/>
  <c r="AF560" i="4"/>
  <c r="AF561" i="4"/>
  <c r="AF562" i="4"/>
  <c r="AF563" i="4"/>
  <c r="AF564" i="4"/>
  <c r="AF566" i="4"/>
  <c r="AF567" i="4"/>
  <c r="AF568" i="4"/>
  <c r="AF569" i="4"/>
  <c r="AF570" i="4"/>
  <c r="AF571" i="4"/>
  <c r="AF572" i="4"/>
  <c r="AF573" i="4"/>
  <c r="AF574" i="4"/>
  <c r="AF575" i="4"/>
  <c r="AF576" i="4"/>
  <c r="AF577" i="4"/>
  <c r="AF578" i="4"/>
  <c r="AF579" i="4"/>
  <c r="AF580" i="4"/>
  <c r="AF583" i="4"/>
  <c r="AF584" i="4"/>
  <c r="AF585" i="4"/>
  <c r="AF586" i="4"/>
  <c r="AF587" i="4"/>
  <c r="AF588" i="4"/>
  <c r="AF589" i="4"/>
  <c r="AF590" i="4"/>
  <c r="AF591" i="4"/>
  <c r="AF592" i="4"/>
  <c r="AF565" i="4"/>
  <c r="AF593" i="4"/>
  <c r="AF594" i="4"/>
  <c r="AF595" i="4"/>
  <c r="AF597" i="4"/>
  <c r="AF598" i="4"/>
  <c r="AF599" i="4"/>
  <c r="AF600" i="4"/>
  <c r="AF601" i="4"/>
  <c r="AF602" i="4"/>
  <c r="AF581" i="4"/>
  <c r="AF582" i="4"/>
  <c r="AF603" i="4"/>
  <c r="AF604" i="4"/>
  <c r="AF605" i="4"/>
  <c r="AF606" i="4"/>
  <c r="AF607" i="4"/>
  <c r="AF608" i="4"/>
  <c r="AF609" i="4"/>
  <c r="AF610" i="4"/>
  <c r="AF611" i="4"/>
  <c r="AF612" i="4"/>
  <c r="AF596" i="4"/>
  <c r="AF613" i="4"/>
  <c r="AF614" i="4"/>
  <c r="AF615" i="4"/>
  <c r="AF616" i="4"/>
  <c r="AF617" i="4"/>
  <c r="AF618" i="4"/>
  <c r="AF620" i="4"/>
  <c r="AF621" i="4"/>
  <c r="AF619" i="4"/>
  <c r="AF622" i="4"/>
  <c r="AF623" i="4"/>
  <c r="AF624" i="4"/>
  <c r="AF625" i="4"/>
  <c r="AF626" i="4"/>
  <c r="AF627" i="4"/>
  <c r="AF628" i="4"/>
  <c r="AF629" i="4"/>
  <c r="AF630" i="4"/>
  <c r="AF631" i="4"/>
  <c r="AF632" i="4"/>
  <c r="AF633" i="4"/>
  <c r="AF634" i="4"/>
  <c r="AF635" i="4"/>
  <c r="AF636" i="4"/>
  <c r="AF637" i="4"/>
  <c r="AF638" i="4"/>
  <c r="AF639" i="4"/>
  <c r="AF640" i="4"/>
  <c r="AF641" i="4"/>
  <c r="AF642" i="4"/>
  <c r="AF643" i="4"/>
  <c r="AF644" i="4"/>
  <c r="AF645" i="4"/>
  <c r="AF646" i="4"/>
  <c r="AF648" i="4"/>
  <c r="AF649" i="4"/>
  <c r="AF650" i="4"/>
  <c r="AF651" i="4"/>
  <c r="AF653" i="4"/>
  <c r="AF654" i="4"/>
  <c r="AF655" i="4"/>
  <c r="AF647" i="4"/>
  <c r="AF656" i="4"/>
  <c r="AF657" i="4"/>
  <c r="AF659" i="4"/>
  <c r="AF652" i="4"/>
  <c r="AF658" i="4"/>
  <c r="AF660" i="4"/>
  <c r="AF661" i="4"/>
  <c r="AF662" i="4"/>
  <c r="AF663" i="4"/>
  <c r="AF664" i="4"/>
  <c r="AF665" i="4"/>
  <c r="AF666" i="4"/>
  <c r="AF667" i="4"/>
  <c r="AF668" i="4"/>
  <c r="AF669" i="4"/>
  <c r="AF670" i="4"/>
  <c r="AF671" i="4"/>
  <c r="AF672" i="4"/>
  <c r="AF674" i="4"/>
  <c r="AF675" i="4"/>
  <c r="AF676" i="4"/>
  <c r="AF677" i="4"/>
  <c r="AF678" i="4"/>
  <c r="AF679" i="4"/>
  <c r="AF680" i="4"/>
  <c r="AF681" i="4"/>
  <c r="AF673" i="4"/>
  <c r="AF102" i="4"/>
  <c r="AF103" i="4"/>
  <c r="AF104" i="4"/>
  <c r="AF96" i="4"/>
  <c r="AF97" i="4"/>
  <c r="AF98" i="4"/>
  <c r="AF105" i="4"/>
  <c r="AF122" i="4"/>
  <c r="AF117" i="4"/>
  <c r="AF106" i="4"/>
  <c r="AF107" i="4"/>
  <c r="AF118" i="4"/>
  <c r="AF119" i="4"/>
  <c r="AF114" i="4"/>
  <c r="AF99" i="4"/>
  <c r="AF123" i="4"/>
  <c r="AF100" i="4"/>
  <c r="AF108" i="4"/>
  <c r="AF109" i="4"/>
  <c r="AF110" i="4"/>
  <c r="AF111" i="4"/>
  <c r="AF121" i="4"/>
  <c r="AF101" i="4"/>
  <c r="AF112" i="4"/>
  <c r="AF113" i="4"/>
  <c r="AF120" i="4"/>
  <c r="AF115" i="4"/>
  <c r="AF116" i="4"/>
  <c r="AC50" i="4"/>
  <c r="AC51" i="4"/>
  <c r="AC52" i="4"/>
  <c r="AC53" i="4"/>
  <c r="AC54" i="4"/>
  <c r="AC55" i="4"/>
  <c r="AC56" i="4"/>
  <c r="AC57" i="4"/>
  <c r="AC59" i="4"/>
  <c r="AC60" i="4"/>
  <c r="AC61" i="4"/>
  <c r="AC58" i="4"/>
  <c r="AC62" i="4"/>
  <c r="AC63" i="4"/>
  <c r="AC64" i="4"/>
  <c r="AC65" i="4"/>
  <c r="AC67" i="4"/>
  <c r="AC68" i="4"/>
  <c r="AC69" i="4"/>
  <c r="AC70" i="4"/>
  <c r="AC66" i="4"/>
  <c r="AC71" i="4"/>
  <c r="AC72" i="4"/>
  <c r="AC73" i="4"/>
  <c r="AC74" i="4"/>
  <c r="AC75" i="4"/>
  <c r="AC76" i="4"/>
  <c r="AC77" i="4"/>
  <c r="AC78" i="4"/>
  <c r="AC79" i="4"/>
  <c r="AC80" i="4"/>
  <c r="AC81" i="4"/>
  <c r="AC83" i="4"/>
  <c r="AC82" i="4"/>
  <c r="AC84" i="4"/>
  <c r="AC85" i="4"/>
  <c r="AC86" i="4"/>
  <c r="AC87" i="4"/>
  <c r="AC88" i="4"/>
  <c r="AC89" i="4"/>
  <c r="AC90" i="4"/>
  <c r="AC91" i="4"/>
  <c r="AC92" i="4"/>
  <c r="AC93" i="4"/>
  <c r="AC94" i="4"/>
  <c r="AC95" i="4"/>
  <c r="AC124" i="4"/>
  <c r="AC125" i="4"/>
  <c r="AC126" i="4"/>
  <c r="AC127" i="4"/>
  <c r="AC128" i="4"/>
  <c r="AC129" i="4"/>
  <c r="AC130" i="4"/>
  <c r="AC131" i="4"/>
  <c r="AC132" i="4"/>
  <c r="AC133" i="4"/>
  <c r="AC134" i="4"/>
  <c r="AC135" i="4"/>
  <c r="AC137" i="4"/>
  <c r="AC138" i="4"/>
  <c r="AC139" i="4"/>
  <c r="AC140" i="4"/>
  <c r="AC136" i="4"/>
  <c r="AC142" i="4"/>
  <c r="AC143" i="4"/>
  <c r="AC144" i="4"/>
  <c r="AC146" i="4"/>
  <c r="AC147" i="4"/>
  <c r="AC149" i="4"/>
  <c r="AC150" i="4"/>
  <c r="AC151" i="4"/>
  <c r="AC153" i="4"/>
  <c r="AC145" i="4"/>
  <c r="AC154" i="4"/>
  <c r="AC148" i="4"/>
  <c r="AC152" i="4"/>
  <c r="AC155" i="4"/>
  <c r="AC156" i="4"/>
  <c r="AC141" i="4"/>
  <c r="AC157" i="4"/>
  <c r="AC158" i="4"/>
  <c r="AC159" i="4"/>
  <c r="AC160" i="4"/>
  <c r="AC161" i="4"/>
  <c r="AC162" i="4"/>
  <c r="AC163" i="4"/>
  <c r="AC164" i="4"/>
  <c r="AC165" i="4"/>
  <c r="AC166" i="4"/>
  <c r="AC167" i="4"/>
  <c r="AC168" i="4"/>
  <c r="AC169" i="4"/>
  <c r="AC170" i="4"/>
  <c r="AC171" i="4"/>
  <c r="AC172" i="4"/>
  <c r="AC173" i="4"/>
  <c r="AC174" i="4"/>
  <c r="AC175" i="4"/>
  <c r="AC176" i="4"/>
  <c r="AC177" i="4"/>
  <c r="AC178" i="4"/>
  <c r="AC179" i="4"/>
  <c r="AC180" i="4"/>
  <c r="AC181" i="4"/>
  <c r="AC182" i="4"/>
  <c r="AC186" i="4"/>
  <c r="AC189" i="4"/>
  <c r="AC206" i="4"/>
  <c r="AC207" i="4"/>
  <c r="AC208" i="4"/>
  <c r="AC209" i="4"/>
  <c r="AC210" i="4"/>
  <c r="AC211" i="4"/>
  <c r="AC212" i="4"/>
  <c r="AC213" i="4"/>
  <c r="AC214" i="4"/>
  <c r="AC215" i="4"/>
  <c r="AC216" i="4"/>
  <c r="AC217" i="4"/>
  <c r="AC218" i="4"/>
  <c r="AC219" i="4"/>
  <c r="AC220" i="4"/>
  <c r="AC221" i="4"/>
  <c r="AC222" i="4"/>
  <c r="AC223" i="4"/>
  <c r="AC224" i="4"/>
  <c r="AC225" i="4"/>
  <c r="AC226" i="4"/>
  <c r="AC227" i="4"/>
  <c r="AC228" i="4"/>
  <c r="AC229" i="4"/>
  <c r="AC230" i="4"/>
  <c r="AC231" i="4"/>
  <c r="AC233" i="4"/>
  <c r="AC234" i="4"/>
  <c r="AC235" i="4"/>
  <c r="AC236" i="4"/>
  <c r="AC237" i="4"/>
  <c r="AC232" i="4"/>
  <c r="AC238" i="4"/>
  <c r="AC240" i="4"/>
  <c r="AC239" i="4"/>
  <c r="AC241" i="4"/>
  <c r="AC242" i="4"/>
  <c r="AC243" i="4"/>
  <c r="AC244" i="4"/>
  <c r="AC245" i="4"/>
  <c r="AC246" i="4"/>
  <c r="AC247" i="4"/>
  <c r="AC248" i="4"/>
  <c r="AC249" i="4"/>
  <c r="AC251" i="4"/>
  <c r="AC253" i="4"/>
  <c r="AC254" i="4"/>
  <c r="AC255" i="4"/>
  <c r="AC256" i="4"/>
  <c r="AC257" i="4"/>
  <c r="AC250" i="4"/>
  <c r="AC258" i="4"/>
  <c r="AC259" i="4"/>
  <c r="AC260" i="4"/>
  <c r="AC252" i="4"/>
  <c r="AC261" i="4"/>
  <c r="AC262" i="4"/>
  <c r="AC263" i="4"/>
  <c r="AC264" i="4"/>
  <c r="AC265" i="4"/>
  <c r="AC266" i="4"/>
  <c r="AC267" i="4"/>
  <c r="AC268" i="4"/>
  <c r="AC269" i="4"/>
  <c r="AC270" i="4"/>
  <c r="AC271" i="4"/>
  <c r="AC272" i="4"/>
  <c r="AC273" i="4"/>
  <c r="AC274" i="4"/>
  <c r="AC275" i="4"/>
  <c r="AC276" i="4"/>
  <c r="AC277" i="4"/>
  <c r="AC278" i="4"/>
  <c r="AC279" i="4"/>
  <c r="AC280" i="4"/>
  <c r="AC281" i="4"/>
  <c r="AC282" i="4"/>
  <c r="AC283" i="4"/>
  <c r="AC284" i="4"/>
  <c r="AC285" i="4"/>
  <c r="AC286" i="4"/>
  <c r="AC287" i="4"/>
  <c r="AC288" i="4"/>
  <c r="AC289" i="4"/>
  <c r="AC291" i="4"/>
  <c r="AC290" i="4"/>
  <c r="AC292" i="4"/>
  <c r="AC293" i="4"/>
  <c r="AC294" i="4"/>
  <c r="AC295" i="4"/>
  <c r="AC296" i="4"/>
  <c r="AC297" i="4"/>
  <c r="AC298" i="4"/>
  <c r="AC299" i="4"/>
  <c r="AC300" i="4"/>
  <c r="AC301" i="4"/>
  <c r="AC302" i="4"/>
  <c r="AC303" i="4"/>
  <c r="AC304" i="4"/>
  <c r="AC305" i="4"/>
  <c r="AC306" i="4"/>
  <c r="AC307" i="4"/>
  <c r="AC308" i="4"/>
  <c r="AC309" i="4"/>
  <c r="AC310" i="4"/>
  <c r="AC311" i="4"/>
  <c r="AC312" i="4"/>
  <c r="AC313" i="4"/>
  <c r="AC314" i="4"/>
  <c r="AC315" i="4"/>
  <c r="AC316" i="4"/>
  <c r="AC317" i="4"/>
  <c r="AC318" i="4"/>
  <c r="AC319" i="4"/>
  <c r="AC320" i="4"/>
  <c r="AC321" i="4"/>
  <c r="AC322" i="4"/>
  <c r="AC323" i="4"/>
  <c r="AC324" i="4"/>
  <c r="AC325" i="4"/>
  <c r="AC326" i="4"/>
  <c r="AC327" i="4"/>
  <c r="AC328" i="4"/>
  <c r="AC329" i="4"/>
  <c r="AC330" i="4"/>
  <c r="AC331" i="4"/>
  <c r="AC332" i="4"/>
  <c r="AC333" i="4"/>
  <c r="AC334" i="4"/>
  <c r="AC335" i="4"/>
  <c r="AC336" i="4"/>
  <c r="AC337" i="4"/>
  <c r="AC338" i="4"/>
  <c r="AC339" i="4"/>
  <c r="AC340" i="4"/>
  <c r="AC341" i="4"/>
  <c r="AC342" i="4"/>
  <c r="AC343" i="4"/>
  <c r="AC344" i="4"/>
  <c r="AC345" i="4"/>
  <c r="AC346" i="4"/>
  <c r="AC347" i="4"/>
  <c r="AC348" i="4"/>
  <c r="AC349" i="4"/>
  <c r="AC350" i="4"/>
  <c r="AC351" i="4"/>
  <c r="AC352" i="4"/>
  <c r="AC353" i="4"/>
  <c r="AC354" i="4"/>
  <c r="AC355" i="4"/>
  <c r="AC356" i="4"/>
  <c r="AC357" i="4"/>
  <c r="AC358" i="4"/>
  <c r="AC359" i="4"/>
  <c r="AC360" i="4"/>
  <c r="AC388" i="4"/>
  <c r="AC389" i="4"/>
  <c r="AC397" i="4"/>
  <c r="AC390" i="4"/>
  <c r="AC430" i="4"/>
  <c r="AC391" i="4"/>
  <c r="AC392" i="4"/>
  <c r="AC393" i="4"/>
  <c r="AC394" i="4"/>
  <c r="AC395" i="4"/>
  <c r="AC396" i="4"/>
  <c r="AC398" i="4"/>
  <c r="AC399" i="4"/>
  <c r="AC400" i="4"/>
  <c r="AC401" i="4"/>
  <c r="AC402" i="4"/>
  <c r="AC403" i="4"/>
  <c r="AC404" i="4"/>
  <c r="AC405" i="4"/>
  <c r="AC406" i="4"/>
  <c r="AC407" i="4"/>
  <c r="AC408" i="4"/>
  <c r="AC409" i="4"/>
  <c r="AC410" i="4"/>
  <c r="AC411" i="4"/>
  <c r="AC412" i="4"/>
  <c r="AC413" i="4"/>
  <c r="AC414" i="4"/>
  <c r="AC415" i="4"/>
  <c r="AC416" i="4"/>
  <c r="AC417" i="4"/>
  <c r="AC419" i="4"/>
  <c r="AC420" i="4"/>
  <c r="AC421" i="4"/>
  <c r="AC422" i="4"/>
  <c r="AC423" i="4"/>
  <c r="AC424" i="4"/>
  <c r="AC425" i="4"/>
  <c r="AC426" i="4"/>
  <c r="AC427" i="4"/>
  <c r="AC428" i="4"/>
  <c r="AC429" i="4"/>
  <c r="AC431" i="4"/>
  <c r="AC432" i="4"/>
  <c r="AC433" i="4"/>
  <c r="AC434" i="4"/>
  <c r="AC418" i="4"/>
  <c r="AC361" i="4"/>
  <c r="AC362" i="4"/>
  <c r="AC363" i="4"/>
  <c r="AC364" i="4"/>
  <c r="AC365" i="4"/>
  <c r="AC366" i="4"/>
  <c r="AC367" i="4"/>
  <c r="AC368" i="4"/>
  <c r="AC369" i="4"/>
  <c r="AC370" i="4"/>
  <c r="AC371" i="4"/>
  <c r="AC372" i="4"/>
  <c r="AC373" i="4"/>
  <c r="AC374" i="4"/>
  <c r="AC376" i="4"/>
  <c r="AC378" i="4"/>
  <c r="AC379" i="4"/>
  <c r="AC375" i="4"/>
  <c r="AC377" i="4"/>
  <c r="AC380" i="4"/>
  <c r="AC381" i="4"/>
  <c r="AC382" i="4"/>
  <c r="AC383" i="4"/>
  <c r="AC384" i="4"/>
  <c r="AC385" i="4"/>
  <c r="AC386" i="4"/>
  <c r="AC387" i="4"/>
  <c r="AC435" i="4"/>
  <c r="AC436" i="4"/>
  <c r="AC437" i="4"/>
  <c r="AC438" i="4"/>
  <c r="AC439" i="4"/>
  <c r="AC440" i="4"/>
  <c r="AC441" i="4"/>
  <c r="AC442" i="4"/>
  <c r="AC443" i="4"/>
  <c r="AC444" i="4"/>
  <c r="AC446" i="4"/>
  <c r="AC445" i="4"/>
  <c r="AC447" i="4"/>
  <c r="AC449" i="4"/>
  <c r="AC451" i="4"/>
  <c r="AC452" i="4"/>
  <c r="AC453" i="4"/>
  <c r="AC454" i="4"/>
  <c r="AC448" i="4"/>
  <c r="AC455" i="4"/>
  <c r="AC456" i="4"/>
  <c r="AC457" i="4"/>
  <c r="AC450" i="4"/>
  <c r="AC458" i="4"/>
  <c r="AC459" i="4"/>
  <c r="AC460" i="4"/>
  <c r="AC461" i="4"/>
  <c r="AC462" i="4"/>
  <c r="AC463" i="4"/>
  <c r="AC464" i="4"/>
  <c r="AC465" i="4"/>
  <c r="AC466" i="4"/>
  <c r="AC467" i="4"/>
  <c r="AC468" i="4"/>
  <c r="AC470" i="4"/>
  <c r="AC471" i="4"/>
  <c r="AC472" i="4"/>
  <c r="AC469" i="4"/>
  <c r="AC473" i="4"/>
  <c r="AC474" i="4"/>
  <c r="AC475" i="4"/>
  <c r="AC476" i="4"/>
  <c r="AC478" i="4"/>
  <c r="AC479" i="4"/>
  <c r="AC481" i="4"/>
  <c r="AC482" i="4"/>
  <c r="AC484" i="4"/>
  <c r="AC485" i="4"/>
  <c r="AC477" i="4"/>
  <c r="AC486" i="4"/>
  <c r="AC487" i="4"/>
  <c r="AC480" i="4"/>
  <c r="AC488" i="4"/>
  <c r="AC483" i="4"/>
  <c r="AC489" i="4"/>
  <c r="AC490" i="4"/>
  <c r="AC491" i="4"/>
  <c r="AC492" i="4"/>
  <c r="AC493" i="4"/>
  <c r="AC494" i="4"/>
  <c r="AC495" i="4"/>
  <c r="AC496" i="4"/>
  <c r="AC497" i="4"/>
  <c r="AC498" i="4"/>
  <c r="AC499" i="4"/>
  <c r="AC500" i="4"/>
  <c r="AC501" i="4"/>
  <c r="AC502" i="4"/>
  <c r="AC503" i="4"/>
  <c r="AC504" i="4"/>
  <c r="AC505" i="4"/>
  <c r="AC506" i="4"/>
  <c r="AC507" i="4"/>
  <c r="AC508" i="4"/>
  <c r="AC509" i="4"/>
  <c r="AC510" i="4"/>
  <c r="AC511" i="4"/>
  <c r="AC512" i="4"/>
  <c r="AC513" i="4"/>
  <c r="AC514" i="4"/>
  <c r="AC515" i="4"/>
  <c r="AC516" i="4"/>
  <c r="AC517" i="4"/>
  <c r="AC518" i="4"/>
  <c r="AC519" i="4"/>
  <c r="AC520" i="4"/>
  <c r="AC521" i="4"/>
  <c r="AC522" i="4"/>
  <c r="AC523" i="4"/>
  <c r="AC524" i="4"/>
  <c r="AC525" i="4"/>
  <c r="AC526" i="4"/>
  <c r="AC527" i="4"/>
  <c r="AC528" i="4"/>
  <c r="AC529" i="4"/>
  <c r="AC530" i="4"/>
  <c r="AC531" i="4"/>
  <c r="AC532" i="4"/>
  <c r="AC533" i="4"/>
  <c r="AC534" i="4"/>
  <c r="AC535" i="4"/>
  <c r="AC536" i="4"/>
  <c r="AC537" i="4"/>
  <c r="AC538" i="4"/>
  <c r="AC539" i="4"/>
  <c r="AC540" i="4"/>
  <c r="AC541" i="4"/>
  <c r="AC542" i="4"/>
  <c r="AC544" i="4"/>
  <c r="AC545" i="4"/>
  <c r="AC546" i="4"/>
  <c r="AC547" i="4"/>
  <c r="AC543" i="4"/>
  <c r="AC548" i="4"/>
  <c r="AC549" i="4"/>
  <c r="AC550" i="4"/>
  <c r="AC551" i="4"/>
  <c r="AC552" i="4"/>
  <c r="AC553" i="4"/>
  <c r="AC554" i="4"/>
  <c r="AC555" i="4"/>
  <c r="AC556" i="4"/>
  <c r="AC557" i="4"/>
  <c r="AC558" i="4"/>
  <c r="AC559" i="4"/>
  <c r="AC560" i="4"/>
  <c r="AC561" i="4"/>
  <c r="AC562" i="4"/>
  <c r="AC563" i="4"/>
  <c r="AC564" i="4"/>
  <c r="AC566" i="4"/>
  <c r="AC567" i="4"/>
  <c r="AC568" i="4"/>
  <c r="AC569" i="4"/>
  <c r="AC570" i="4"/>
  <c r="AC571" i="4"/>
  <c r="AC572" i="4"/>
  <c r="AC573" i="4"/>
  <c r="AC574" i="4"/>
  <c r="AC575" i="4"/>
  <c r="AC576" i="4"/>
  <c r="AC577" i="4"/>
  <c r="AC578" i="4"/>
  <c r="AC579" i="4"/>
  <c r="AC580" i="4"/>
  <c r="AC583" i="4"/>
  <c r="AC584" i="4"/>
  <c r="AC585" i="4"/>
  <c r="AC586" i="4"/>
  <c r="AC587" i="4"/>
  <c r="AC588" i="4"/>
  <c r="AC589" i="4"/>
  <c r="AC590" i="4"/>
  <c r="AC591" i="4"/>
  <c r="AC592" i="4"/>
  <c r="AC565" i="4"/>
  <c r="AC593" i="4"/>
  <c r="AC594" i="4"/>
  <c r="AC595" i="4"/>
  <c r="AC597" i="4"/>
  <c r="AC598" i="4"/>
  <c r="AC599" i="4"/>
  <c r="AC600" i="4"/>
  <c r="AC601" i="4"/>
  <c r="AC602" i="4"/>
  <c r="AC581" i="4"/>
  <c r="AC582" i="4"/>
  <c r="AC603" i="4"/>
  <c r="AC604" i="4"/>
  <c r="AC605" i="4"/>
  <c r="AC606" i="4"/>
  <c r="AC607" i="4"/>
  <c r="AC608" i="4"/>
  <c r="AC609" i="4"/>
  <c r="AC610" i="4"/>
  <c r="AC611" i="4"/>
  <c r="AC612" i="4"/>
  <c r="AC596" i="4"/>
  <c r="AC613" i="4"/>
  <c r="AC614" i="4"/>
  <c r="AC615" i="4"/>
  <c r="AC616" i="4"/>
  <c r="AC617" i="4"/>
  <c r="AC618" i="4"/>
  <c r="AC620" i="4"/>
  <c r="AC621" i="4"/>
  <c r="AC619" i="4"/>
  <c r="AC622" i="4"/>
  <c r="AC623" i="4"/>
  <c r="AC624" i="4"/>
  <c r="AC625" i="4"/>
  <c r="AC626" i="4"/>
  <c r="AC627" i="4"/>
  <c r="AC628" i="4"/>
  <c r="AC629" i="4"/>
  <c r="AC630" i="4"/>
  <c r="AC631" i="4"/>
  <c r="AC632" i="4"/>
  <c r="AC633" i="4"/>
  <c r="AC634" i="4"/>
  <c r="AC635" i="4"/>
  <c r="AC636" i="4"/>
  <c r="AC637" i="4"/>
  <c r="AC638" i="4"/>
  <c r="AC639" i="4"/>
  <c r="AC640" i="4"/>
  <c r="AC641" i="4"/>
  <c r="AC642" i="4"/>
  <c r="AC643" i="4"/>
  <c r="AC644" i="4"/>
  <c r="AC645" i="4"/>
  <c r="AC646" i="4"/>
  <c r="AC648" i="4"/>
  <c r="AC649" i="4"/>
  <c r="AC650" i="4"/>
  <c r="AC651" i="4"/>
  <c r="AC653" i="4"/>
  <c r="AC654" i="4"/>
  <c r="AC655" i="4"/>
  <c r="AC647" i="4"/>
  <c r="AC656" i="4"/>
  <c r="AC657" i="4"/>
  <c r="AC659" i="4"/>
  <c r="AC652" i="4"/>
  <c r="AC658" i="4"/>
  <c r="AC660" i="4"/>
  <c r="AC661" i="4"/>
  <c r="AC662" i="4"/>
  <c r="AC663" i="4"/>
  <c r="AC664" i="4"/>
  <c r="AC665" i="4"/>
  <c r="AC666" i="4"/>
  <c r="AC667" i="4"/>
  <c r="AC668" i="4"/>
  <c r="AC669" i="4"/>
  <c r="AC670" i="4"/>
  <c r="AC671" i="4"/>
  <c r="AC672" i="4"/>
  <c r="AC674" i="4"/>
  <c r="AC675" i="4"/>
  <c r="AC676" i="4"/>
  <c r="AC677" i="4"/>
  <c r="AC678" i="4"/>
  <c r="AC679" i="4"/>
  <c r="AC680" i="4"/>
  <c r="AC681" i="4"/>
  <c r="AC673" i="4"/>
  <c r="AC102" i="4"/>
  <c r="AC103" i="4"/>
  <c r="AC104" i="4"/>
  <c r="AC96" i="4"/>
  <c r="AC97" i="4"/>
  <c r="AC98" i="4"/>
  <c r="AC105" i="4"/>
  <c r="AC122" i="4"/>
  <c r="AC117" i="4"/>
  <c r="AC106" i="4"/>
  <c r="AC107" i="4"/>
  <c r="AC118" i="4"/>
  <c r="AC119" i="4"/>
  <c r="AC114" i="4"/>
  <c r="AC99" i="4"/>
  <c r="AC123" i="4"/>
  <c r="AC100" i="4"/>
  <c r="AC108" i="4"/>
  <c r="AC109" i="4"/>
  <c r="AC110" i="4"/>
  <c r="AC111" i="4"/>
  <c r="AC121" i="4"/>
  <c r="AC101" i="4"/>
  <c r="AC112" i="4"/>
  <c r="AC113" i="4"/>
  <c r="AC120" i="4"/>
  <c r="AC115" i="4"/>
  <c r="AC116" i="4"/>
  <c r="Z51" i="4"/>
  <c r="Z52" i="4"/>
  <c r="Z53" i="4"/>
  <c r="Z54" i="4"/>
  <c r="Z55" i="4"/>
  <c r="Z56" i="4"/>
  <c r="Z57" i="4"/>
  <c r="Z59" i="4"/>
  <c r="Z60" i="4"/>
  <c r="Z61" i="4"/>
  <c r="Z58" i="4"/>
  <c r="Z62" i="4"/>
  <c r="Z63" i="4"/>
  <c r="Z64" i="4"/>
  <c r="Z65" i="4"/>
  <c r="Z67" i="4"/>
  <c r="Z68" i="4"/>
  <c r="Z69" i="4"/>
  <c r="Z70" i="4"/>
  <c r="Z66" i="4"/>
  <c r="Z71" i="4"/>
  <c r="Z72" i="4"/>
  <c r="Z73" i="4"/>
  <c r="Z74" i="4"/>
  <c r="Z75" i="4"/>
  <c r="Z76" i="4"/>
  <c r="Z77" i="4"/>
  <c r="Z78" i="4"/>
  <c r="Z79" i="4"/>
  <c r="Z80" i="4"/>
  <c r="Z81" i="4"/>
  <c r="Z83" i="4"/>
  <c r="Z82" i="4"/>
  <c r="Z84" i="4"/>
  <c r="Z85" i="4"/>
  <c r="Z86" i="4"/>
  <c r="Z87" i="4"/>
  <c r="Z88" i="4"/>
  <c r="Z89" i="4"/>
  <c r="Z90" i="4"/>
  <c r="Z91" i="4"/>
  <c r="Z92" i="4"/>
  <c r="Z93" i="4"/>
  <c r="Z94" i="4"/>
  <c r="Z95" i="4"/>
  <c r="Z124" i="4"/>
  <c r="Z125" i="4"/>
  <c r="Z126" i="4"/>
  <c r="Z127" i="4"/>
  <c r="Z128" i="4"/>
  <c r="Z129" i="4"/>
  <c r="Z130" i="4"/>
  <c r="Z131" i="4"/>
  <c r="Z132" i="4"/>
  <c r="Z133" i="4"/>
  <c r="Z134" i="4"/>
  <c r="Z135" i="4"/>
  <c r="Z137" i="4"/>
  <c r="Z138" i="4"/>
  <c r="Z139" i="4"/>
  <c r="Z140" i="4"/>
  <c r="Z136" i="4"/>
  <c r="Z142" i="4"/>
  <c r="Z143" i="4"/>
  <c r="Z144" i="4"/>
  <c r="Z146" i="4"/>
  <c r="Z147" i="4"/>
  <c r="Z149" i="4"/>
  <c r="Z150" i="4"/>
  <c r="Z151" i="4"/>
  <c r="Z153" i="4"/>
  <c r="Z145" i="4"/>
  <c r="Z154" i="4"/>
  <c r="Z148" i="4"/>
  <c r="Z152" i="4"/>
  <c r="Z155" i="4"/>
  <c r="Z156" i="4"/>
  <c r="Z141" i="4"/>
  <c r="Z157" i="4"/>
  <c r="Z158" i="4"/>
  <c r="Z159" i="4"/>
  <c r="Z160" i="4"/>
  <c r="Z161" i="4"/>
  <c r="Z162" i="4"/>
  <c r="Z163" i="4"/>
  <c r="Z164" i="4"/>
  <c r="Z165" i="4"/>
  <c r="Z166" i="4"/>
  <c r="Z167" i="4"/>
  <c r="Z168" i="4"/>
  <c r="Z169" i="4"/>
  <c r="Z170" i="4"/>
  <c r="Z171" i="4"/>
  <c r="Z172" i="4"/>
  <c r="Z173" i="4"/>
  <c r="Z174" i="4"/>
  <c r="Z175" i="4"/>
  <c r="Z176" i="4"/>
  <c r="Z177" i="4"/>
  <c r="Z178" i="4"/>
  <c r="Z179" i="4"/>
  <c r="Z180" i="4"/>
  <c r="Z181" i="4"/>
  <c r="Z182" i="4"/>
  <c r="Z183" i="4"/>
  <c r="Z184" i="4"/>
  <c r="Z185" i="4"/>
  <c r="Z186" i="4"/>
  <c r="Z187" i="4"/>
  <c r="Z188" i="4"/>
  <c r="Z189" i="4"/>
  <c r="Z190" i="4"/>
  <c r="Z191" i="4"/>
  <c r="Z192" i="4"/>
  <c r="Z193" i="4"/>
  <c r="Z194" i="4"/>
  <c r="Z196" i="4"/>
  <c r="Z197" i="4"/>
  <c r="Z198" i="4"/>
  <c r="Z199" i="4"/>
  <c r="Z200" i="4"/>
  <c r="Z201" i="4"/>
  <c r="Z202" i="4"/>
  <c r="Z203" i="4"/>
  <c r="Z195" i="4"/>
  <c r="Z204" i="4"/>
  <c r="Z205" i="4"/>
  <c r="Z206" i="4"/>
  <c r="Z207" i="4"/>
  <c r="Z208" i="4"/>
  <c r="Z209" i="4"/>
  <c r="Z210" i="4"/>
  <c r="Z211" i="4"/>
  <c r="Z212" i="4"/>
  <c r="Z213" i="4"/>
  <c r="Z214" i="4"/>
  <c r="Z215" i="4"/>
  <c r="Z216" i="4"/>
  <c r="Z217" i="4"/>
  <c r="Z218" i="4"/>
  <c r="Z219" i="4"/>
  <c r="Z220" i="4"/>
  <c r="Z221" i="4"/>
  <c r="Z222" i="4"/>
  <c r="Z223" i="4"/>
  <c r="Z224" i="4"/>
  <c r="Z225" i="4"/>
  <c r="Z226" i="4"/>
  <c r="Z227" i="4"/>
  <c r="Z228" i="4"/>
  <c r="Z229" i="4"/>
  <c r="Z230" i="4"/>
  <c r="Z231" i="4"/>
  <c r="Z233" i="4"/>
  <c r="Z234" i="4"/>
  <c r="Z235" i="4"/>
  <c r="Z236" i="4"/>
  <c r="Z237" i="4"/>
  <c r="Z232" i="4"/>
  <c r="Z238" i="4"/>
  <c r="Z240" i="4"/>
  <c r="Z239" i="4"/>
  <c r="Z241" i="4"/>
  <c r="Z242" i="4"/>
  <c r="Z243" i="4"/>
  <c r="Z244" i="4"/>
  <c r="Z245" i="4"/>
  <c r="Z246" i="4"/>
  <c r="Z247" i="4"/>
  <c r="Z248" i="4"/>
  <c r="Z249" i="4"/>
  <c r="Z251" i="4"/>
  <c r="Z253" i="4"/>
  <c r="Z254" i="4"/>
  <c r="Z255" i="4"/>
  <c r="Z256" i="4"/>
  <c r="Z257" i="4"/>
  <c r="Z250" i="4"/>
  <c r="Z258" i="4"/>
  <c r="Z259" i="4"/>
  <c r="Z260" i="4"/>
  <c r="Z252" i="4"/>
  <c r="Z261" i="4"/>
  <c r="Z262" i="4"/>
  <c r="Z263" i="4"/>
  <c r="Z264" i="4"/>
  <c r="Z265" i="4"/>
  <c r="Z266" i="4"/>
  <c r="Z267" i="4"/>
  <c r="Z268" i="4"/>
  <c r="Z269" i="4"/>
  <c r="Z270" i="4"/>
  <c r="Z271" i="4"/>
  <c r="Z272" i="4"/>
  <c r="Z273" i="4"/>
  <c r="Z274" i="4"/>
  <c r="Z275" i="4"/>
  <c r="Z276" i="4"/>
  <c r="Z277" i="4"/>
  <c r="Z278" i="4"/>
  <c r="Z279" i="4"/>
  <c r="Z280" i="4"/>
  <c r="Z281" i="4"/>
  <c r="Z282" i="4"/>
  <c r="Z283" i="4"/>
  <c r="Z284" i="4"/>
  <c r="Z285" i="4"/>
  <c r="Z286" i="4"/>
  <c r="Z287" i="4"/>
  <c r="Z288" i="4"/>
  <c r="Z289" i="4"/>
  <c r="Z291" i="4"/>
  <c r="Z290" i="4"/>
  <c r="Z292" i="4"/>
  <c r="Z293" i="4"/>
  <c r="Z294" i="4"/>
  <c r="Z295" i="4"/>
  <c r="Z296" i="4"/>
  <c r="Z297" i="4"/>
  <c r="Z298" i="4"/>
  <c r="Z299" i="4"/>
  <c r="Z300" i="4"/>
  <c r="Z301" i="4"/>
  <c r="Z302" i="4"/>
  <c r="Z303" i="4"/>
  <c r="Z304" i="4"/>
  <c r="Z305" i="4"/>
  <c r="Z306" i="4"/>
  <c r="Z307" i="4"/>
  <c r="Z308" i="4"/>
  <c r="Z309" i="4"/>
  <c r="Z310" i="4"/>
  <c r="Z311" i="4"/>
  <c r="Z312" i="4"/>
  <c r="Z313" i="4"/>
  <c r="Z314" i="4"/>
  <c r="Z315" i="4"/>
  <c r="Z316" i="4"/>
  <c r="Z317" i="4"/>
  <c r="Z318" i="4"/>
  <c r="Z319" i="4"/>
  <c r="Z320" i="4"/>
  <c r="Z321" i="4"/>
  <c r="Z322" i="4"/>
  <c r="Z323" i="4"/>
  <c r="Z324" i="4"/>
  <c r="Z325" i="4"/>
  <c r="Z326" i="4"/>
  <c r="Z327" i="4"/>
  <c r="Z328" i="4"/>
  <c r="Z329" i="4"/>
  <c r="Z330" i="4"/>
  <c r="Z331" i="4"/>
  <c r="Z332" i="4"/>
  <c r="Z333" i="4"/>
  <c r="Z334" i="4"/>
  <c r="Z335" i="4"/>
  <c r="Z336" i="4"/>
  <c r="Z337" i="4"/>
  <c r="Z338" i="4"/>
  <c r="Z339" i="4"/>
  <c r="Z340" i="4"/>
  <c r="Z341" i="4"/>
  <c r="Z342" i="4"/>
  <c r="Z343" i="4"/>
  <c r="Z344" i="4"/>
  <c r="Z345" i="4"/>
  <c r="Z346" i="4"/>
  <c r="Z347" i="4"/>
  <c r="Z348" i="4"/>
  <c r="Z349" i="4"/>
  <c r="Z350" i="4"/>
  <c r="Z351" i="4"/>
  <c r="Z352" i="4"/>
  <c r="Z353" i="4"/>
  <c r="Z354" i="4"/>
  <c r="Z355" i="4"/>
  <c r="Z356" i="4"/>
  <c r="Z357" i="4"/>
  <c r="Z358" i="4"/>
  <c r="Z359" i="4"/>
  <c r="Z360" i="4"/>
  <c r="Z388" i="4"/>
  <c r="Z389" i="4"/>
  <c r="Z397" i="4"/>
  <c r="Z390" i="4"/>
  <c r="Z430" i="4"/>
  <c r="Z391" i="4"/>
  <c r="Z392" i="4"/>
  <c r="Z393" i="4"/>
  <c r="Z394" i="4"/>
  <c r="Z395" i="4"/>
  <c r="Z396" i="4"/>
  <c r="Z398" i="4"/>
  <c r="Z399" i="4"/>
  <c r="Z400" i="4"/>
  <c r="Z401" i="4"/>
  <c r="Z402" i="4"/>
  <c r="Z403" i="4"/>
  <c r="Z404" i="4"/>
  <c r="Z405" i="4"/>
  <c r="Z406" i="4"/>
  <c r="Z407" i="4"/>
  <c r="Z408" i="4"/>
  <c r="Z409" i="4"/>
  <c r="Z410" i="4"/>
  <c r="Z411" i="4"/>
  <c r="Z412" i="4"/>
  <c r="Z413" i="4"/>
  <c r="Z414" i="4"/>
  <c r="Z415" i="4"/>
  <c r="Z416" i="4"/>
  <c r="Z417" i="4"/>
  <c r="Z419" i="4"/>
  <c r="Z420" i="4"/>
  <c r="Z421" i="4"/>
  <c r="Z422" i="4"/>
  <c r="Z423" i="4"/>
  <c r="Z424" i="4"/>
  <c r="Z425" i="4"/>
  <c r="Z426" i="4"/>
  <c r="Z427" i="4"/>
  <c r="Z428" i="4"/>
  <c r="Z429" i="4"/>
  <c r="Z431" i="4"/>
  <c r="Z432" i="4"/>
  <c r="Z433" i="4"/>
  <c r="Z434" i="4"/>
  <c r="Z418" i="4"/>
  <c r="Z361" i="4"/>
  <c r="Z362" i="4"/>
  <c r="Z363" i="4"/>
  <c r="Z364" i="4"/>
  <c r="Z365" i="4"/>
  <c r="Z366" i="4"/>
  <c r="Z367" i="4"/>
  <c r="Z368" i="4"/>
  <c r="Z369" i="4"/>
  <c r="Z370" i="4"/>
  <c r="Z371" i="4"/>
  <c r="Z372" i="4"/>
  <c r="Z373" i="4"/>
  <c r="Z374" i="4"/>
  <c r="Z376" i="4"/>
  <c r="Z378" i="4"/>
  <c r="Z379" i="4"/>
  <c r="Z375" i="4"/>
  <c r="Z377" i="4"/>
  <c r="Z380" i="4"/>
  <c r="Z381" i="4"/>
  <c r="Z382" i="4"/>
  <c r="Z383" i="4"/>
  <c r="Z384" i="4"/>
  <c r="Z385" i="4"/>
  <c r="Z386" i="4"/>
  <c r="Z387" i="4"/>
  <c r="Z435" i="4"/>
  <c r="Z436" i="4"/>
  <c r="Z437" i="4"/>
  <c r="Z438" i="4"/>
  <c r="Z439" i="4"/>
  <c r="Z440" i="4"/>
  <c r="Z441" i="4"/>
  <c r="Z442" i="4"/>
  <c r="Z443" i="4"/>
  <c r="Z444" i="4"/>
  <c r="Z446" i="4"/>
  <c r="Z445" i="4"/>
  <c r="Z447" i="4"/>
  <c r="Z449" i="4"/>
  <c r="Z451" i="4"/>
  <c r="Z452" i="4"/>
  <c r="Z453" i="4"/>
  <c r="Z454" i="4"/>
  <c r="Z448" i="4"/>
  <c r="Z455" i="4"/>
  <c r="Z456" i="4"/>
  <c r="Z457" i="4"/>
  <c r="Z450" i="4"/>
  <c r="Z458" i="4"/>
  <c r="Z459" i="4"/>
  <c r="Z460" i="4"/>
  <c r="Z461" i="4"/>
  <c r="Z462" i="4"/>
  <c r="Z463" i="4"/>
  <c r="Z464" i="4"/>
  <c r="Z465" i="4"/>
  <c r="Z466" i="4"/>
  <c r="Z467" i="4"/>
  <c r="Z468" i="4"/>
  <c r="Z470" i="4"/>
  <c r="Z471" i="4"/>
  <c r="Z472" i="4"/>
  <c r="Z469" i="4"/>
  <c r="Z473" i="4"/>
  <c r="Z474" i="4"/>
  <c r="Z475" i="4"/>
  <c r="Z476" i="4"/>
  <c r="Z478" i="4"/>
  <c r="Z479" i="4"/>
  <c r="Z481" i="4"/>
  <c r="Z482" i="4"/>
  <c r="Z484" i="4"/>
  <c r="Z485" i="4"/>
  <c r="Z477" i="4"/>
  <c r="Z486" i="4"/>
  <c r="Z487" i="4"/>
  <c r="Z480" i="4"/>
  <c r="Z488" i="4"/>
  <c r="Z483" i="4"/>
  <c r="Z489" i="4"/>
  <c r="Z490" i="4"/>
  <c r="Z491" i="4"/>
  <c r="Z492" i="4"/>
  <c r="Z493" i="4"/>
  <c r="Z494" i="4"/>
  <c r="Z495" i="4"/>
  <c r="Z496" i="4"/>
  <c r="Z497" i="4"/>
  <c r="Z498" i="4"/>
  <c r="Z499" i="4"/>
  <c r="Z500" i="4"/>
  <c r="Z501" i="4"/>
  <c r="Z502" i="4"/>
  <c r="Z503" i="4"/>
  <c r="Z504" i="4"/>
  <c r="Z505" i="4"/>
  <c r="Z506" i="4"/>
  <c r="Z507" i="4"/>
  <c r="Z508" i="4"/>
  <c r="Z509" i="4"/>
  <c r="Z510" i="4"/>
  <c r="Z511" i="4"/>
  <c r="Z512" i="4"/>
  <c r="Z513" i="4"/>
  <c r="Z514" i="4"/>
  <c r="Z515" i="4"/>
  <c r="Z516" i="4"/>
  <c r="Z517" i="4"/>
  <c r="Z518" i="4"/>
  <c r="Z519" i="4"/>
  <c r="Z520" i="4"/>
  <c r="Z521" i="4"/>
  <c r="Z522" i="4"/>
  <c r="Z523" i="4"/>
  <c r="Z524" i="4"/>
  <c r="Z525" i="4"/>
  <c r="Z526" i="4"/>
  <c r="Z527" i="4"/>
  <c r="Z528" i="4"/>
  <c r="Z529" i="4"/>
  <c r="Z530" i="4"/>
  <c r="Z531" i="4"/>
  <c r="Z532" i="4"/>
  <c r="Z533" i="4"/>
  <c r="Z534" i="4"/>
  <c r="Z535" i="4"/>
  <c r="Z536" i="4"/>
  <c r="Z537" i="4"/>
  <c r="Z538" i="4"/>
  <c r="Z539" i="4"/>
  <c r="Z540" i="4"/>
  <c r="Z541" i="4"/>
  <c r="Z542" i="4"/>
  <c r="Z544" i="4"/>
  <c r="Z545" i="4"/>
  <c r="Z546" i="4"/>
  <c r="Z547" i="4"/>
  <c r="Z543" i="4"/>
  <c r="Z548" i="4"/>
  <c r="Z549" i="4"/>
  <c r="Z550" i="4"/>
  <c r="Z551" i="4"/>
  <c r="Z552" i="4"/>
  <c r="Z553" i="4"/>
  <c r="Z554" i="4"/>
  <c r="Z555" i="4"/>
  <c r="Z556" i="4"/>
  <c r="Z557" i="4"/>
  <c r="Z558" i="4"/>
  <c r="Z559" i="4"/>
  <c r="Z560" i="4"/>
  <c r="Z561" i="4"/>
  <c r="Z562" i="4"/>
  <c r="Z563" i="4"/>
  <c r="Z564" i="4"/>
  <c r="Z566" i="4"/>
  <c r="Z567" i="4"/>
  <c r="Z568" i="4"/>
  <c r="Z569" i="4"/>
  <c r="Z570" i="4"/>
  <c r="Z571" i="4"/>
  <c r="Z572" i="4"/>
  <c r="Z573" i="4"/>
  <c r="Z574" i="4"/>
  <c r="Z575" i="4"/>
  <c r="Z576" i="4"/>
  <c r="Z577" i="4"/>
  <c r="Z578" i="4"/>
  <c r="Z579" i="4"/>
  <c r="Z580" i="4"/>
  <c r="Z583" i="4"/>
  <c r="Z584" i="4"/>
  <c r="Z585" i="4"/>
  <c r="Z586" i="4"/>
  <c r="Z587" i="4"/>
  <c r="Z588" i="4"/>
  <c r="Z589" i="4"/>
  <c r="Z590" i="4"/>
  <c r="Z591" i="4"/>
  <c r="Z592" i="4"/>
  <c r="Z565" i="4"/>
  <c r="Z593" i="4"/>
  <c r="Z594" i="4"/>
  <c r="Z595" i="4"/>
  <c r="Z597" i="4"/>
  <c r="Z598" i="4"/>
  <c r="Z599" i="4"/>
  <c r="Z600" i="4"/>
  <c r="Z601" i="4"/>
  <c r="Z602" i="4"/>
  <c r="Z581" i="4"/>
  <c r="Z582" i="4"/>
  <c r="Z603" i="4"/>
  <c r="Z604" i="4"/>
  <c r="Z605" i="4"/>
  <c r="Z606" i="4"/>
  <c r="Z607" i="4"/>
  <c r="Z608" i="4"/>
  <c r="Z609" i="4"/>
  <c r="Z610" i="4"/>
  <c r="Z611" i="4"/>
  <c r="Z612" i="4"/>
  <c r="Z596" i="4"/>
  <c r="Z613" i="4"/>
  <c r="Z614" i="4"/>
  <c r="Z615" i="4"/>
  <c r="Z616" i="4"/>
  <c r="Z617" i="4"/>
  <c r="Z618" i="4"/>
  <c r="Z620" i="4"/>
  <c r="Z621" i="4"/>
  <c r="Z619" i="4"/>
  <c r="Z622" i="4"/>
  <c r="Z623" i="4"/>
  <c r="Z624" i="4"/>
  <c r="Z625" i="4"/>
  <c r="Z626" i="4"/>
  <c r="Z627" i="4"/>
  <c r="Z628" i="4"/>
  <c r="Z629" i="4"/>
  <c r="Z630" i="4"/>
  <c r="Z631" i="4"/>
  <c r="Z632" i="4"/>
  <c r="Z633" i="4"/>
  <c r="Z634" i="4"/>
  <c r="Z635" i="4"/>
  <c r="Z636" i="4"/>
  <c r="Z637" i="4"/>
  <c r="Z638" i="4"/>
  <c r="Z639" i="4"/>
  <c r="Z640" i="4"/>
  <c r="Z641" i="4"/>
  <c r="Z642" i="4"/>
  <c r="Z643" i="4"/>
  <c r="Z644" i="4"/>
  <c r="Z645" i="4"/>
  <c r="Z646" i="4"/>
  <c r="Z648" i="4"/>
  <c r="Z649" i="4"/>
  <c r="Z650" i="4"/>
  <c r="Z651" i="4"/>
  <c r="Z653" i="4"/>
  <c r="Z654" i="4"/>
  <c r="Z655" i="4"/>
  <c r="Z647" i="4"/>
  <c r="Z656" i="4"/>
  <c r="Z657" i="4"/>
  <c r="Z659" i="4"/>
  <c r="Z652" i="4"/>
  <c r="Z658" i="4"/>
  <c r="Z660" i="4"/>
  <c r="Z661" i="4"/>
  <c r="Z662" i="4"/>
  <c r="Z663" i="4"/>
  <c r="Z664" i="4"/>
  <c r="Z665" i="4"/>
  <c r="Z666" i="4"/>
  <c r="Z667" i="4"/>
  <c r="Z668" i="4"/>
  <c r="Z669" i="4"/>
  <c r="Z670" i="4"/>
  <c r="Z671" i="4"/>
  <c r="Z672" i="4"/>
  <c r="Z674" i="4"/>
  <c r="Z675" i="4"/>
  <c r="Z676" i="4"/>
  <c r="Z677" i="4"/>
  <c r="Z678" i="4"/>
  <c r="Z679" i="4"/>
  <c r="Z680" i="4"/>
  <c r="Z681" i="4"/>
  <c r="Z673" i="4"/>
  <c r="Z102" i="4"/>
  <c r="Z103" i="4"/>
  <c r="Z104" i="4"/>
  <c r="Z96" i="4"/>
  <c r="Z97" i="4"/>
  <c r="Z98" i="4"/>
  <c r="Z105" i="4"/>
  <c r="Z122" i="4"/>
  <c r="Z117" i="4"/>
  <c r="Z106" i="4"/>
  <c r="Z107" i="4"/>
  <c r="Z118" i="4"/>
  <c r="Z119" i="4"/>
  <c r="Z114" i="4"/>
  <c r="Z99" i="4"/>
  <c r="Z123" i="4"/>
  <c r="Z100" i="4"/>
  <c r="Z108" i="4"/>
  <c r="Z109" i="4"/>
  <c r="Z110" i="4"/>
  <c r="Z111" i="4"/>
  <c r="Z121" i="4"/>
  <c r="Z101" i="4"/>
  <c r="Z112" i="4"/>
  <c r="Z113" i="4"/>
  <c r="Z120" i="4"/>
  <c r="Z115" i="4"/>
  <c r="Z116" i="4"/>
  <c r="W52" i="4"/>
  <c r="W53" i="4"/>
  <c r="W54" i="4"/>
  <c r="W55" i="4"/>
  <c r="W56" i="4"/>
  <c r="W57" i="4"/>
  <c r="W59" i="4"/>
  <c r="W60" i="4"/>
  <c r="W61" i="4"/>
  <c r="W58" i="4"/>
  <c r="W62" i="4"/>
  <c r="W63" i="4"/>
  <c r="W64" i="4"/>
  <c r="W65" i="4"/>
  <c r="W67" i="4"/>
  <c r="W68" i="4"/>
  <c r="W69" i="4"/>
  <c r="W70" i="4"/>
  <c r="W66" i="4"/>
  <c r="W71" i="4"/>
  <c r="W72" i="4"/>
  <c r="W73" i="4"/>
  <c r="W74" i="4"/>
  <c r="W75" i="4"/>
  <c r="W76" i="4"/>
  <c r="W77" i="4"/>
  <c r="W78" i="4"/>
  <c r="W79" i="4"/>
  <c r="W80" i="4"/>
  <c r="W81" i="4"/>
  <c r="W83" i="4"/>
  <c r="W82" i="4"/>
  <c r="W84" i="4"/>
  <c r="W85" i="4"/>
  <c r="W86" i="4"/>
  <c r="W87" i="4"/>
  <c r="W88" i="4"/>
  <c r="W89" i="4"/>
  <c r="W90" i="4"/>
  <c r="W91" i="4"/>
  <c r="W92" i="4"/>
  <c r="W93" i="4"/>
  <c r="W94" i="4"/>
  <c r="W95" i="4"/>
  <c r="W124" i="4"/>
  <c r="W125" i="4"/>
  <c r="W126" i="4"/>
  <c r="W127" i="4"/>
  <c r="W128" i="4"/>
  <c r="W129" i="4"/>
  <c r="W130" i="4"/>
  <c r="W131" i="4"/>
  <c r="W132" i="4"/>
  <c r="W133" i="4"/>
  <c r="W134" i="4"/>
  <c r="W135" i="4"/>
  <c r="W137" i="4"/>
  <c r="W138" i="4"/>
  <c r="W139" i="4"/>
  <c r="W140" i="4"/>
  <c r="W136" i="4"/>
  <c r="W142" i="4"/>
  <c r="W143" i="4"/>
  <c r="W144" i="4"/>
  <c r="W146" i="4"/>
  <c r="W147" i="4"/>
  <c r="W149" i="4"/>
  <c r="W150" i="4"/>
  <c r="W151" i="4"/>
  <c r="W153" i="4"/>
  <c r="W145" i="4"/>
  <c r="W154" i="4"/>
  <c r="W148" i="4"/>
  <c r="W152" i="4"/>
  <c r="W155" i="4"/>
  <c r="W156" i="4"/>
  <c r="W141" i="4"/>
  <c r="W157" i="4"/>
  <c r="W158" i="4"/>
  <c r="W159" i="4"/>
  <c r="W160" i="4"/>
  <c r="W161" i="4"/>
  <c r="W162" i="4"/>
  <c r="W163" i="4"/>
  <c r="W164" i="4"/>
  <c r="W165" i="4"/>
  <c r="W166" i="4"/>
  <c r="W167" i="4"/>
  <c r="W168" i="4"/>
  <c r="W169" i="4"/>
  <c r="W170" i="4"/>
  <c r="W171" i="4"/>
  <c r="W172" i="4"/>
  <c r="W173" i="4"/>
  <c r="W174" i="4"/>
  <c r="W175" i="4"/>
  <c r="W176" i="4"/>
  <c r="W177" i="4"/>
  <c r="W178" i="4"/>
  <c r="W179" i="4"/>
  <c r="W180" i="4"/>
  <c r="W181" i="4"/>
  <c r="W206" i="4"/>
  <c r="W207" i="4"/>
  <c r="W208" i="4"/>
  <c r="W209" i="4"/>
  <c r="W210" i="4"/>
  <c r="W211" i="4"/>
  <c r="W212" i="4"/>
  <c r="W213" i="4"/>
  <c r="W214" i="4"/>
  <c r="W215" i="4"/>
  <c r="W216" i="4"/>
  <c r="W217" i="4"/>
  <c r="W218" i="4"/>
  <c r="W219" i="4"/>
  <c r="W220" i="4"/>
  <c r="W221" i="4"/>
  <c r="W222" i="4"/>
  <c r="W223" i="4"/>
  <c r="W224" i="4"/>
  <c r="W225" i="4"/>
  <c r="W226" i="4"/>
  <c r="W227" i="4"/>
  <c r="W228" i="4"/>
  <c r="W229" i="4"/>
  <c r="W230" i="4"/>
  <c r="W231" i="4"/>
  <c r="W233" i="4"/>
  <c r="W234" i="4"/>
  <c r="W235" i="4"/>
  <c r="W236" i="4"/>
  <c r="W237" i="4"/>
  <c r="W232" i="4"/>
  <c r="W238" i="4"/>
  <c r="W240" i="4"/>
  <c r="W239" i="4"/>
  <c r="W241" i="4"/>
  <c r="W242" i="4"/>
  <c r="W243" i="4"/>
  <c r="W244" i="4"/>
  <c r="W245" i="4"/>
  <c r="W246" i="4"/>
  <c r="W247" i="4"/>
  <c r="W248" i="4"/>
  <c r="W249" i="4"/>
  <c r="W251" i="4"/>
  <c r="W253" i="4"/>
  <c r="W254" i="4"/>
  <c r="W255" i="4"/>
  <c r="W256" i="4"/>
  <c r="W257" i="4"/>
  <c r="W250" i="4"/>
  <c r="W258" i="4"/>
  <c r="W259" i="4"/>
  <c r="W260" i="4"/>
  <c r="W252" i="4"/>
  <c r="W261" i="4"/>
  <c r="W262" i="4"/>
  <c r="W263" i="4"/>
  <c r="W264" i="4"/>
  <c r="W265" i="4"/>
  <c r="W266" i="4"/>
  <c r="W267" i="4"/>
  <c r="W268" i="4"/>
  <c r="W269" i="4"/>
  <c r="W270" i="4"/>
  <c r="W271" i="4"/>
  <c r="W272" i="4"/>
  <c r="W273" i="4"/>
  <c r="W274" i="4"/>
  <c r="W275" i="4"/>
  <c r="W276" i="4"/>
  <c r="W277" i="4"/>
  <c r="W278" i="4"/>
  <c r="W279" i="4"/>
  <c r="W280" i="4"/>
  <c r="W281" i="4"/>
  <c r="W282" i="4"/>
  <c r="W283" i="4"/>
  <c r="W284" i="4"/>
  <c r="W285" i="4"/>
  <c r="W286" i="4"/>
  <c r="W287" i="4"/>
  <c r="W288" i="4"/>
  <c r="W289" i="4"/>
  <c r="W291" i="4"/>
  <c r="W290" i="4"/>
  <c r="W292" i="4"/>
  <c r="W293" i="4"/>
  <c r="W294" i="4"/>
  <c r="W295" i="4"/>
  <c r="W296" i="4"/>
  <c r="W297" i="4"/>
  <c r="W298" i="4"/>
  <c r="W299" i="4"/>
  <c r="W300" i="4"/>
  <c r="W301" i="4"/>
  <c r="W302" i="4"/>
  <c r="W303" i="4"/>
  <c r="W304" i="4"/>
  <c r="W305" i="4"/>
  <c r="W306" i="4"/>
  <c r="W307" i="4"/>
  <c r="W308" i="4"/>
  <c r="W309" i="4"/>
  <c r="W310" i="4"/>
  <c r="W311" i="4"/>
  <c r="W312" i="4"/>
  <c r="W313" i="4"/>
  <c r="W314" i="4"/>
  <c r="W315" i="4"/>
  <c r="W316" i="4"/>
  <c r="W317" i="4"/>
  <c r="W318" i="4"/>
  <c r="W319" i="4"/>
  <c r="W320" i="4"/>
  <c r="W321" i="4"/>
  <c r="W322" i="4"/>
  <c r="W323" i="4"/>
  <c r="W324" i="4"/>
  <c r="W325" i="4"/>
  <c r="W326" i="4"/>
  <c r="W327" i="4"/>
  <c r="W328" i="4"/>
  <c r="W329" i="4"/>
  <c r="W330" i="4"/>
  <c r="W331" i="4"/>
  <c r="W332" i="4"/>
  <c r="W333" i="4"/>
  <c r="W334" i="4"/>
  <c r="W335" i="4"/>
  <c r="W336" i="4"/>
  <c r="W337" i="4"/>
  <c r="W338" i="4"/>
  <c r="W339" i="4"/>
  <c r="W340" i="4"/>
  <c r="W341" i="4"/>
  <c r="W342" i="4"/>
  <c r="W343" i="4"/>
  <c r="W344" i="4"/>
  <c r="W345" i="4"/>
  <c r="W346" i="4"/>
  <c r="W347" i="4"/>
  <c r="W348" i="4"/>
  <c r="W349" i="4"/>
  <c r="W350" i="4"/>
  <c r="W351" i="4"/>
  <c r="W352" i="4"/>
  <c r="W353" i="4"/>
  <c r="W354" i="4"/>
  <c r="W355" i="4"/>
  <c r="W356" i="4"/>
  <c r="W357" i="4"/>
  <c r="W358" i="4"/>
  <c r="W359" i="4"/>
  <c r="W360" i="4"/>
  <c r="W388" i="4"/>
  <c r="W389" i="4"/>
  <c r="W397" i="4"/>
  <c r="W390" i="4"/>
  <c r="W430" i="4"/>
  <c r="W391" i="4"/>
  <c r="W392" i="4"/>
  <c r="W393" i="4"/>
  <c r="W394" i="4"/>
  <c r="W395" i="4"/>
  <c r="W396" i="4"/>
  <c r="W398" i="4"/>
  <c r="W399" i="4"/>
  <c r="W400" i="4"/>
  <c r="W401" i="4"/>
  <c r="W402" i="4"/>
  <c r="W403" i="4"/>
  <c r="W404" i="4"/>
  <c r="W405" i="4"/>
  <c r="W406" i="4"/>
  <c r="W407" i="4"/>
  <c r="W408" i="4"/>
  <c r="W409" i="4"/>
  <c r="W410" i="4"/>
  <c r="W411" i="4"/>
  <c r="W412" i="4"/>
  <c r="W413" i="4"/>
  <c r="W414" i="4"/>
  <c r="W415" i="4"/>
  <c r="W416" i="4"/>
  <c r="W417" i="4"/>
  <c r="W419" i="4"/>
  <c r="W420" i="4"/>
  <c r="W421" i="4"/>
  <c r="W422" i="4"/>
  <c r="W423" i="4"/>
  <c r="W424" i="4"/>
  <c r="W425" i="4"/>
  <c r="W426" i="4"/>
  <c r="W427" i="4"/>
  <c r="W428" i="4"/>
  <c r="W429" i="4"/>
  <c r="W431" i="4"/>
  <c r="W432" i="4"/>
  <c r="W433" i="4"/>
  <c r="W434" i="4"/>
  <c r="W418" i="4"/>
  <c r="W361" i="4"/>
  <c r="W362" i="4"/>
  <c r="W363" i="4"/>
  <c r="W364" i="4"/>
  <c r="W365" i="4"/>
  <c r="W366" i="4"/>
  <c r="W367" i="4"/>
  <c r="W368" i="4"/>
  <c r="W369" i="4"/>
  <c r="W370" i="4"/>
  <c r="W371" i="4"/>
  <c r="W372" i="4"/>
  <c r="W373" i="4"/>
  <c r="W374" i="4"/>
  <c r="W376" i="4"/>
  <c r="W378" i="4"/>
  <c r="W379" i="4"/>
  <c r="W375" i="4"/>
  <c r="W377" i="4"/>
  <c r="W380" i="4"/>
  <c r="W381" i="4"/>
  <c r="W382" i="4"/>
  <c r="W383" i="4"/>
  <c r="W384" i="4"/>
  <c r="W385" i="4"/>
  <c r="W386" i="4"/>
  <c r="W387" i="4"/>
  <c r="W435" i="4"/>
  <c r="W436" i="4"/>
  <c r="W437" i="4"/>
  <c r="W438" i="4"/>
  <c r="W439" i="4"/>
  <c r="W440" i="4"/>
  <c r="W441" i="4"/>
  <c r="W442" i="4"/>
  <c r="W443" i="4"/>
  <c r="W444" i="4"/>
  <c r="W446" i="4"/>
  <c r="W445" i="4"/>
  <c r="W447" i="4"/>
  <c r="W449" i="4"/>
  <c r="W451" i="4"/>
  <c r="W452" i="4"/>
  <c r="W453" i="4"/>
  <c r="W454" i="4"/>
  <c r="W448" i="4"/>
  <c r="W455" i="4"/>
  <c r="W456" i="4"/>
  <c r="W457" i="4"/>
  <c r="W450" i="4"/>
  <c r="W458" i="4"/>
  <c r="W459" i="4"/>
  <c r="W460" i="4"/>
  <c r="W461" i="4"/>
  <c r="W462" i="4"/>
  <c r="W463" i="4"/>
  <c r="W464" i="4"/>
  <c r="W465" i="4"/>
  <c r="W466" i="4"/>
  <c r="W467" i="4"/>
  <c r="W468" i="4"/>
  <c r="W470" i="4"/>
  <c r="W471" i="4"/>
  <c r="W472" i="4"/>
  <c r="W469" i="4"/>
  <c r="W473" i="4"/>
  <c r="W474" i="4"/>
  <c r="W475" i="4"/>
  <c r="W476" i="4"/>
  <c r="W478" i="4"/>
  <c r="W479" i="4"/>
  <c r="W481" i="4"/>
  <c r="W482" i="4"/>
  <c r="W484" i="4"/>
  <c r="W485" i="4"/>
  <c r="W477" i="4"/>
  <c r="W486" i="4"/>
  <c r="W487" i="4"/>
  <c r="W480" i="4"/>
  <c r="W488" i="4"/>
  <c r="W483" i="4"/>
  <c r="W489" i="4"/>
  <c r="W490" i="4"/>
  <c r="W491" i="4"/>
  <c r="W492" i="4"/>
  <c r="W493" i="4"/>
  <c r="W494" i="4"/>
  <c r="W495" i="4"/>
  <c r="W496" i="4"/>
  <c r="W497" i="4"/>
  <c r="W498" i="4"/>
  <c r="W499" i="4"/>
  <c r="W500" i="4"/>
  <c r="W501" i="4"/>
  <c r="W502" i="4"/>
  <c r="W503" i="4"/>
  <c r="W504" i="4"/>
  <c r="W505" i="4"/>
  <c r="W506" i="4"/>
  <c r="W507" i="4"/>
  <c r="W508" i="4"/>
  <c r="W509" i="4"/>
  <c r="W510" i="4"/>
  <c r="W511" i="4"/>
  <c r="W512" i="4"/>
  <c r="W513" i="4"/>
  <c r="W514" i="4"/>
  <c r="W515" i="4"/>
  <c r="W516" i="4"/>
  <c r="W517" i="4"/>
  <c r="W518" i="4"/>
  <c r="W519" i="4"/>
  <c r="W520" i="4"/>
  <c r="W521" i="4"/>
  <c r="W522" i="4"/>
  <c r="W523" i="4"/>
  <c r="W524" i="4"/>
  <c r="W525" i="4"/>
  <c r="W526" i="4"/>
  <c r="W527" i="4"/>
  <c r="W528" i="4"/>
  <c r="W529" i="4"/>
  <c r="W530" i="4"/>
  <c r="W531" i="4"/>
  <c r="W532" i="4"/>
  <c r="W533" i="4"/>
  <c r="W534" i="4"/>
  <c r="W535" i="4"/>
  <c r="W536" i="4"/>
  <c r="W537" i="4"/>
  <c r="W538" i="4"/>
  <c r="W539" i="4"/>
  <c r="W540" i="4"/>
  <c r="W541" i="4"/>
  <c r="W542" i="4"/>
  <c r="W544" i="4"/>
  <c r="W545" i="4"/>
  <c r="W546" i="4"/>
  <c r="W547" i="4"/>
  <c r="W543" i="4"/>
  <c r="W548" i="4"/>
  <c r="W549" i="4"/>
  <c r="W550" i="4"/>
  <c r="W551" i="4"/>
  <c r="W552" i="4"/>
  <c r="W553" i="4"/>
  <c r="W554" i="4"/>
  <c r="W555" i="4"/>
  <c r="W556" i="4"/>
  <c r="W557" i="4"/>
  <c r="W558" i="4"/>
  <c r="W559" i="4"/>
  <c r="W560" i="4"/>
  <c r="W561" i="4"/>
  <c r="W562" i="4"/>
  <c r="W563" i="4"/>
  <c r="W564" i="4"/>
  <c r="W566" i="4"/>
  <c r="W567" i="4"/>
  <c r="W568" i="4"/>
  <c r="W569" i="4"/>
  <c r="W570" i="4"/>
  <c r="W571" i="4"/>
  <c r="W572" i="4"/>
  <c r="W573" i="4"/>
  <c r="W574" i="4"/>
  <c r="W575" i="4"/>
  <c r="W576" i="4"/>
  <c r="W577" i="4"/>
  <c r="W578" i="4"/>
  <c r="W579" i="4"/>
  <c r="W580" i="4"/>
  <c r="W583" i="4"/>
  <c r="W584" i="4"/>
  <c r="W585" i="4"/>
  <c r="W586" i="4"/>
  <c r="W587" i="4"/>
  <c r="W588" i="4"/>
  <c r="W589" i="4"/>
  <c r="W590" i="4"/>
  <c r="W591" i="4"/>
  <c r="W592" i="4"/>
  <c r="W565" i="4"/>
  <c r="W593" i="4"/>
  <c r="W594" i="4"/>
  <c r="W595" i="4"/>
  <c r="W597" i="4"/>
  <c r="W598" i="4"/>
  <c r="W599" i="4"/>
  <c r="W600" i="4"/>
  <c r="W601" i="4"/>
  <c r="W602" i="4"/>
  <c r="W581" i="4"/>
  <c r="W582" i="4"/>
  <c r="W603" i="4"/>
  <c r="W604" i="4"/>
  <c r="W605" i="4"/>
  <c r="W606" i="4"/>
  <c r="W607" i="4"/>
  <c r="W608" i="4"/>
  <c r="W609" i="4"/>
  <c r="W610" i="4"/>
  <c r="W611" i="4"/>
  <c r="W612" i="4"/>
  <c r="W596" i="4"/>
  <c r="W613" i="4"/>
  <c r="W614" i="4"/>
  <c r="W615" i="4"/>
  <c r="W616" i="4"/>
  <c r="W617" i="4"/>
  <c r="W618" i="4"/>
  <c r="W620" i="4"/>
  <c r="W621" i="4"/>
  <c r="W619" i="4"/>
  <c r="W622" i="4"/>
  <c r="W623" i="4"/>
  <c r="W624" i="4"/>
  <c r="W625" i="4"/>
  <c r="W626" i="4"/>
  <c r="W627" i="4"/>
  <c r="W628" i="4"/>
  <c r="W629" i="4"/>
  <c r="W630" i="4"/>
  <c r="W631" i="4"/>
  <c r="W632" i="4"/>
  <c r="W633" i="4"/>
  <c r="W634" i="4"/>
  <c r="W635" i="4"/>
  <c r="W636" i="4"/>
  <c r="W637" i="4"/>
  <c r="W638" i="4"/>
  <c r="W639" i="4"/>
  <c r="W640" i="4"/>
  <c r="W641" i="4"/>
  <c r="W642" i="4"/>
  <c r="W643" i="4"/>
  <c r="W644" i="4"/>
  <c r="W645" i="4"/>
  <c r="W646" i="4"/>
  <c r="W648" i="4"/>
  <c r="W649" i="4"/>
  <c r="W650" i="4"/>
  <c r="W651" i="4"/>
  <c r="W653" i="4"/>
  <c r="W654" i="4"/>
  <c r="W655" i="4"/>
  <c r="W647" i="4"/>
  <c r="W656" i="4"/>
  <c r="W657" i="4"/>
  <c r="W659" i="4"/>
  <c r="W652" i="4"/>
  <c r="W658" i="4"/>
  <c r="W660" i="4"/>
  <c r="W661" i="4"/>
  <c r="W662" i="4"/>
  <c r="W663" i="4"/>
  <c r="W664" i="4"/>
  <c r="W665" i="4"/>
  <c r="W666" i="4"/>
  <c r="W667" i="4"/>
  <c r="W668" i="4"/>
  <c r="W669" i="4"/>
  <c r="W670" i="4"/>
  <c r="W671" i="4"/>
  <c r="W672" i="4"/>
  <c r="W674" i="4"/>
  <c r="W675" i="4"/>
  <c r="W676" i="4"/>
  <c r="W677" i="4"/>
  <c r="W678" i="4"/>
  <c r="W679" i="4"/>
  <c r="W680" i="4"/>
  <c r="W681" i="4"/>
  <c r="W673" i="4"/>
  <c r="W102" i="4"/>
  <c r="W103" i="4"/>
  <c r="W104" i="4"/>
  <c r="W96" i="4"/>
  <c r="W97" i="4"/>
  <c r="W98" i="4"/>
  <c r="W105" i="4"/>
  <c r="W122" i="4"/>
  <c r="W117" i="4"/>
  <c r="W106" i="4"/>
  <c r="W107" i="4"/>
  <c r="W118" i="4"/>
  <c r="W119" i="4"/>
  <c r="W114" i="4"/>
  <c r="W99" i="4"/>
  <c r="W123" i="4"/>
  <c r="W100" i="4"/>
  <c r="W108" i="4"/>
  <c r="W109" i="4"/>
  <c r="W110" i="4"/>
  <c r="W111" i="4"/>
  <c r="W121" i="4"/>
  <c r="W101" i="4"/>
  <c r="W112" i="4"/>
  <c r="W113" i="4"/>
  <c r="W120" i="4"/>
  <c r="W115" i="4"/>
  <c r="W116" i="4"/>
  <c r="T51" i="4"/>
  <c r="T52" i="4"/>
  <c r="T53" i="4"/>
  <c r="T54" i="4"/>
  <c r="T55" i="4"/>
  <c r="T56" i="4"/>
  <c r="T57" i="4"/>
  <c r="T59" i="4"/>
  <c r="T60" i="4"/>
  <c r="T61" i="4"/>
  <c r="T58" i="4"/>
  <c r="T62" i="4"/>
  <c r="T63" i="4"/>
  <c r="T64" i="4"/>
  <c r="T65" i="4"/>
  <c r="T67" i="4"/>
  <c r="T68" i="4"/>
  <c r="T69" i="4"/>
  <c r="T70" i="4"/>
  <c r="T66" i="4"/>
  <c r="T71" i="4"/>
  <c r="T72" i="4"/>
  <c r="T73" i="4"/>
  <c r="T74" i="4"/>
  <c r="T75" i="4"/>
  <c r="T76" i="4"/>
  <c r="T77" i="4"/>
  <c r="T78" i="4"/>
  <c r="T79" i="4"/>
  <c r="T80" i="4"/>
  <c r="T81" i="4"/>
  <c r="T83" i="4"/>
  <c r="T82" i="4"/>
  <c r="T84" i="4"/>
  <c r="T85" i="4"/>
  <c r="T86" i="4"/>
  <c r="T87" i="4"/>
  <c r="T88" i="4"/>
  <c r="T89" i="4"/>
  <c r="T90" i="4"/>
  <c r="T91" i="4"/>
  <c r="T92" i="4"/>
  <c r="T93" i="4"/>
  <c r="T94" i="4"/>
  <c r="T95" i="4"/>
  <c r="T124" i="4"/>
  <c r="T125" i="4"/>
  <c r="T126" i="4"/>
  <c r="T127" i="4"/>
  <c r="T128" i="4"/>
  <c r="T129" i="4"/>
  <c r="T130" i="4"/>
  <c r="T131" i="4"/>
  <c r="T132" i="4"/>
  <c r="T133" i="4"/>
  <c r="T134" i="4"/>
  <c r="T135" i="4"/>
  <c r="T137" i="4"/>
  <c r="T138" i="4"/>
  <c r="T139" i="4"/>
  <c r="T140" i="4"/>
  <c r="T136" i="4"/>
  <c r="T142" i="4"/>
  <c r="T143" i="4"/>
  <c r="T144" i="4"/>
  <c r="T146" i="4"/>
  <c r="T147" i="4"/>
  <c r="T149" i="4"/>
  <c r="T150" i="4"/>
  <c r="T151" i="4"/>
  <c r="T153" i="4"/>
  <c r="T145" i="4"/>
  <c r="T154" i="4"/>
  <c r="T148" i="4"/>
  <c r="T152" i="4"/>
  <c r="T155" i="4"/>
  <c r="T156" i="4"/>
  <c r="T141" i="4"/>
  <c r="T157" i="4"/>
  <c r="T158" i="4"/>
  <c r="T159" i="4"/>
  <c r="T160" i="4"/>
  <c r="T161" i="4"/>
  <c r="T162" i="4"/>
  <c r="T163" i="4"/>
  <c r="T164" i="4"/>
  <c r="T165" i="4"/>
  <c r="T166" i="4"/>
  <c r="T167" i="4"/>
  <c r="T168" i="4"/>
  <c r="T169" i="4"/>
  <c r="T170" i="4"/>
  <c r="T171" i="4"/>
  <c r="T172" i="4"/>
  <c r="T173" i="4"/>
  <c r="T174" i="4"/>
  <c r="T175" i="4"/>
  <c r="T176" i="4"/>
  <c r="T177" i="4"/>
  <c r="T178" i="4"/>
  <c r="T179" i="4"/>
  <c r="T180" i="4"/>
  <c r="T181" i="4"/>
  <c r="T182" i="4"/>
  <c r="T183" i="4"/>
  <c r="T184" i="4"/>
  <c r="T185" i="4"/>
  <c r="T186" i="4"/>
  <c r="T187" i="4"/>
  <c r="T188" i="4"/>
  <c r="T189" i="4"/>
  <c r="T190" i="4"/>
  <c r="T191" i="4"/>
  <c r="T192" i="4"/>
  <c r="T193" i="4"/>
  <c r="T194" i="4"/>
  <c r="T196" i="4"/>
  <c r="T197" i="4"/>
  <c r="T198" i="4"/>
  <c r="T199" i="4"/>
  <c r="T200" i="4"/>
  <c r="T201" i="4"/>
  <c r="T202" i="4"/>
  <c r="T203" i="4"/>
  <c r="T195" i="4"/>
  <c r="T204" i="4"/>
  <c r="T205" i="4"/>
  <c r="T206" i="4"/>
  <c r="T207" i="4"/>
  <c r="T208" i="4"/>
  <c r="T209" i="4"/>
  <c r="T210" i="4"/>
  <c r="T211" i="4"/>
  <c r="T212" i="4"/>
  <c r="T213" i="4"/>
  <c r="T214" i="4"/>
  <c r="T215" i="4"/>
  <c r="T216" i="4"/>
  <c r="T217" i="4"/>
  <c r="T218" i="4"/>
  <c r="T219" i="4"/>
  <c r="T220" i="4"/>
  <c r="T221" i="4"/>
  <c r="T222" i="4"/>
  <c r="T223" i="4"/>
  <c r="T224" i="4"/>
  <c r="T225" i="4"/>
  <c r="T226" i="4"/>
  <c r="T227" i="4"/>
  <c r="T228" i="4"/>
  <c r="T229" i="4"/>
  <c r="T230" i="4"/>
  <c r="T231" i="4"/>
  <c r="T233" i="4"/>
  <c r="T234" i="4"/>
  <c r="T235" i="4"/>
  <c r="T236" i="4"/>
  <c r="T237" i="4"/>
  <c r="T232" i="4"/>
  <c r="T238" i="4"/>
  <c r="T240" i="4"/>
  <c r="T239" i="4"/>
  <c r="T241" i="4"/>
  <c r="T242" i="4"/>
  <c r="T243" i="4"/>
  <c r="T244" i="4"/>
  <c r="T245" i="4"/>
  <c r="T246" i="4"/>
  <c r="T247" i="4"/>
  <c r="T248" i="4"/>
  <c r="T249" i="4"/>
  <c r="T251" i="4"/>
  <c r="T253" i="4"/>
  <c r="T254" i="4"/>
  <c r="T255" i="4"/>
  <c r="T256" i="4"/>
  <c r="T257" i="4"/>
  <c r="T250" i="4"/>
  <c r="T258" i="4"/>
  <c r="T259" i="4"/>
  <c r="T260" i="4"/>
  <c r="T252" i="4"/>
  <c r="T261" i="4"/>
  <c r="T262" i="4"/>
  <c r="T263" i="4"/>
  <c r="T264" i="4"/>
  <c r="T265" i="4"/>
  <c r="T266" i="4"/>
  <c r="T267" i="4"/>
  <c r="T268" i="4"/>
  <c r="T269" i="4"/>
  <c r="T270" i="4"/>
  <c r="T271" i="4"/>
  <c r="T272" i="4"/>
  <c r="T273" i="4"/>
  <c r="T274" i="4"/>
  <c r="T275" i="4"/>
  <c r="T276" i="4"/>
  <c r="T277" i="4"/>
  <c r="T278" i="4"/>
  <c r="T279" i="4"/>
  <c r="T280" i="4"/>
  <c r="T281" i="4"/>
  <c r="T282" i="4"/>
  <c r="T283" i="4"/>
  <c r="T284" i="4"/>
  <c r="T285" i="4"/>
  <c r="T286" i="4"/>
  <c r="T287" i="4"/>
  <c r="T288" i="4"/>
  <c r="T289" i="4"/>
  <c r="T291" i="4"/>
  <c r="T290" i="4"/>
  <c r="T292" i="4"/>
  <c r="T293" i="4"/>
  <c r="T294" i="4"/>
  <c r="T295" i="4"/>
  <c r="T296" i="4"/>
  <c r="T297" i="4"/>
  <c r="T298" i="4"/>
  <c r="T299" i="4"/>
  <c r="T300" i="4"/>
  <c r="T301" i="4"/>
  <c r="T302" i="4"/>
  <c r="T303" i="4"/>
  <c r="T304" i="4"/>
  <c r="T305" i="4"/>
  <c r="T306" i="4"/>
  <c r="T307" i="4"/>
  <c r="T308" i="4"/>
  <c r="T309" i="4"/>
  <c r="T310" i="4"/>
  <c r="T311" i="4"/>
  <c r="T312" i="4"/>
  <c r="T313" i="4"/>
  <c r="T314" i="4"/>
  <c r="T315" i="4"/>
  <c r="T316" i="4"/>
  <c r="T317" i="4"/>
  <c r="T318" i="4"/>
  <c r="T319" i="4"/>
  <c r="T320" i="4"/>
  <c r="T321" i="4"/>
  <c r="T322" i="4"/>
  <c r="T323" i="4"/>
  <c r="T324" i="4"/>
  <c r="T325" i="4"/>
  <c r="T326" i="4"/>
  <c r="T327" i="4"/>
  <c r="T328" i="4"/>
  <c r="T329" i="4"/>
  <c r="T330" i="4"/>
  <c r="T331" i="4"/>
  <c r="T332" i="4"/>
  <c r="T333" i="4"/>
  <c r="T334" i="4"/>
  <c r="T335" i="4"/>
  <c r="T336" i="4"/>
  <c r="T337" i="4"/>
  <c r="T338" i="4"/>
  <c r="T339" i="4"/>
  <c r="T340" i="4"/>
  <c r="T341" i="4"/>
  <c r="T342" i="4"/>
  <c r="T343" i="4"/>
  <c r="T344" i="4"/>
  <c r="T345" i="4"/>
  <c r="T346" i="4"/>
  <c r="T347" i="4"/>
  <c r="T348" i="4"/>
  <c r="T349" i="4"/>
  <c r="T350" i="4"/>
  <c r="T351" i="4"/>
  <c r="T352" i="4"/>
  <c r="T353" i="4"/>
  <c r="T354" i="4"/>
  <c r="T355" i="4"/>
  <c r="T356" i="4"/>
  <c r="T357" i="4"/>
  <c r="T358" i="4"/>
  <c r="T359" i="4"/>
  <c r="T360" i="4"/>
  <c r="T388" i="4"/>
  <c r="T389" i="4"/>
  <c r="T397" i="4"/>
  <c r="T390" i="4"/>
  <c r="T430" i="4"/>
  <c r="T391" i="4"/>
  <c r="T392" i="4"/>
  <c r="T393" i="4"/>
  <c r="T394" i="4"/>
  <c r="T395" i="4"/>
  <c r="T396" i="4"/>
  <c r="T398" i="4"/>
  <c r="T399" i="4"/>
  <c r="T400" i="4"/>
  <c r="T401" i="4"/>
  <c r="T402" i="4"/>
  <c r="T403" i="4"/>
  <c r="T404" i="4"/>
  <c r="T405" i="4"/>
  <c r="T406" i="4"/>
  <c r="T407" i="4"/>
  <c r="T408" i="4"/>
  <c r="T409" i="4"/>
  <c r="T410" i="4"/>
  <c r="T411" i="4"/>
  <c r="T412" i="4"/>
  <c r="T413" i="4"/>
  <c r="T414" i="4"/>
  <c r="T415" i="4"/>
  <c r="T416" i="4"/>
  <c r="T417" i="4"/>
  <c r="T419" i="4"/>
  <c r="T420" i="4"/>
  <c r="T421" i="4"/>
  <c r="T422" i="4"/>
  <c r="T423" i="4"/>
  <c r="T424" i="4"/>
  <c r="T425" i="4"/>
  <c r="T426" i="4"/>
  <c r="T427" i="4"/>
  <c r="T428" i="4"/>
  <c r="T429" i="4"/>
  <c r="T431" i="4"/>
  <c r="T432" i="4"/>
  <c r="T433" i="4"/>
  <c r="T434" i="4"/>
  <c r="T418" i="4"/>
  <c r="T361" i="4"/>
  <c r="T362" i="4"/>
  <c r="T363" i="4"/>
  <c r="T364" i="4"/>
  <c r="T365" i="4"/>
  <c r="T366" i="4"/>
  <c r="T367" i="4"/>
  <c r="T368" i="4"/>
  <c r="T369" i="4"/>
  <c r="T370" i="4"/>
  <c r="T371" i="4"/>
  <c r="T372" i="4"/>
  <c r="T373" i="4"/>
  <c r="T374" i="4"/>
  <c r="T376" i="4"/>
  <c r="T378" i="4"/>
  <c r="T379" i="4"/>
  <c r="T375" i="4"/>
  <c r="T377" i="4"/>
  <c r="T380" i="4"/>
  <c r="T381" i="4"/>
  <c r="T382" i="4"/>
  <c r="T383" i="4"/>
  <c r="T384" i="4"/>
  <c r="T385" i="4"/>
  <c r="T386" i="4"/>
  <c r="T387" i="4"/>
  <c r="T435" i="4"/>
  <c r="T436" i="4"/>
  <c r="T437" i="4"/>
  <c r="T438" i="4"/>
  <c r="T439" i="4"/>
  <c r="T440" i="4"/>
  <c r="T441" i="4"/>
  <c r="T442" i="4"/>
  <c r="T443" i="4"/>
  <c r="T444" i="4"/>
  <c r="T446" i="4"/>
  <c r="T445" i="4"/>
  <c r="T447" i="4"/>
  <c r="T449" i="4"/>
  <c r="T451" i="4"/>
  <c r="T452" i="4"/>
  <c r="T453" i="4"/>
  <c r="T454" i="4"/>
  <c r="T448" i="4"/>
  <c r="T455" i="4"/>
  <c r="T456" i="4"/>
  <c r="T457" i="4"/>
  <c r="T450" i="4"/>
  <c r="T458" i="4"/>
  <c r="T459" i="4"/>
  <c r="T460" i="4"/>
  <c r="T461" i="4"/>
  <c r="T462" i="4"/>
  <c r="T463" i="4"/>
  <c r="T464" i="4"/>
  <c r="T465" i="4"/>
  <c r="T466" i="4"/>
  <c r="T467" i="4"/>
  <c r="T468" i="4"/>
  <c r="T470" i="4"/>
  <c r="T471" i="4"/>
  <c r="T472" i="4"/>
  <c r="T469" i="4"/>
  <c r="T473" i="4"/>
  <c r="T474" i="4"/>
  <c r="T475" i="4"/>
  <c r="T476" i="4"/>
  <c r="T478" i="4"/>
  <c r="T479" i="4"/>
  <c r="T481" i="4"/>
  <c r="T482" i="4"/>
  <c r="T484" i="4"/>
  <c r="T485" i="4"/>
  <c r="T477" i="4"/>
  <c r="T486" i="4"/>
  <c r="T487" i="4"/>
  <c r="T480" i="4"/>
  <c r="T488" i="4"/>
  <c r="T483" i="4"/>
  <c r="T489" i="4"/>
  <c r="T490" i="4"/>
  <c r="T491" i="4"/>
  <c r="T492" i="4"/>
  <c r="T493" i="4"/>
  <c r="T494" i="4"/>
  <c r="T495" i="4"/>
  <c r="T496" i="4"/>
  <c r="T497" i="4"/>
  <c r="T498" i="4"/>
  <c r="T499" i="4"/>
  <c r="T500" i="4"/>
  <c r="T501" i="4"/>
  <c r="T502" i="4"/>
  <c r="T503" i="4"/>
  <c r="T504" i="4"/>
  <c r="T505" i="4"/>
  <c r="T506" i="4"/>
  <c r="T507" i="4"/>
  <c r="T508" i="4"/>
  <c r="T509" i="4"/>
  <c r="T510" i="4"/>
  <c r="T511" i="4"/>
  <c r="T512" i="4"/>
  <c r="T513" i="4"/>
  <c r="T514" i="4"/>
  <c r="T515" i="4"/>
  <c r="T516" i="4"/>
  <c r="T517" i="4"/>
  <c r="T518" i="4"/>
  <c r="T519" i="4"/>
  <c r="T520" i="4"/>
  <c r="T521" i="4"/>
  <c r="T522" i="4"/>
  <c r="T523" i="4"/>
  <c r="T524" i="4"/>
  <c r="T525" i="4"/>
  <c r="T526" i="4"/>
  <c r="T527" i="4"/>
  <c r="T528" i="4"/>
  <c r="T529" i="4"/>
  <c r="T530" i="4"/>
  <c r="T531" i="4"/>
  <c r="T532" i="4"/>
  <c r="T533" i="4"/>
  <c r="T534" i="4"/>
  <c r="T535" i="4"/>
  <c r="T536" i="4"/>
  <c r="T537" i="4"/>
  <c r="T538" i="4"/>
  <c r="T539" i="4"/>
  <c r="T540" i="4"/>
  <c r="T541" i="4"/>
  <c r="T542" i="4"/>
  <c r="T544" i="4"/>
  <c r="T545" i="4"/>
  <c r="T546" i="4"/>
  <c r="T547" i="4"/>
  <c r="T543" i="4"/>
  <c r="T548" i="4"/>
  <c r="T549" i="4"/>
  <c r="T550" i="4"/>
  <c r="T551" i="4"/>
  <c r="T552" i="4"/>
  <c r="T553" i="4"/>
  <c r="T554" i="4"/>
  <c r="T555" i="4"/>
  <c r="T556" i="4"/>
  <c r="T557" i="4"/>
  <c r="T558" i="4"/>
  <c r="T559" i="4"/>
  <c r="T560" i="4"/>
  <c r="T561" i="4"/>
  <c r="T562" i="4"/>
  <c r="T563" i="4"/>
  <c r="T564" i="4"/>
  <c r="T566" i="4"/>
  <c r="T567" i="4"/>
  <c r="T568" i="4"/>
  <c r="T569" i="4"/>
  <c r="T570" i="4"/>
  <c r="T571" i="4"/>
  <c r="T572" i="4"/>
  <c r="T573" i="4"/>
  <c r="T574" i="4"/>
  <c r="T575" i="4"/>
  <c r="T576" i="4"/>
  <c r="T577" i="4"/>
  <c r="T578" i="4"/>
  <c r="T579" i="4"/>
  <c r="T580" i="4"/>
  <c r="T583" i="4"/>
  <c r="T584" i="4"/>
  <c r="T585" i="4"/>
  <c r="T586" i="4"/>
  <c r="T587" i="4"/>
  <c r="T588" i="4"/>
  <c r="T589" i="4"/>
  <c r="T590" i="4"/>
  <c r="T591" i="4"/>
  <c r="T592" i="4"/>
  <c r="T565" i="4"/>
  <c r="T593" i="4"/>
  <c r="T594" i="4"/>
  <c r="T595" i="4"/>
  <c r="T597" i="4"/>
  <c r="T598" i="4"/>
  <c r="T599" i="4"/>
  <c r="T600" i="4"/>
  <c r="T601" i="4"/>
  <c r="T602" i="4"/>
  <c r="T581" i="4"/>
  <c r="T582" i="4"/>
  <c r="T603" i="4"/>
  <c r="T604" i="4"/>
  <c r="T605" i="4"/>
  <c r="T606" i="4"/>
  <c r="T607" i="4"/>
  <c r="T608" i="4"/>
  <c r="T609" i="4"/>
  <c r="T610" i="4"/>
  <c r="T611" i="4"/>
  <c r="T612" i="4"/>
  <c r="T596" i="4"/>
  <c r="T613" i="4"/>
  <c r="T614" i="4"/>
  <c r="T615" i="4"/>
  <c r="T616" i="4"/>
  <c r="T617" i="4"/>
  <c r="T618" i="4"/>
  <c r="T620" i="4"/>
  <c r="T621" i="4"/>
  <c r="T619" i="4"/>
  <c r="T622" i="4"/>
  <c r="T623" i="4"/>
  <c r="T624" i="4"/>
  <c r="T625" i="4"/>
  <c r="T626" i="4"/>
  <c r="T627" i="4"/>
  <c r="T628" i="4"/>
  <c r="T629" i="4"/>
  <c r="T630" i="4"/>
  <c r="T631" i="4"/>
  <c r="T632" i="4"/>
  <c r="T633" i="4"/>
  <c r="T634" i="4"/>
  <c r="T635" i="4"/>
  <c r="T636" i="4"/>
  <c r="T637" i="4"/>
  <c r="T638" i="4"/>
  <c r="T639" i="4"/>
  <c r="T640" i="4"/>
  <c r="T641" i="4"/>
  <c r="T642" i="4"/>
  <c r="T643" i="4"/>
  <c r="T644" i="4"/>
  <c r="T645" i="4"/>
  <c r="T646" i="4"/>
  <c r="T648" i="4"/>
  <c r="T649" i="4"/>
  <c r="T650" i="4"/>
  <c r="T651" i="4"/>
  <c r="T653" i="4"/>
  <c r="T654" i="4"/>
  <c r="T655" i="4"/>
  <c r="T647" i="4"/>
  <c r="T656" i="4"/>
  <c r="T657" i="4"/>
  <c r="T659" i="4"/>
  <c r="T652" i="4"/>
  <c r="T658" i="4"/>
  <c r="T660" i="4"/>
  <c r="T661" i="4"/>
  <c r="T662" i="4"/>
  <c r="T663" i="4"/>
  <c r="T664" i="4"/>
  <c r="T665" i="4"/>
  <c r="T666" i="4"/>
  <c r="T667" i="4"/>
  <c r="T668" i="4"/>
  <c r="T669" i="4"/>
  <c r="T670" i="4"/>
  <c r="T671" i="4"/>
  <c r="T672" i="4"/>
  <c r="T674" i="4"/>
  <c r="T675" i="4"/>
  <c r="T676" i="4"/>
  <c r="T677" i="4"/>
  <c r="T678" i="4"/>
  <c r="T679" i="4"/>
  <c r="T680" i="4"/>
  <c r="T681" i="4"/>
  <c r="T673" i="4"/>
  <c r="T102" i="4"/>
  <c r="T103" i="4"/>
  <c r="T104" i="4"/>
  <c r="T96" i="4"/>
  <c r="T97" i="4"/>
  <c r="T98" i="4"/>
  <c r="T105" i="4"/>
  <c r="T122" i="4"/>
  <c r="T117" i="4"/>
  <c r="T106" i="4"/>
  <c r="T107" i="4"/>
  <c r="T118" i="4"/>
  <c r="T119" i="4"/>
  <c r="T114" i="4"/>
  <c r="T99" i="4"/>
  <c r="T123" i="4"/>
  <c r="T100" i="4"/>
  <c r="T108" i="4"/>
  <c r="T109" i="4"/>
  <c r="T110" i="4"/>
  <c r="T111" i="4"/>
  <c r="T121" i="4"/>
  <c r="T101" i="4"/>
  <c r="T112" i="4"/>
  <c r="T113" i="4"/>
  <c r="T120" i="4"/>
  <c r="T115" i="4"/>
  <c r="T116" i="4"/>
  <c r="Q49" i="4"/>
  <c r="Q50" i="4"/>
  <c r="Q51" i="4"/>
  <c r="Q52" i="4"/>
  <c r="Q53" i="4"/>
  <c r="Q54" i="4"/>
  <c r="Q55" i="4"/>
  <c r="Q56" i="4"/>
  <c r="Q57" i="4"/>
  <c r="Q59" i="4"/>
  <c r="Q60" i="4"/>
  <c r="Q61" i="4"/>
  <c r="Q58" i="4"/>
  <c r="Q62" i="4"/>
  <c r="Q63" i="4"/>
  <c r="Q64" i="4"/>
  <c r="Q65" i="4"/>
  <c r="Q67" i="4"/>
  <c r="Q68" i="4"/>
  <c r="Q69" i="4"/>
  <c r="Q70" i="4"/>
  <c r="Q66" i="4"/>
  <c r="Q71" i="4"/>
  <c r="Q72" i="4"/>
  <c r="Q73" i="4"/>
  <c r="Q74" i="4"/>
  <c r="Q75" i="4"/>
  <c r="Q76" i="4"/>
  <c r="Q77" i="4"/>
  <c r="Q78" i="4"/>
  <c r="Q79" i="4"/>
  <c r="Q80" i="4"/>
  <c r="Q81" i="4"/>
  <c r="Q83" i="4"/>
  <c r="Q82" i="4"/>
  <c r="Q84" i="4"/>
  <c r="Q85" i="4"/>
  <c r="Q86" i="4"/>
  <c r="Q87" i="4"/>
  <c r="Q88" i="4"/>
  <c r="Q89" i="4"/>
  <c r="Q90" i="4"/>
  <c r="Q91" i="4"/>
  <c r="Q92" i="4"/>
  <c r="Q93" i="4"/>
  <c r="Q94" i="4"/>
  <c r="Q95" i="4"/>
  <c r="Q124" i="4"/>
  <c r="Q125" i="4"/>
  <c r="Q126" i="4"/>
  <c r="Q127" i="4"/>
  <c r="Q128" i="4"/>
  <c r="Q129" i="4"/>
  <c r="Q130" i="4"/>
  <c r="Q131" i="4"/>
  <c r="Q132" i="4"/>
  <c r="Q133" i="4"/>
  <c r="Q134" i="4"/>
  <c r="Q135" i="4"/>
  <c r="Q137" i="4"/>
  <c r="Q138" i="4"/>
  <c r="Q139" i="4"/>
  <c r="Q140" i="4"/>
  <c r="Q136" i="4"/>
  <c r="Q142" i="4"/>
  <c r="Q143" i="4"/>
  <c r="Q144" i="4"/>
  <c r="Q146" i="4"/>
  <c r="Q147" i="4"/>
  <c r="Q149" i="4"/>
  <c r="Q150" i="4"/>
  <c r="Q151" i="4"/>
  <c r="Q153" i="4"/>
  <c r="Q145" i="4"/>
  <c r="Q154" i="4"/>
  <c r="Q148" i="4"/>
  <c r="Q152" i="4"/>
  <c r="Q155" i="4"/>
  <c r="Q156" i="4"/>
  <c r="Q141" i="4"/>
  <c r="Q157" i="4"/>
  <c r="Q158" i="4"/>
  <c r="Q159" i="4"/>
  <c r="Q160" i="4"/>
  <c r="Q161" i="4"/>
  <c r="Q162" i="4"/>
  <c r="Q163" i="4"/>
  <c r="Q164" i="4"/>
  <c r="Q165" i="4"/>
  <c r="Q166" i="4"/>
  <c r="Q167" i="4"/>
  <c r="Q168" i="4"/>
  <c r="Q169" i="4"/>
  <c r="Q170" i="4"/>
  <c r="Q171" i="4"/>
  <c r="Q172" i="4"/>
  <c r="Q173" i="4"/>
  <c r="Q174" i="4"/>
  <c r="Q175" i="4"/>
  <c r="Q176" i="4"/>
  <c r="Q177" i="4"/>
  <c r="Q178" i="4"/>
  <c r="Q179" i="4"/>
  <c r="Q180" i="4"/>
  <c r="Q181" i="4"/>
  <c r="Q206" i="4"/>
  <c r="Q207" i="4"/>
  <c r="Q208" i="4"/>
  <c r="Q209" i="4"/>
  <c r="Q210" i="4"/>
  <c r="Q211" i="4"/>
  <c r="Q212" i="4"/>
  <c r="Q213" i="4"/>
  <c r="Q214" i="4"/>
  <c r="Q215" i="4"/>
  <c r="Q216" i="4"/>
  <c r="Q217" i="4"/>
  <c r="Q218" i="4"/>
  <c r="Q219" i="4"/>
  <c r="Q220" i="4"/>
  <c r="Q221" i="4"/>
  <c r="Q222" i="4"/>
  <c r="Q223" i="4"/>
  <c r="Q224" i="4"/>
  <c r="Q225" i="4"/>
  <c r="Q226" i="4"/>
  <c r="Q227" i="4"/>
  <c r="Q228" i="4"/>
  <c r="Q229" i="4"/>
  <c r="Q230" i="4"/>
  <c r="Q231" i="4"/>
  <c r="Q233" i="4"/>
  <c r="Q234" i="4"/>
  <c r="Q235" i="4"/>
  <c r="Q236" i="4"/>
  <c r="Q237" i="4"/>
  <c r="Q232" i="4"/>
  <c r="Q238" i="4"/>
  <c r="Q240" i="4"/>
  <c r="Q239" i="4"/>
  <c r="Q241" i="4"/>
  <c r="Q242" i="4"/>
  <c r="Q243" i="4"/>
  <c r="Q244" i="4"/>
  <c r="Q245" i="4"/>
  <c r="Q246" i="4"/>
  <c r="Q247" i="4"/>
  <c r="Q248" i="4"/>
  <c r="Q249" i="4"/>
  <c r="Q251" i="4"/>
  <c r="Q253" i="4"/>
  <c r="Q254" i="4"/>
  <c r="Q255" i="4"/>
  <c r="Q256" i="4"/>
  <c r="Q257" i="4"/>
  <c r="Q250" i="4"/>
  <c r="Q258" i="4"/>
  <c r="Q259" i="4"/>
  <c r="Q260" i="4"/>
  <c r="Q252" i="4"/>
  <c r="Q261" i="4"/>
  <c r="Q262" i="4"/>
  <c r="Q263" i="4"/>
  <c r="Q264" i="4"/>
  <c r="Q265" i="4"/>
  <c r="Q266" i="4"/>
  <c r="Q267" i="4"/>
  <c r="Q268" i="4"/>
  <c r="Q269" i="4"/>
  <c r="Q270" i="4"/>
  <c r="Q271" i="4"/>
  <c r="Q272" i="4"/>
  <c r="Q273" i="4"/>
  <c r="Q274" i="4"/>
  <c r="Q275" i="4"/>
  <c r="Q276" i="4"/>
  <c r="Q277" i="4"/>
  <c r="Q278" i="4"/>
  <c r="Q279" i="4"/>
  <c r="Q280" i="4"/>
  <c r="Q281" i="4"/>
  <c r="Q282" i="4"/>
  <c r="Q283" i="4"/>
  <c r="Q284" i="4"/>
  <c r="Q285" i="4"/>
  <c r="Q286" i="4"/>
  <c r="Q287" i="4"/>
  <c r="Q288" i="4"/>
  <c r="Q289" i="4"/>
  <c r="Q291" i="4"/>
  <c r="Q290" i="4"/>
  <c r="Q292" i="4"/>
  <c r="Q293" i="4"/>
  <c r="Q294" i="4"/>
  <c r="Q295" i="4"/>
  <c r="Q296" i="4"/>
  <c r="Q297" i="4"/>
  <c r="Q298" i="4"/>
  <c r="Q299" i="4"/>
  <c r="Q300" i="4"/>
  <c r="Q301" i="4"/>
  <c r="Q302" i="4"/>
  <c r="Q303" i="4"/>
  <c r="Q304" i="4"/>
  <c r="Q305" i="4"/>
  <c r="Q306" i="4"/>
  <c r="Q307" i="4"/>
  <c r="Q308" i="4"/>
  <c r="Q309" i="4"/>
  <c r="Q310" i="4"/>
  <c r="Q311" i="4"/>
  <c r="Q312" i="4"/>
  <c r="Q313" i="4"/>
  <c r="Q314" i="4"/>
  <c r="Q315" i="4"/>
  <c r="Q316" i="4"/>
  <c r="Q317" i="4"/>
  <c r="Q318" i="4"/>
  <c r="Q319" i="4"/>
  <c r="Q320" i="4"/>
  <c r="Q321" i="4"/>
  <c r="Q322" i="4"/>
  <c r="Q323" i="4"/>
  <c r="Q324" i="4"/>
  <c r="Q325" i="4"/>
  <c r="Q326" i="4"/>
  <c r="Q327" i="4"/>
  <c r="Q328" i="4"/>
  <c r="Q329" i="4"/>
  <c r="Q330" i="4"/>
  <c r="Q331" i="4"/>
  <c r="Q332" i="4"/>
  <c r="Q333" i="4"/>
  <c r="Q334" i="4"/>
  <c r="Q335" i="4"/>
  <c r="Q336" i="4"/>
  <c r="Q337" i="4"/>
  <c r="Q338" i="4"/>
  <c r="Q339" i="4"/>
  <c r="Q340" i="4"/>
  <c r="Q341" i="4"/>
  <c r="Q342" i="4"/>
  <c r="Q343" i="4"/>
  <c r="Q344" i="4"/>
  <c r="Q345" i="4"/>
  <c r="Q346" i="4"/>
  <c r="Q347" i="4"/>
  <c r="Q348" i="4"/>
  <c r="Q349" i="4"/>
  <c r="Q350" i="4"/>
  <c r="Q351" i="4"/>
  <c r="Q352" i="4"/>
  <c r="Q353" i="4"/>
  <c r="Q354" i="4"/>
  <c r="Q355" i="4"/>
  <c r="Q356" i="4"/>
  <c r="Q357" i="4"/>
  <c r="Q358" i="4"/>
  <c r="Q359" i="4"/>
  <c r="Q360" i="4"/>
  <c r="Q388" i="4"/>
  <c r="Q389" i="4"/>
  <c r="Q397" i="4"/>
  <c r="Q390" i="4"/>
  <c r="Q430" i="4"/>
  <c r="Q391" i="4"/>
  <c r="Q392" i="4"/>
  <c r="Q393" i="4"/>
  <c r="Q394" i="4"/>
  <c r="Q395" i="4"/>
  <c r="Q396" i="4"/>
  <c r="Q398" i="4"/>
  <c r="Q399" i="4"/>
  <c r="Q400" i="4"/>
  <c r="Q401" i="4"/>
  <c r="Q402" i="4"/>
  <c r="Q403" i="4"/>
  <c r="Q404" i="4"/>
  <c r="Q405" i="4"/>
  <c r="Q406" i="4"/>
  <c r="Q407" i="4"/>
  <c r="Q408" i="4"/>
  <c r="Q409" i="4"/>
  <c r="Q410" i="4"/>
  <c r="Q411" i="4"/>
  <c r="Q412" i="4"/>
  <c r="Q413" i="4"/>
  <c r="Q414" i="4"/>
  <c r="Q415" i="4"/>
  <c r="Q416" i="4"/>
  <c r="Q417" i="4"/>
  <c r="Q419" i="4"/>
  <c r="Q420" i="4"/>
  <c r="Q421" i="4"/>
  <c r="Q422" i="4"/>
  <c r="Q423" i="4"/>
  <c r="Q424" i="4"/>
  <c r="Q425" i="4"/>
  <c r="Q426" i="4"/>
  <c r="Q427" i="4"/>
  <c r="Q428" i="4"/>
  <c r="Q429" i="4"/>
  <c r="Q431" i="4"/>
  <c r="Q432" i="4"/>
  <c r="Q433" i="4"/>
  <c r="Q434" i="4"/>
  <c r="Q418" i="4"/>
  <c r="Q361" i="4"/>
  <c r="Q362" i="4"/>
  <c r="Q363" i="4"/>
  <c r="Q364" i="4"/>
  <c r="Q365" i="4"/>
  <c r="Q366" i="4"/>
  <c r="Q367" i="4"/>
  <c r="Q368" i="4"/>
  <c r="Q369" i="4"/>
  <c r="Q370" i="4"/>
  <c r="Q371" i="4"/>
  <c r="Q372" i="4"/>
  <c r="Q373" i="4"/>
  <c r="Q374" i="4"/>
  <c r="Q376" i="4"/>
  <c r="Q378" i="4"/>
  <c r="Q379" i="4"/>
  <c r="Q375" i="4"/>
  <c r="Q377" i="4"/>
  <c r="Q380" i="4"/>
  <c r="Q381" i="4"/>
  <c r="Q382" i="4"/>
  <c r="Q383" i="4"/>
  <c r="Q384" i="4"/>
  <c r="Q385" i="4"/>
  <c r="Q386" i="4"/>
  <c r="Q387" i="4"/>
  <c r="Q435" i="4"/>
  <c r="Q436" i="4"/>
  <c r="Q437" i="4"/>
  <c r="Q438" i="4"/>
  <c r="Q439" i="4"/>
  <c r="Q440" i="4"/>
  <c r="Q441" i="4"/>
  <c r="Q442" i="4"/>
  <c r="Q443" i="4"/>
  <c r="Q444" i="4"/>
  <c r="Q446" i="4"/>
  <c r="Q445" i="4"/>
  <c r="Q447" i="4"/>
  <c r="Q449" i="4"/>
  <c r="Q451" i="4"/>
  <c r="Q452" i="4"/>
  <c r="Q453" i="4"/>
  <c r="Q454" i="4"/>
  <c r="Q448" i="4"/>
  <c r="Q455" i="4"/>
  <c r="Q456" i="4"/>
  <c r="Q457" i="4"/>
  <c r="Q450" i="4"/>
  <c r="Q458" i="4"/>
  <c r="Q459" i="4"/>
  <c r="Q460" i="4"/>
  <c r="Q461" i="4"/>
  <c r="Q462" i="4"/>
  <c r="Q463" i="4"/>
  <c r="Q464" i="4"/>
  <c r="Q465" i="4"/>
  <c r="Q466" i="4"/>
  <c r="Q467" i="4"/>
  <c r="Q468" i="4"/>
  <c r="Q470" i="4"/>
  <c r="Q471" i="4"/>
  <c r="Q472" i="4"/>
  <c r="Q469" i="4"/>
  <c r="Q473" i="4"/>
  <c r="Q474" i="4"/>
  <c r="Q475" i="4"/>
  <c r="Q476" i="4"/>
  <c r="Q478" i="4"/>
  <c r="Q479" i="4"/>
  <c r="Q481" i="4"/>
  <c r="Q482" i="4"/>
  <c r="Q484" i="4"/>
  <c r="Q485" i="4"/>
  <c r="Q477" i="4"/>
  <c r="Q486" i="4"/>
  <c r="Q487" i="4"/>
  <c r="Q480" i="4"/>
  <c r="Q488" i="4"/>
  <c r="Q483" i="4"/>
  <c r="Q489" i="4"/>
  <c r="Q490" i="4"/>
  <c r="Q491" i="4"/>
  <c r="Q492" i="4"/>
  <c r="Q493" i="4"/>
  <c r="Q494" i="4"/>
  <c r="Q495" i="4"/>
  <c r="Q496" i="4"/>
  <c r="Q497" i="4"/>
  <c r="Q498" i="4"/>
  <c r="Q499" i="4"/>
  <c r="Q500" i="4"/>
  <c r="Q501" i="4"/>
  <c r="Q502" i="4"/>
  <c r="Q503" i="4"/>
  <c r="Q504" i="4"/>
  <c r="Q505" i="4"/>
  <c r="Q506" i="4"/>
  <c r="Q507" i="4"/>
  <c r="Q508" i="4"/>
  <c r="Q509" i="4"/>
  <c r="Q510" i="4"/>
  <c r="Q511" i="4"/>
  <c r="Q512" i="4"/>
  <c r="Q513" i="4"/>
  <c r="Q514" i="4"/>
  <c r="Q515" i="4"/>
  <c r="Q516" i="4"/>
  <c r="Q517" i="4"/>
  <c r="Q518" i="4"/>
  <c r="Q519" i="4"/>
  <c r="Q520" i="4"/>
  <c r="Q521" i="4"/>
  <c r="Q522" i="4"/>
  <c r="Q523" i="4"/>
  <c r="Q524" i="4"/>
  <c r="Q525" i="4"/>
  <c r="Q526" i="4"/>
  <c r="Q527" i="4"/>
  <c r="Q528" i="4"/>
  <c r="Q529" i="4"/>
  <c r="Q530" i="4"/>
  <c r="Q531" i="4"/>
  <c r="Q532" i="4"/>
  <c r="Q533" i="4"/>
  <c r="Q534" i="4"/>
  <c r="Q535" i="4"/>
  <c r="Q536" i="4"/>
  <c r="Q537" i="4"/>
  <c r="Q538" i="4"/>
  <c r="Q539" i="4"/>
  <c r="Q540" i="4"/>
  <c r="Q541" i="4"/>
  <c r="Q542" i="4"/>
  <c r="Q544" i="4"/>
  <c r="Q545" i="4"/>
  <c r="Q546" i="4"/>
  <c r="Q547" i="4"/>
  <c r="Q543" i="4"/>
  <c r="Q548" i="4"/>
  <c r="Q549" i="4"/>
  <c r="Q550" i="4"/>
  <c r="Q551" i="4"/>
  <c r="Q552" i="4"/>
  <c r="Q553" i="4"/>
  <c r="Q554" i="4"/>
  <c r="Q555" i="4"/>
  <c r="Q556" i="4"/>
  <c r="Q557" i="4"/>
  <c r="Q558" i="4"/>
  <c r="Q559" i="4"/>
  <c r="Q560" i="4"/>
  <c r="Q561" i="4"/>
  <c r="Q562" i="4"/>
  <c r="Q563" i="4"/>
  <c r="Q564" i="4"/>
  <c r="Q566" i="4"/>
  <c r="Q567" i="4"/>
  <c r="Q568" i="4"/>
  <c r="Q569" i="4"/>
  <c r="Q570" i="4"/>
  <c r="Q571" i="4"/>
  <c r="Q572" i="4"/>
  <c r="Q573" i="4"/>
  <c r="Q574" i="4"/>
  <c r="Q575" i="4"/>
  <c r="Q576" i="4"/>
  <c r="Q577" i="4"/>
  <c r="Q578" i="4"/>
  <c r="Q579" i="4"/>
  <c r="Q580" i="4"/>
  <c r="Q583" i="4"/>
  <c r="Q584" i="4"/>
  <c r="Q585" i="4"/>
  <c r="Q586" i="4"/>
  <c r="Q587" i="4"/>
  <c r="Q588" i="4"/>
  <c r="Q589" i="4"/>
  <c r="Q590" i="4"/>
  <c r="Q591" i="4"/>
  <c r="Q592" i="4"/>
  <c r="Q565" i="4"/>
  <c r="Q593" i="4"/>
  <c r="Q594" i="4"/>
  <c r="Q595" i="4"/>
  <c r="Q597" i="4"/>
  <c r="Q598" i="4"/>
  <c r="Q599" i="4"/>
  <c r="Q600" i="4"/>
  <c r="Q601" i="4"/>
  <c r="Q602" i="4"/>
  <c r="Q581" i="4"/>
  <c r="Q582" i="4"/>
  <c r="Q603" i="4"/>
  <c r="Q604" i="4"/>
  <c r="Q605" i="4"/>
  <c r="Q606" i="4"/>
  <c r="Q607" i="4"/>
  <c r="Q608" i="4"/>
  <c r="Q609" i="4"/>
  <c r="Q610" i="4"/>
  <c r="Q611" i="4"/>
  <c r="Q612" i="4"/>
  <c r="Q596" i="4"/>
  <c r="Q613" i="4"/>
  <c r="Q614" i="4"/>
  <c r="Q615" i="4"/>
  <c r="Q616" i="4"/>
  <c r="Q617" i="4"/>
  <c r="Q618" i="4"/>
  <c r="Q620" i="4"/>
  <c r="Q621" i="4"/>
  <c r="Q619" i="4"/>
  <c r="Q622" i="4"/>
  <c r="Q623" i="4"/>
  <c r="Q624" i="4"/>
  <c r="Q625" i="4"/>
  <c r="Q626" i="4"/>
  <c r="Q627" i="4"/>
  <c r="Q628" i="4"/>
  <c r="Q629" i="4"/>
  <c r="Q630" i="4"/>
  <c r="Q631" i="4"/>
  <c r="Q632" i="4"/>
  <c r="Q633" i="4"/>
  <c r="Q634" i="4"/>
  <c r="Q635" i="4"/>
  <c r="Q636" i="4"/>
  <c r="Q637" i="4"/>
  <c r="Q638" i="4"/>
  <c r="Q639" i="4"/>
  <c r="Q640" i="4"/>
  <c r="Q641" i="4"/>
  <c r="Q642" i="4"/>
  <c r="Q643" i="4"/>
  <c r="Q644" i="4"/>
  <c r="Q645" i="4"/>
  <c r="Q646" i="4"/>
  <c r="Q648" i="4"/>
  <c r="Q649" i="4"/>
  <c r="Q650" i="4"/>
  <c r="Q651" i="4"/>
  <c r="Q653" i="4"/>
  <c r="Q654" i="4"/>
  <c r="Q655" i="4"/>
  <c r="Q647" i="4"/>
  <c r="Q656" i="4"/>
  <c r="Q657" i="4"/>
  <c r="Q659" i="4"/>
  <c r="Q652" i="4"/>
  <c r="Q658" i="4"/>
  <c r="Q660" i="4"/>
  <c r="Q661" i="4"/>
  <c r="Q662" i="4"/>
  <c r="Q663" i="4"/>
  <c r="Q664" i="4"/>
  <c r="Q665" i="4"/>
  <c r="Q666" i="4"/>
  <c r="Q667" i="4"/>
  <c r="Q668" i="4"/>
  <c r="Q669" i="4"/>
  <c r="Q670" i="4"/>
  <c r="Q671" i="4"/>
  <c r="Q672" i="4"/>
  <c r="Q674" i="4"/>
  <c r="Q675" i="4"/>
  <c r="Q676" i="4"/>
  <c r="Q677" i="4"/>
  <c r="Q678" i="4"/>
  <c r="Q679" i="4"/>
  <c r="Q680" i="4"/>
  <c r="Q681" i="4"/>
  <c r="Q673" i="4"/>
  <c r="Q102" i="4"/>
  <c r="Q103" i="4"/>
  <c r="Q104" i="4"/>
  <c r="Q96" i="4"/>
  <c r="Q97" i="4"/>
  <c r="Q98" i="4"/>
  <c r="Q105" i="4"/>
  <c r="Q122" i="4"/>
  <c r="Q117" i="4"/>
  <c r="Q106" i="4"/>
  <c r="Q107" i="4"/>
  <c r="Q118" i="4"/>
  <c r="Q119" i="4"/>
  <c r="Q114" i="4"/>
  <c r="Q99" i="4"/>
  <c r="Q123" i="4"/>
  <c r="Q100" i="4"/>
  <c r="Q108" i="4"/>
  <c r="Q109" i="4"/>
  <c r="Q110" i="4"/>
  <c r="Q111" i="4"/>
  <c r="Q121" i="4"/>
  <c r="Q101" i="4"/>
  <c r="Q112" i="4"/>
  <c r="Q113" i="4"/>
  <c r="Q120" i="4"/>
  <c r="Q115" i="4"/>
  <c r="Q116" i="4"/>
  <c r="N50" i="4"/>
  <c r="N51" i="4"/>
  <c r="N52" i="4"/>
  <c r="N53" i="4"/>
  <c r="N54" i="4"/>
  <c r="N55" i="4"/>
  <c r="N56" i="4"/>
  <c r="N57" i="4"/>
  <c r="N59" i="4"/>
  <c r="N60" i="4"/>
  <c r="N61" i="4"/>
  <c r="N58" i="4"/>
  <c r="N62" i="4"/>
  <c r="N63" i="4"/>
  <c r="N64" i="4"/>
  <c r="N65" i="4"/>
  <c r="N67" i="4"/>
  <c r="N68" i="4"/>
  <c r="N69" i="4"/>
  <c r="N70" i="4"/>
  <c r="N66" i="4"/>
  <c r="N71" i="4"/>
  <c r="N72" i="4"/>
  <c r="N73" i="4"/>
  <c r="N74" i="4"/>
  <c r="N75" i="4"/>
  <c r="N76" i="4"/>
  <c r="N77" i="4"/>
  <c r="N78" i="4"/>
  <c r="N79" i="4"/>
  <c r="N80" i="4"/>
  <c r="N81" i="4"/>
  <c r="N83" i="4"/>
  <c r="N82" i="4"/>
  <c r="N84" i="4"/>
  <c r="N85" i="4"/>
  <c r="N86" i="4"/>
  <c r="N87" i="4"/>
  <c r="N88" i="4"/>
  <c r="N89" i="4"/>
  <c r="N90" i="4"/>
  <c r="N91" i="4"/>
  <c r="N92" i="4"/>
  <c r="N93" i="4"/>
  <c r="N94" i="4"/>
  <c r="N95" i="4"/>
  <c r="N124" i="4"/>
  <c r="N125" i="4"/>
  <c r="N126" i="4"/>
  <c r="N127" i="4"/>
  <c r="N128" i="4"/>
  <c r="N129" i="4"/>
  <c r="N130" i="4"/>
  <c r="N131" i="4"/>
  <c r="N132" i="4"/>
  <c r="N133" i="4"/>
  <c r="N134" i="4"/>
  <c r="N135" i="4"/>
  <c r="N137" i="4"/>
  <c r="N138" i="4"/>
  <c r="N139" i="4"/>
  <c r="N140" i="4"/>
  <c r="N136" i="4"/>
  <c r="N142" i="4"/>
  <c r="N143" i="4"/>
  <c r="N144" i="4"/>
  <c r="N146" i="4"/>
  <c r="N147" i="4"/>
  <c r="N149" i="4"/>
  <c r="N150" i="4"/>
  <c r="N151" i="4"/>
  <c r="N153" i="4"/>
  <c r="N145" i="4"/>
  <c r="N154" i="4"/>
  <c r="N148" i="4"/>
  <c r="N152" i="4"/>
  <c r="N155" i="4"/>
  <c r="N156" i="4"/>
  <c r="N141" i="4"/>
  <c r="N157" i="4"/>
  <c r="N158" i="4"/>
  <c r="N159" i="4"/>
  <c r="N160" i="4"/>
  <c r="N161" i="4"/>
  <c r="N162" i="4"/>
  <c r="N163" i="4"/>
  <c r="N164" i="4"/>
  <c r="N165" i="4"/>
  <c r="N166" i="4"/>
  <c r="N167" i="4"/>
  <c r="N168" i="4"/>
  <c r="N169" i="4"/>
  <c r="N170" i="4"/>
  <c r="N171" i="4"/>
  <c r="N172" i="4"/>
  <c r="N173" i="4"/>
  <c r="N174" i="4"/>
  <c r="N175" i="4"/>
  <c r="N176" i="4"/>
  <c r="N177" i="4"/>
  <c r="N178" i="4"/>
  <c r="N179" i="4"/>
  <c r="N180" i="4"/>
  <c r="N181" i="4"/>
  <c r="N182" i="4"/>
  <c r="N183" i="4"/>
  <c r="N184" i="4"/>
  <c r="N185" i="4"/>
  <c r="N186" i="4"/>
  <c r="N187" i="4"/>
  <c r="N188" i="4"/>
  <c r="N189" i="4"/>
  <c r="N190" i="4"/>
  <c r="N191" i="4"/>
  <c r="N192" i="4"/>
  <c r="N193" i="4"/>
  <c r="N194" i="4"/>
  <c r="N196" i="4"/>
  <c r="N197" i="4"/>
  <c r="N198" i="4"/>
  <c r="N199" i="4"/>
  <c r="N200" i="4"/>
  <c r="N201" i="4"/>
  <c r="N202" i="4"/>
  <c r="N203" i="4"/>
  <c r="N195" i="4"/>
  <c r="N204" i="4"/>
  <c r="N205" i="4"/>
  <c r="N206" i="4"/>
  <c r="N207" i="4"/>
  <c r="N208" i="4"/>
  <c r="N209" i="4"/>
  <c r="N210" i="4"/>
  <c r="N211" i="4"/>
  <c r="N212" i="4"/>
  <c r="N213" i="4"/>
  <c r="N214" i="4"/>
  <c r="N215" i="4"/>
  <c r="N216" i="4"/>
  <c r="N217" i="4"/>
  <c r="N218" i="4"/>
  <c r="N219" i="4"/>
  <c r="N220" i="4"/>
  <c r="N221" i="4"/>
  <c r="N222" i="4"/>
  <c r="N223" i="4"/>
  <c r="N224" i="4"/>
  <c r="N225" i="4"/>
  <c r="N226" i="4"/>
  <c r="N227" i="4"/>
  <c r="N228" i="4"/>
  <c r="N229" i="4"/>
  <c r="N230" i="4"/>
  <c r="N231" i="4"/>
  <c r="N233" i="4"/>
  <c r="N234" i="4"/>
  <c r="N235" i="4"/>
  <c r="N236" i="4"/>
  <c r="N237" i="4"/>
  <c r="N232" i="4"/>
  <c r="N238" i="4"/>
  <c r="N240" i="4"/>
  <c r="N239" i="4"/>
  <c r="N241" i="4"/>
  <c r="N242" i="4"/>
  <c r="N243" i="4"/>
  <c r="N244" i="4"/>
  <c r="N245" i="4"/>
  <c r="N246" i="4"/>
  <c r="N247" i="4"/>
  <c r="N248" i="4"/>
  <c r="N249" i="4"/>
  <c r="N251" i="4"/>
  <c r="N253" i="4"/>
  <c r="N254" i="4"/>
  <c r="N255" i="4"/>
  <c r="N256" i="4"/>
  <c r="N257" i="4"/>
  <c r="N250" i="4"/>
  <c r="N258" i="4"/>
  <c r="N259" i="4"/>
  <c r="N260" i="4"/>
  <c r="N252" i="4"/>
  <c r="N261" i="4"/>
  <c r="N262" i="4"/>
  <c r="N263" i="4"/>
  <c r="N264" i="4"/>
  <c r="N265" i="4"/>
  <c r="N266" i="4"/>
  <c r="N267" i="4"/>
  <c r="N268" i="4"/>
  <c r="N269" i="4"/>
  <c r="N270" i="4"/>
  <c r="N271" i="4"/>
  <c r="N272" i="4"/>
  <c r="N273" i="4"/>
  <c r="N274" i="4"/>
  <c r="N275" i="4"/>
  <c r="N276" i="4"/>
  <c r="N277" i="4"/>
  <c r="N278" i="4"/>
  <c r="N279" i="4"/>
  <c r="N280" i="4"/>
  <c r="N281" i="4"/>
  <c r="N282" i="4"/>
  <c r="N283" i="4"/>
  <c r="N284" i="4"/>
  <c r="N285" i="4"/>
  <c r="N286" i="4"/>
  <c r="N287" i="4"/>
  <c r="N288" i="4"/>
  <c r="N289" i="4"/>
  <c r="N291" i="4"/>
  <c r="N290" i="4"/>
  <c r="N292" i="4"/>
  <c r="N293" i="4"/>
  <c r="N294" i="4"/>
  <c r="N295" i="4"/>
  <c r="N296" i="4"/>
  <c r="N297" i="4"/>
  <c r="N298" i="4"/>
  <c r="N299" i="4"/>
  <c r="N300" i="4"/>
  <c r="N301" i="4"/>
  <c r="N302" i="4"/>
  <c r="N303" i="4"/>
  <c r="N304" i="4"/>
  <c r="N305" i="4"/>
  <c r="N306" i="4"/>
  <c r="N307" i="4"/>
  <c r="N308" i="4"/>
  <c r="N309" i="4"/>
  <c r="N310" i="4"/>
  <c r="N311" i="4"/>
  <c r="N312" i="4"/>
  <c r="N313" i="4"/>
  <c r="N314" i="4"/>
  <c r="N315" i="4"/>
  <c r="N316" i="4"/>
  <c r="N317" i="4"/>
  <c r="N318" i="4"/>
  <c r="N319" i="4"/>
  <c r="N320" i="4"/>
  <c r="N321" i="4"/>
  <c r="N322" i="4"/>
  <c r="N323" i="4"/>
  <c r="N324" i="4"/>
  <c r="N325" i="4"/>
  <c r="N326" i="4"/>
  <c r="N327" i="4"/>
  <c r="N328" i="4"/>
  <c r="N329" i="4"/>
  <c r="N330" i="4"/>
  <c r="N331" i="4"/>
  <c r="N332" i="4"/>
  <c r="N333" i="4"/>
  <c r="N334" i="4"/>
  <c r="N335" i="4"/>
  <c r="N336" i="4"/>
  <c r="N337" i="4"/>
  <c r="N338" i="4"/>
  <c r="N339" i="4"/>
  <c r="N340" i="4"/>
  <c r="N341" i="4"/>
  <c r="N342" i="4"/>
  <c r="N343" i="4"/>
  <c r="N344" i="4"/>
  <c r="N345" i="4"/>
  <c r="N346" i="4"/>
  <c r="N347" i="4"/>
  <c r="N348" i="4"/>
  <c r="N349" i="4"/>
  <c r="N350" i="4"/>
  <c r="N351" i="4"/>
  <c r="N352" i="4"/>
  <c r="N353" i="4"/>
  <c r="N354" i="4"/>
  <c r="N355" i="4"/>
  <c r="N356" i="4"/>
  <c r="N357" i="4"/>
  <c r="N358" i="4"/>
  <c r="N359" i="4"/>
  <c r="N360" i="4"/>
  <c r="N388" i="4"/>
  <c r="N389" i="4"/>
  <c r="N397" i="4"/>
  <c r="N390" i="4"/>
  <c r="N430" i="4"/>
  <c r="N391" i="4"/>
  <c r="N392" i="4"/>
  <c r="N393" i="4"/>
  <c r="N394" i="4"/>
  <c r="N395" i="4"/>
  <c r="N396" i="4"/>
  <c r="N398" i="4"/>
  <c r="N399" i="4"/>
  <c r="N400" i="4"/>
  <c r="N401" i="4"/>
  <c r="N402" i="4"/>
  <c r="N403" i="4"/>
  <c r="N404" i="4"/>
  <c r="N405" i="4"/>
  <c r="N406" i="4"/>
  <c r="N407" i="4"/>
  <c r="N408" i="4"/>
  <c r="N409" i="4"/>
  <c r="N410" i="4"/>
  <c r="N411" i="4"/>
  <c r="N412" i="4"/>
  <c r="N413" i="4"/>
  <c r="N414" i="4"/>
  <c r="N415" i="4"/>
  <c r="N416" i="4"/>
  <c r="N417" i="4"/>
  <c r="N419" i="4"/>
  <c r="N420" i="4"/>
  <c r="N421" i="4"/>
  <c r="N422" i="4"/>
  <c r="N423" i="4"/>
  <c r="N424" i="4"/>
  <c r="N425" i="4"/>
  <c r="N426" i="4"/>
  <c r="N427" i="4"/>
  <c r="N428" i="4"/>
  <c r="N429" i="4"/>
  <c r="N431" i="4"/>
  <c r="N432" i="4"/>
  <c r="N433" i="4"/>
  <c r="N434" i="4"/>
  <c r="N418" i="4"/>
  <c r="N361" i="4"/>
  <c r="N362" i="4"/>
  <c r="N363" i="4"/>
  <c r="N364" i="4"/>
  <c r="N365" i="4"/>
  <c r="N366" i="4"/>
  <c r="N367" i="4"/>
  <c r="N368" i="4"/>
  <c r="N369" i="4"/>
  <c r="N370" i="4"/>
  <c r="N371" i="4"/>
  <c r="N372" i="4"/>
  <c r="N373" i="4"/>
  <c r="N374" i="4"/>
  <c r="N376" i="4"/>
  <c r="N378" i="4"/>
  <c r="N379" i="4"/>
  <c r="N375" i="4"/>
  <c r="N377" i="4"/>
  <c r="N380" i="4"/>
  <c r="N381" i="4"/>
  <c r="N382" i="4"/>
  <c r="N383" i="4"/>
  <c r="N384" i="4"/>
  <c r="N385" i="4"/>
  <c r="N386" i="4"/>
  <c r="N387" i="4"/>
  <c r="N435" i="4"/>
  <c r="N436" i="4"/>
  <c r="N437" i="4"/>
  <c r="N438" i="4"/>
  <c r="N439" i="4"/>
  <c r="N440" i="4"/>
  <c r="N441" i="4"/>
  <c r="N442" i="4"/>
  <c r="N443" i="4"/>
  <c r="N444" i="4"/>
  <c r="N446" i="4"/>
  <c r="N445" i="4"/>
  <c r="N447" i="4"/>
  <c r="N449" i="4"/>
  <c r="N451" i="4"/>
  <c r="N452" i="4"/>
  <c r="N453" i="4"/>
  <c r="N454" i="4"/>
  <c r="N448" i="4"/>
  <c r="N455" i="4"/>
  <c r="N456" i="4"/>
  <c r="N457" i="4"/>
  <c r="N450" i="4"/>
  <c r="N458" i="4"/>
  <c r="N459" i="4"/>
  <c r="N460" i="4"/>
  <c r="N461" i="4"/>
  <c r="N462" i="4"/>
  <c r="N463" i="4"/>
  <c r="N464" i="4"/>
  <c r="N465" i="4"/>
  <c r="N466" i="4"/>
  <c r="N467" i="4"/>
  <c r="N468" i="4"/>
  <c r="N470" i="4"/>
  <c r="N471" i="4"/>
  <c r="N472" i="4"/>
  <c r="N469" i="4"/>
  <c r="N473" i="4"/>
  <c r="N474" i="4"/>
  <c r="N475" i="4"/>
  <c r="N476" i="4"/>
  <c r="N478" i="4"/>
  <c r="N479" i="4"/>
  <c r="N481" i="4"/>
  <c r="N482" i="4"/>
  <c r="N484" i="4"/>
  <c r="N485" i="4"/>
  <c r="N477" i="4"/>
  <c r="N486" i="4"/>
  <c r="N487" i="4"/>
  <c r="N480" i="4"/>
  <c r="N488" i="4"/>
  <c r="N483" i="4"/>
  <c r="N489" i="4"/>
  <c r="N490" i="4"/>
  <c r="N491" i="4"/>
  <c r="N492" i="4"/>
  <c r="N493" i="4"/>
  <c r="N494" i="4"/>
  <c r="N495" i="4"/>
  <c r="N496" i="4"/>
  <c r="N497" i="4"/>
  <c r="N498" i="4"/>
  <c r="N499" i="4"/>
  <c r="N500" i="4"/>
  <c r="N501" i="4"/>
  <c r="N502" i="4"/>
  <c r="N503" i="4"/>
  <c r="N504" i="4"/>
  <c r="N505" i="4"/>
  <c r="N506" i="4"/>
  <c r="N507" i="4"/>
  <c r="N508" i="4"/>
  <c r="N509" i="4"/>
  <c r="N510" i="4"/>
  <c r="N511" i="4"/>
  <c r="N512" i="4"/>
  <c r="N513" i="4"/>
  <c r="N514" i="4"/>
  <c r="N515" i="4"/>
  <c r="N516" i="4"/>
  <c r="N517" i="4"/>
  <c r="N518" i="4"/>
  <c r="N519" i="4"/>
  <c r="N520" i="4"/>
  <c r="N521" i="4"/>
  <c r="N522" i="4"/>
  <c r="N523" i="4"/>
  <c r="N524" i="4"/>
  <c r="N525" i="4"/>
  <c r="N526" i="4"/>
  <c r="N527" i="4"/>
  <c r="N528" i="4"/>
  <c r="N529" i="4"/>
  <c r="N530" i="4"/>
  <c r="N531" i="4"/>
  <c r="N532" i="4"/>
  <c r="N533" i="4"/>
  <c r="N534" i="4"/>
  <c r="N535" i="4"/>
  <c r="N536" i="4"/>
  <c r="N537" i="4"/>
  <c r="N538" i="4"/>
  <c r="N539" i="4"/>
  <c r="N540" i="4"/>
  <c r="N541" i="4"/>
  <c r="N542" i="4"/>
  <c r="N544" i="4"/>
  <c r="N545" i="4"/>
  <c r="N546" i="4"/>
  <c r="N547" i="4"/>
  <c r="N543" i="4"/>
  <c r="N548" i="4"/>
  <c r="N549" i="4"/>
  <c r="N550" i="4"/>
  <c r="N551" i="4"/>
  <c r="N552" i="4"/>
  <c r="N553" i="4"/>
  <c r="N554" i="4"/>
  <c r="N555" i="4"/>
  <c r="N556" i="4"/>
  <c r="N557" i="4"/>
  <c r="N558" i="4"/>
  <c r="N559" i="4"/>
  <c r="N560" i="4"/>
  <c r="N561" i="4"/>
  <c r="N562" i="4"/>
  <c r="N563" i="4"/>
  <c r="N564" i="4"/>
  <c r="N566" i="4"/>
  <c r="N567" i="4"/>
  <c r="N568" i="4"/>
  <c r="N569" i="4"/>
  <c r="N570" i="4"/>
  <c r="N571" i="4"/>
  <c r="N572" i="4"/>
  <c r="N573" i="4"/>
  <c r="N574" i="4"/>
  <c r="N575" i="4"/>
  <c r="N576" i="4"/>
  <c r="N577" i="4"/>
  <c r="N578" i="4"/>
  <c r="N579" i="4"/>
  <c r="N580" i="4"/>
  <c r="N583" i="4"/>
  <c r="N584" i="4"/>
  <c r="N585" i="4"/>
  <c r="N586" i="4"/>
  <c r="N587" i="4"/>
  <c r="N588" i="4"/>
  <c r="N589" i="4"/>
  <c r="N590" i="4"/>
  <c r="N591" i="4"/>
  <c r="N592" i="4"/>
  <c r="N565" i="4"/>
  <c r="N593" i="4"/>
  <c r="N594" i="4"/>
  <c r="N595" i="4"/>
  <c r="N597" i="4"/>
  <c r="N598" i="4"/>
  <c r="N599" i="4"/>
  <c r="N600" i="4"/>
  <c r="N601" i="4"/>
  <c r="N602" i="4"/>
  <c r="N581" i="4"/>
  <c r="N582" i="4"/>
  <c r="N603" i="4"/>
  <c r="N604" i="4"/>
  <c r="N605" i="4"/>
  <c r="N606" i="4"/>
  <c r="N607" i="4"/>
  <c r="N608" i="4"/>
  <c r="N609" i="4"/>
  <c r="N610" i="4"/>
  <c r="N611" i="4"/>
  <c r="N612" i="4"/>
  <c r="N596" i="4"/>
  <c r="N613" i="4"/>
  <c r="N614" i="4"/>
  <c r="N615" i="4"/>
  <c r="N616" i="4"/>
  <c r="N617" i="4"/>
  <c r="N618" i="4"/>
  <c r="N620" i="4"/>
  <c r="N621" i="4"/>
  <c r="N619" i="4"/>
  <c r="N622" i="4"/>
  <c r="N623" i="4"/>
  <c r="N624" i="4"/>
  <c r="N625" i="4"/>
  <c r="N626" i="4"/>
  <c r="N627" i="4"/>
  <c r="N628" i="4"/>
  <c r="N629" i="4"/>
  <c r="N630" i="4"/>
  <c r="N631" i="4"/>
  <c r="N632" i="4"/>
  <c r="N633" i="4"/>
  <c r="N634" i="4"/>
  <c r="N635" i="4"/>
  <c r="N636" i="4"/>
  <c r="N637" i="4"/>
  <c r="N638" i="4"/>
  <c r="N639" i="4"/>
  <c r="N640" i="4"/>
  <c r="N641" i="4"/>
  <c r="N642" i="4"/>
  <c r="N643" i="4"/>
  <c r="N644" i="4"/>
  <c r="N645" i="4"/>
  <c r="N646" i="4"/>
  <c r="N648" i="4"/>
  <c r="N649" i="4"/>
  <c r="N650" i="4"/>
  <c r="N651" i="4"/>
  <c r="N653" i="4"/>
  <c r="N654" i="4"/>
  <c r="N655" i="4"/>
  <c r="N647" i="4"/>
  <c r="N656" i="4"/>
  <c r="N657" i="4"/>
  <c r="N659" i="4"/>
  <c r="N652" i="4"/>
  <c r="N658" i="4"/>
  <c r="N660" i="4"/>
  <c r="N661" i="4"/>
  <c r="N662" i="4"/>
  <c r="N663" i="4"/>
  <c r="N664" i="4"/>
  <c r="N665" i="4"/>
  <c r="N666" i="4"/>
  <c r="N667" i="4"/>
  <c r="N668" i="4"/>
  <c r="N669" i="4"/>
  <c r="N670" i="4"/>
  <c r="N671" i="4"/>
  <c r="N672" i="4"/>
  <c r="N674" i="4"/>
  <c r="N675" i="4"/>
  <c r="N676" i="4"/>
  <c r="N677" i="4"/>
  <c r="N678" i="4"/>
  <c r="N679" i="4"/>
  <c r="N680" i="4"/>
  <c r="N681" i="4"/>
  <c r="N673" i="4"/>
  <c r="N102" i="4"/>
  <c r="N103" i="4"/>
  <c r="N104" i="4"/>
  <c r="N96" i="4"/>
  <c r="N97" i="4"/>
  <c r="N98" i="4"/>
  <c r="N105" i="4"/>
  <c r="N122" i="4"/>
  <c r="N117" i="4"/>
  <c r="N106" i="4"/>
  <c r="N107" i="4"/>
  <c r="N118" i="4"/>
  <c r="N119" i="4"/>
  <c r="N114" i="4"/>
  <c r="N99" i="4"/>
  <c r="N123" i="4"/>
  <c r="N100" i="4"/>
  <c r="N108" i="4"/>
  <c r="N109" i="4"/>
  <c r="N110" i="4"/>
  <c r="N111" i="4"/>
  <c r="N121" i="4"/>
  <c r="N101" i="4"/>
  <c r="N112" i="4"/>
  <c r="N113" i="4"/>
  <c r="N120" i="4"/>
  <c r="N115" i="4"/>
  <c r="N116" i="4"/>
  <c r="K49" i="4"/>
  <c r="K50" i="4"/>
  <c r="K51" i="4"/>
  <c r="K52" i="4"/>
  <c r="K53" i="4"/>
  <c r="K54" i="4"/>
  <c r="K55" i="4"/>
  <c r="K56" i="4"/>
  <c r="K57" i="4"/>
  <c r="K59" i="4"/>
  <c r="K60" i="4"/>
  <c r="K61" i="4"/>
  <c r="K58" i="4"/>
  <c r="K62" i="4"/>
  <c r="K63" i="4"/>
  <c r="K64" i="4"/>
  <c r="K65" i="4"/>
  <c r="K67" i="4"/>
  <c r="K68" i="4"/>
  <c r="K69" i="4"/>
  <c r="K70" i="4"/>
  <c r="K66" i="4"/>
  <c r="K71" i="4"/>
  <c r="K72" i="4"/>
  <c r="K73" i="4"/>
  <c r="K74" i="4"/>
  <c r="K75" i="4"/>
  <c r="K76" i="4"/>
  <c r="K77" i="4"/>
  <c r="K78" i="4"/>
  <c r="K79" i="4"/>
  <c r="K80" i="4"/>
  <c r="K81" i="4"/>
  <c r="K83" i="4"/>
  <c r="K82" i="4"/>
  <c r="K84" i="4"/>
  <c r="K85" i="4"/>
  <c r="K86" i="4"/>
  <c r="K87" i="4"/>
  <c r="K88" i="4"/>
  <c r="K89" i="4"/>
  <c r="K90" i="4"/>
  <c r="K91" i="4"/>
  <c r="K92" i="4"/>
  <c r="K93" i="4"/>
  <c r="K94" i="4"/>
  <c r="K95" i="4"/>
  <c r="K124" i="4"/>
  <c r="K125" i="4"/>
  <c r="K126" i="4"/>
  <c r="K127" i="4"/>
  <c r="K128" i="4"/>
  <c r="K129" i="4"/>
  <c r="K130" i="4"/>
  <c r="K131" i="4"/>
  <c r="K132" i="4"/>
  <c r="K133" i="4"/>
  <c r="K134" i="4"/>
  <c r="K135" i="4"/>
  <c r="K137" i="4"/>
  <c r="K138" i="4"/>
  <c r="K139" i="4"/>
  <c r="K140" i="4"/>
  <c r="K136" i="4"/>
  <c r="K142" i="4"/>
  <c r="K143" i="4"/>
  <c r="K144" i="4"/>
  <c r="K146" i="4"/>
  <c r="K147" i="4"/>
  <c r="K149" i="4"/>
  <c r="K150" i="4"/>
  <c r="K151" i="4"/>
  <c r="K153" i="4"/>
  <c r="K145" i="4"/>
  <c r="K154" i="4"/>
  <c r="K148" i="4"/>
  <c r="K152" i="4"/>
  <c r="K155" i="4"/>
  <c r="K156" i="4"/>
  <c r="K141" i="4"/>
  <c r="K157" i="4"/>
  <c r="K158" i="4"/>
  <c r="K159" i="4"/>
  <c r="K160" i="4"/>
  <c r="K161" i="4"/>
  <c r="K162" i="4"/>
  <c r="K163" i="4"/>
  <c r="K164" i="4"/>
  <c r="K165" i="4"/>
  <c r="K166" i="4"/>
  <c r="K167" i="4"/>
  <c r="K168" i="4"/>
  <c r="K169" i="4"/>
  <c r="K170" i="4"/>
  <c r="K171" i="4"/>
  <c r="K172" i="4"/>
  <c r="K173" i="4"/>
  <c r="K174" i="4"/>
  <c r="K175" i="4"/>
  <c r="K176" i="4"/>
  <c r="K177" i="4"/>
  <c r="K178" i="4"/>
  <c r="K179" i="4"/>
  <c r="K180" i="4"/>
  <c r="K181" i="4"/>
  <c r="K206" i="4"/>
  <c r="K207" i="4"/>
  <c r="K208" i="4"/>
  <c r="K209" i="4"/>
  <c r="K210" i="4"/>
  <c r="K211" i="4"/>
  <c r="K212" i="4"/>
  <c r="K213" i="4"/>
  <c r="K214" i="4"/>
  <c r="K215" i="4"/>
  <c r="K216" i="4"/>
  <c r="K217" i="4"/>
  <c r="K218" i="4"/>
  <c r="K219" i="4"/>
  <c r="K220" i="4"/>
  <c r="K221" i="4"/>
  <c r="K222" i="4"/>
  <c r="K223" i="4"/>
  <c r="K224" i="4"/>
  <c r="K225" i="4"/>
  <c r="K226" i="4"/>
  <c r="K227" i="4"/>
  <c r="K228" i="4"/>
  <c r="K229" i="4"/>
  <c r="K230" i="4"/>
  <c r="K231" i="4"/>
  <c r="K233" i="4"/>
  <c r="K234" i="4"/>
  <c r="K235" i="4"/>
  <c r="K236" i="4"/>
  <c r="K237" i="4"/>
  <c r="K232" i="4"/>
  <c r="K238" i="4"/>
  <c r="K240" i="4"/>
  <c r="K239" i="4"/>
  <c r="K241" i="4"/>
  <c r="K242" i="4"/>
  <c r="K243" i="4"/>
  <c r="K244" i="4"/>
  <c r="K245" i="4"/>
  <c r="K246" i="4"/>
  <c r="K247" i="4"/>
  <c r="K248" i="4"/>
  <c r="K249" i="4"/>
  <c r="K251" i="4"/>
  <c r="K253" i="4"/>
  <c r="K254" i="4"/>
  <c r="K255" i="4"/>
  <c r="K256" i="4"/>
  <c r="K257" i="4"/>
  <c r="K250" i="4"/>
  <c r="K258" i="4"/>
  <c r="K259" i="4"/>
  <c r="K260" i="4"/>
  <c r="K252" i="4"/>
  <c r="K261" i="4"/>
  <c r="K262" i="4"/>
  <c r="K263" i="4"/>
  <c r="K264" i="4"/>
  <c r="K265" i="4"/>
  <c r="K266" i="4"/>
  <c r="K267" i="4"/>
  <c r="K268" i="4"/>
  <c r="K269" i="4"/>
  <c r="K270" i="4"/>
  <c r="K271" i="4"/>
  <c r="K272" i="4"/>
  <c r="K273" i="4"/>
  <c r="K274" i="4"/>
  <c r="K275" i="4"/>
  <c r="K276" i="4"/>
  <c r="K277" i="4"/>
  <c r="K278" i="4"/>
  <c r="K279" i="4"/>
  <c r="K280" i="4"/>
  <c r="K281" i="4"/>
  <c r="K282" i="4"/>
  <c r="K283" i="4"/>
  <c r="K284" i="4"/>
  <c r="K285" i="4"/>
  <c r="K286" i="4"/>
  <c r="K287" i="4"/>
  <c r="K288" i="4"/>
  <c r="K289" i="4"/>
  <c r="K291" i="4"/>
  <c r="K290" i="4"/>
  <c r="K292" i="4"/>
  <c r="K293" i="4"/>
  <c r="K294" i="4"/>
  <c r="K295" i="4"/>
  <c r="K296" i="4"/>
  <c r="K297" i="4"/>
  <c r="K298" i="4"/>
  <c r="K299" i="4"/>
  <c r="K300" i="4"/>
  <c r="K301" i="4"/>
  <c r="K302" i="4"/>
  <c r="K303" i="4"/>
  <c r="K304" i="4"/>
  <c r="K305" i="4"/>
  <c r="K306" i="4"/>
  <c r="K307" i="4"/>
  <c r="K308" i="4"/>
  <c r="K309" i="4"/>
  <c r="K310" i="4"/>
  <c r="K311" i="4"/>
  <c r="K312" i="4"/>
  <c r="K313" i="4"/>
  <c r="K314" i="4"/>
  <c r="K315" i="4"/>
  <c r="K316" i="4"/>
  <c r="K317" i="4"/>
  <c r="K318" i="4"/>
  <c r="K319" i="4"/>
  <c r="K320" i="4"/>
  <c r="K321" i="4"/>
  <c r="K322" i="4"/>
  <c r="K323" i="4"/>
  <c r="K324" i="4"/>
  <c r="K325" i="4"/>
  <c r="K326" i="4"/>
  <c r="K327" i="4"/>
  <c r="K328" i="4"/>
  <c r="K329" i="4"/>
  <c r="K330" i="4"/>
  <c r="K331" i="4"/>
  <c r="K332" i="4"/>
  <c r="K333" i="4"/>
  <c r="K334" i="4"/>
  <c r="K335" i="4"/>
  <c r="K336" i="4"/>
  <c r="K337" i="4"/>
  <c r="K338" i="4"/>
  <c r="K339" i="4"/>
  <c r="K340" i="4"/>
  <c r="K341" i="4"/>
  <c r="K342" i="4"/>
  <c r="K343" i="4"/>
  <c r="K344" i="4"/>
  <c r="K345" i="4"/>
  <c r="K346" i="4"/>
  <c r="K347" i="4"/>
  <c r="K348" i="4"/>
  <c r="K349" i="4"/>
  <c r="K350" i="4"/>
  <c r="K351" i="4"/>
  <c r="K352" i="4"/>
  <c r="K353" i="4"/>
  <c r="K354" i="4"/>
  <c r="K355" i="4"/>
  <c r="K356" i="4"/>
  <c r="K357" i="4"/>
  <c r="K358" i="4"/>
  <c r="K359" i="4"/>
  <c r="K360" i="4"/>
  <c r="K388" i="4"/>
  <c r="K389" i="4"/>
  <c r="K397" i="4"/>
  <c r="K390" i="4"/>
  <c r="K430" i="4"/>
  <c r="K391" i="4"/>
  <c r="K392" i="4"/>
  <c r="K393" i="4"/>
  <c r="K394" i="4"/>
  <c r="K395" i="4"/>
  <c r="K396" i="4"/>
  <c r="K398" i="4"/>
  <c r="K399" i="4"/>
  <c r="K400" i="4"/>
  <c r="K401" i="4"/>
  <c r="K402" i="4"/>
  <c r="K403" i="4"/>
  <c r="K404" i="4"/>
  <c r="K405" i="4"/>
  <c r="K406" i="4"/>
  <c r="K407" i="4"/>
  <c r="K408" i="4"/>
  <c r="K409" i="4"/>
  <c r="K410" i="4"/>
  <c r="K411" i="4"/>
  <c r="K412" i="4"/>
  <c r="K413" i="4"/>
  <c r="K414" i="4"/>
  <c r="K415" i="4"/>
  <c r="K416" i="4"/>
  <c r="K417" i="4"/>
  <c r="K419" i="4"/>
  <c r="K420" i="4"/>
  <c r="K421" i="4"/>
  <c r="K422" i="4"/>
  <c r="K423" i="4"/>
  <c r="K424" i="4"/>
  <c r="K425" i="4"/>
  <c r="K426" i="4"/>
  <c r="K427" i="4"/>
  <c r="K428" i="4"/>
  <c r="K429" i="4"/>
  <c r="K431" i="4"/>
  <c r="K432" i="4"/>
  <c r="K433" i="4"/>
  <c r="K434" i="4"/>
  <c r="K418" i="4"/>
  <c r="K361" i="4"/>
  <c r="K362" i="4"/>
  <c r="K363" i="4"/>
  <c r="K364" i="4"/>
  <c r="K365" i="4"/>
  <c r="K366" i="4"/>
  <c r="K367" i="4"/>
  <c r="K368" i="4"/>
  <c r="K369" i="4"/>
  <c r="K370" i="4"/>
  <c r="K371" i="4"/>
  <c r="K372" i="4"/>
  <c r="K373" i="4"/>
  <c r="K374" i="4"/>
  <c r="K376" i="4"/>
  <c r="K378" i="4"/>
  <c r="K379" i="4"/>
  <c r="K375" i="4"/>
  <c r="K377" i="4"/>
  <c r="K380" i="4"/>
  <c r="K381" i="4"/>
  <c r="K382" i="4"/>
  <c r="K383" i="4"/>
  <c r="K384" i="4"/>
  <c r="K385" i="4"/>
  <c r="K386" i="4"/>
  <c r="K387" i="4"/>
  <c r="K435" i="4"/>
  <c r="K436" i="4"/>
  <c r="K437" i="4"/>
  <c r="K438" i="4"/>
  <c r="K439" i="4"/>
  <c r="K440" i="4"/>
  <c r="K441" i="4"/>
  <c r="K442" i="4"/>
  <c r="K443" i="4"/>
  <c r="K444" i="4"/>
  <c r="K446" i="4"/>
  <c r="K445" i="4"/>
  <c r="K447" i="4"/>
  <c r="K449" i="4"/>
  <c r="K451" i="4"/>
  <c r="K452" i="4"/>
  <c r="K453" i="4"/>
  <c r="K454" i="4"/>
  <c r="K448" i="4"/>
  <c r="K455" i="4"/>
  <c r="K456" i="4"/>
  <c r="K457" i="4"/>
  <c r="K450" i="4"/>
  <c r="K458" i="4"/>
  <c r="K459" i="4"/>
  <c r="K460" i="4"/>
  <c r="K461" i="4"/>
  <c r="K462" i="4"/>
  <c r="K463" i="4"/>
  <c r="K464" i="4"/>
  <c r="K465" i="4"/>
  <c r="K466" i="4"/>
  <c r="K467" i="4"/>
  <c r="K468" i="4"/>
  <c r="K470" i="4"/>
  <c r="K471" i="4"/>
  <c r="K472" i="4"/>
  <c r="K469" i="4"/>
  <c r="K473" i="4"/>
  <c r="K474" i="4"/>
  <c r="K475" i="4"/>
  <c r="K476" i="4"/>
  <c r="K478" i="4"/>
  <c r="K479" i="4"/>
  <c r="K481" i="4"/>
  <c r="K482" i="4"/>
  <c r="K484" i="4"/>
  <c r="K485" i="4"/>
  <c r="K477" i="4"/>
  <c r="K486" i="4"/>
  <c r="K487" i="4"/>
  <c r="K480" i="4"/>
  <c r="K488" i="4"/>
  <c r="K483" i="4"/>
  <c r="K489" i="4"/>
  <c r="K490" i="4"/>
  <c r="K491" i="4"/>
  <c r="K492" i="4"/>
  <c r="K493" i="4"/>
  <c r="K494" i="4"/>
  <c r="K495" i="4"/>
  <c r="K496" i="4"/>
  <c r="K497" i="4"/>
  <c r="K498" i="4"/>
  <c r="K499" i="4"/>
  <c r="K500" i="4"/>
  <c r="K501" i="4"/>
  <c r="K502" i="4"/>
  <c r="K503" i="4"/>
  <c r="K504" i="4"/>
  <c r="K505" i="4"/>
  <c r="K506" i="4"/>
  <c r="K507" i="4"/>
  <c r="K508" i="4"/>
  <c r="K509" i="4"/>
  <c r="K510" i="4"/>
  <c r="K511" i="4"/>
  <c r="K512" i="4"/>
  <c r="K513" i="4"/>
  <c r="K514" i="4"/>
  <c r="K515" i="4"/>
  <c r="K516" i="4"/>
  <c r="K517" i="4"/>
  <c r="K518" i="4"/>
  <c r="K519" i="4"/>
  <c r="K520" i="4"/>
  <c r="K521" i="4"/>
  <c r="K522" i="4"/>
  <c r="K523" i="4"/>
  <c r="K524" i="4"/>
  <c r="K525" i="4"/>
  <c r="K526" i="4"/>
  <c r="K527" i="4"/>
  <c r="K528" i="4"/>
  <c r="K529" i="4"/>
  <c r="K530" i="4"/>
  <c r="K531" i="4"/>
  <c r="K532" i="4"/>
  <c r="K533" i="4"/>
  <c r="K534" i="4"/>
  <c r="K535" i="4"/>
  <c r="K536" i="4"/>
  <c r="K537" i="4"/>
  <c r="K538" i="4"/>
  <c r="K539" i="4"/>
  <c r="K540" i="4"/>
  <c r="K541" i="4"/>
  <c r="K542" i="4"/>
  <c r="K544" i="4"/>
  <c r="K545" i="4"/>
  <c r="K546" i="4"/>
  <c r="K547" i="4"/>
  <c r="K543" i="4"/>
  <c r="K548" i="4"/>
  <c r="K549" i="4"/>
  <c r="K550" i="4"/>
  <c r="K551" i="4"/>
  <c r="K552" i="4"/>
  <c r="K553" i="4"/>
  <c r="K554" i="4"/>
  <c r="K555" i="4"/>
  <c r="K556" i="4"/>
  <c r="K557" i="4"/>
  <c r="K558" i="4"/>
  <c r="K559" i="4"/>
  <c r="K560" i="4"/>
  <c r="K561" i="4"/>
  <c r="K562" i="4"/>
  <c r="K563" i="4"/>
  <c r="K564" i="4"/>
  <c r="K566" i="4"/>
  <c r="K567" i="4"/>
  <c r="K568" i="4"/>
  <c r="K569" i="4"/>
  <c r="K570" i="4"/>
  <c r="K571" i="4"/>
  <c r="K572" i="4"/>
  <c r="K573" i="4"/>
  <c r="K574" i="4"/>
  <c r="K575" i="4"/>
  <c r="K576" i="4"/>
  <c r="K577" i="4"/>
  <c r="K578" i="4"/>
  <c r="K579" i="4"/>
  <c r="K580" i="4"/>
  <c r="K583" i="4"/>
  <c r="K584" i="4"/>
  <c r="K585" i="4"/>
  <c r="K586" i="4"/>
  <c r="K587" i="4"/>
  <c r="K588" i="4"/>
  <c r="K589" i="4"/>
  <c r="K590" i="4"/>
  <c r="K591" i="4"/>
  <c r="K592" i="4"/>
  <c r="K565" i="4"/>
  <c r="K593" i="4"/>
  <c r="K594" i="4"/>
  <c r="K595" i="4"/>
  <c r="K597" i="4"/>
  <c r="K598" i="4"/>
  <c r="K599" i="4"/>
  <c r="K600" i="4"/>
  <c r="K601" i="4"/>
  <c r="K602" i="4"/>
  <c r="K581" i="4"/>
  <c r="K582" i="4"/>
  <c r="K603" i="4"/>
  <c r="K604" i="4"/>
  <c r="K605" i="4"/>
  <c r="K606" i="4"/>
  <c r="K607" i="4"/>
  <c r="K608" i="4"/>
  <c r="K609" i="4"/>
  <c r="K610" i="4"/>
  <c r="K611" i="4"/>
  <c r="K612" i="4"/>
  <c r="K596" i="4"/>
  <c r="K613" i="4"/>
  <c r="K614" i="4"/>
  <c r="K615" i="4"/>
  <c r="K616" i="4"/>
  <c r="K617" i="4"/>
  <c r="K618" i="4"/>
  <c r="K620" i="4"/>
  <c r="K621" i="4"/>
  <c r="K619" i="4"/>
  <c r="K622" i="4"/>
  <c r="K623" i="4"/>
  <c r="K624" i="4"/>
  <c r="K625" i="4"/>
  <c r="K626" i="4"/>
  <c r="K627" i="4"/>
  <c r="K628" i="4"/>
  <c r="K629" i="4"/>
  <c r="K630" i="4"/>
  <c r="K631" i="4"/>
  <c r="K632" i="4"/>
  <c r="K633" i="4"/>
  <c r="K634" i="4"/>
  <c r="K635" i="4"/>
  <c r="K636" i="4"/>
  <c r="K637" i="4"/>
  <c r="K638" i="4"/>
  <c r="K639" i="4"/>
  <c r="K640" i="4"/>
  <c r="K641" i="4"/>
  <c r="K642" i="4"/>
  <c r="K643" i="4"/>
  <c r="K644" i="4"/>
  <c r="K645" i="4"/>
  <c r="K646" i="4"/>
  <c r="K648" i="4"/>
  <c r="K649" i="4"/>
  <c r="K650" i="4"/>
  <c r="K651" i="4"/>
  <c r="K653" i="4"/>
  <c r="K654" i="4"/>
  <c r="K655" i="4"/>
  <c r="K647" i="4"/>
  <c r="K656" i="4"/>
  <c r="K657" i="4"/>
  <c r="K659" i="4"/>
  <c r="K652" i="4"/>
  <c r="K658" i="4"/>
  <c r="K661" i="4"/>
  <c r="K662" i="4"/>
  <c r="K663" i="4"/>
  <c r="K664" i="4"/>
  <c r="K665" i="4"/>
  <c r="K666" i="4"/>
  <c r="K667" i="4"/>
  <c r="K668" i="4"/>
  <c r="K669" i="4"/>
  <c r="K670" i="4"/>
  <c r="K671" i="4"/>
  <c r="K672" i="4"/>
  <c r="K674" i="4"/>
  <c r="K675" i="4"/>
  <c r="K676" i="4"/>
  <c r="K677" i="4"/>
  <c r="K678" i="4"/>
  <c r="K679" i="4"/>
  <c r="K680" i="4"/>
  <c r="K681" i="4"/>
  <c r="K673" i="4"/>
  <c r="K102" i="4"/>
  <c r="K103" i="4"/>
  <c r="K104" i="4"/>
  <c r="K96" i="4"/>
  <c r="K97" i="4"/>
  <c r="K98" i="4"/>
  <c r="K105" i="4"/>
  <c r="K122" i="4"/>
  <c r="K117" i="4"/>
  <c r="K106" i="4"/>
  <c r="K107" i="4"/>
  <c r="K118" i="4"/>
  <c r="K119" i="4"/>
  <c r="K114" i="4"/>
  <c r="K99" i="4"/>
  <c r="K123" i="4"/>
  <c r="K100" i="4"/>
  <c r="K108" i="4"/>
  <c r="K109" i="4"/>
  <c r="K110" i="4"/>
  <c r="K111" i="4"/>
  <c r="K121" i="4"/>
  <c r="K101" i="4"/>
  <c r="K112" i="4"/>
  <c r="K113" i="4"/>
  <c r="K120" i="4"/>
  <c r="K115" i="4"/>
  <c r="K116" i="4"/>
  <c r="H49" i="4"/>
  <c r="H50" i="4"/>
  <c r="H51" i="4"/>
  <c r="H52" i="4"/>
  <c r="H53" i="4"/>
  <c r="H54" i="4"/>
  <c r="H55" i="4"/>
  <c r="H56" i="4"/>
  <c r="H57" i="4"/>
  <c r="H59" i="4"/>
  <c r="H60" i="4"/>
  <c r="H61" i="4"/>
  <c r="H58" i="4"/>
  <c r="H62" i="4"/>
  <c r="H63" i="4"/>
  <c r="H64" i="4"/>
  <c r="H65" i="4"/>
  <c r="H67" i="4"/>
  <c r="H68" i="4"/>
  <c r="H69" i="4"/>
  <c r="H70" i="4"/>
  <c r="H66" i="4"/>
  <c r="H71" i="4"/>
  <c r="H72" i="4"/>
  <c r="H73" i="4"/>
  <c r="H74" i="4"/>
  <c r="H75" i="4"/>
  <c r="H76" i="4"/>
  <c r="H77" i="4"/>
  <c r="H78" i="4"/>
  <c r="H79" i="4"/>
  <c r="H80" i="4"/>
  <c r="H81" i="4"/>
  <c r="H83" i="4"/>
  <c r="H82" i="4"/>
  <c r="H84" i="4"/>
  <c r="H85" i="4"/>
  <c r="H86" i="4"/>
  <c r="H87" i="4"/>
  <c r="H88" i="4"/>
  <c r="H89" i="4"/>
  <c r="H90" i="4"/>
  <c r="H91" i="4"/>
  <c r="H92" i="4"/>
  <c r="H93" i="4"/>
  <c r="H94" i="4"/>
  <c r="H95" i="4"/>
  <c r="H124" i="4"/>
  <c r="H125" i="4"/>
  <c r="H126" i="4"/>
  <c r="H127" i="4"/>
  <c r="H128" i="4"/>
  <c r="H129" i="4"/>
  <c r="H130" i="4"/>
  <c r="H131" i="4"/>
  <c r="H132" i="4"/>
  <c r="H133" i="4"/>
  <c r="H134" i="4"/>
  <c r="H135" i="4"/>
  <c r="H137" i="4"/>
  <c r="H138" i="4"/>
  <c r="H139" i="4"/>
  <c r="H140" i="4"/>
  <c r="H136" i="4"/>
  <c r="H142" i="4"/>
  <c r="H143" i="4"/>
  <c r="H144" i="4"/>
  <c r="H146" i="4"/>
  <c r="H147" i="4"/>
  <c r="H149" i="4"/>
  <c r="H150" i="4"/>
  <c r="H151" i="4"/>
  <c r="H153" i="4"/>
  <c r="H145" i="4"/>
  <c r="H154" i="4"/>
  <c r="H148" i="4"/>
  <c r="H152" i="4"/>
  <c r="H155" i="4"/>
  <c r="H156" i="4"/>
  <c r="H141" i="4"/>
  <c r="H157" i="4"/>
  <c r="H158" i="4"/>
  <c r="H159" i="4"/>
  <c r="H160" i="4"/>
  <c r="H161" i="4"/>
  <c r="H162" i="4"/>
  <c r="H163" i="4"/>
  <c r="H164" i="4"/>
  <c r="H165" i="4"/>
  <c r="H166" i="4"/>
  <c r="H167" i="4"/>
  <c r="H168" i="4"/>
  <c r="H169" i="4"/>
  <c r="H170" i="4"/>
  <c r="H171" i="4"/>
  <c r="H172" i="4"/>
  <c r="H173" i="4"/>
  <c r="H174" i="4"/>
  <c r="H175" i="4"/>
  <c r="H176" i="4"/>
  <c r="H177" i="4"/>
  <c r="H178" i="4"/>
  <c r="H179" i="4"/>
  <c r="H180" i="4"/>
  <c r="H181" i="4"/>
  <c r="H182" i="4"/>
  <c r="H183" i="4"/>
  <c r="H184" i="4"/>
  <c r="H185" i="4"/>
  <c r="H186" i="4"/>
  <c r="H187" i="4"/>
  <c r="H188" i="4"/>
  <c r="H189" i="4"/>
  <c r="H190" i="4"/>
  <c r="H191" i="4"/>
  <c r="H192" i="4"/>
  <c r="H193" i="4"/>
  <c r="H194" i="4"/>
  <c r="H196" i="4"/>
  <c r="H197" i="4"/>
  <c r="H198" i="4"/>
  <c r="H199" i="4"/>
  <c r="H200" i="4"/>
  <c r="H201" i="4"/>
  <c r="H202" i="4"/>
  <c r="H203" i="4"/>
  <c r="H195" i="4"/>
  <c r="H204" i="4"/>
  <c r="H205" i="4"/>
  <c r="H206" i="4"/>
  <c r="H207" i="4"/>
  <c r="H208" i="4"/>
  <c r="H209" i="4"/>
  <c r="H210" i="4"/>
  <c r="H211" i="4"/>
  <c r="H212" i="4"/>
  <c r="H213" i="4"/>
  <c r="H214" i="4"/>
  <c r="H215" i="4"/>
  <c r="H216" i="4"/>
  <c r="H217" i="4"/>
  <c r="H218" i="4"/>
  <c r="H219" i="4"/>
  <c r="H220" i="4"/>
  <c r="H221" i="4"/>
  <c r="H222" i="4"/>
  <c r="H223" i="4"/>
  <c r="H224" i="4"/>
  <c r="H225" i="4"/>
  <c r="H226" i="4"/>
  <c r="H227" i="4"/>
  <c r="H228" i="4"/>
  <c r="H229" i="4"/>
  <c r="H230" i="4"/>
  <c r="H231" i="4"/>
  <c r="H233" i="4"/>
  <c r="H234" i="4"/>
  <c r="H235" i="4"/>
  <c r="H236" i="4"/>
  <c r="H237" i="4"/>
  <c r="H232" i="4"/>
  <c r="H238" i="4"/>
  <c r="H240" i="4"/>
  <c r="H239" i="4"/>
  <c r="H241" i="4"/>
  <c r="H242" i="4"/>
  <c r="H243" i="4"/>
  <c r="H244" i="4"/>
  <c r="H245" i="4"/>
  <c r="H246" i="4"/>
  <c r="H247" i="4"/>
  <c r="H248" i="4"/>
  <c r="H249" i="4"/>
  <c r="H251" i="4"/>
  <c r="H253" i="4"/>
  <c r="H254" i="4"/>
  <c r="H255" i="4"/>
  <c r="H256" i="4"/>
  <c r="H257" i="4"/>
  <c r="H250" i="4"/>
  <c r="H258" i="4"/>
  <c r="H259" i="4"/>
  <c r="H260" i="4"/>
  <c r="H252" i="4"/>
  <c r="H261" i="4"/>
  <c r="H262" i="4"/>
  <c r="H263" i="4"/>
  <c r="H264" i="4"/>
  <c r="H265" i="4"/>
  <c r="H266" i="4"/>
  <c r="H267" i="4"/>
  <c r="H268" i="4"/>
  <c r="H269" i="4"/>
  <c r="H270" i="4"/>
  <c r="H271" i="4"/>
  <c r="H272" i="4"/>
  <c r="H273" i="4"/>
  <c r="H274" i="4"/>
  <c r="H275" i="4"/>
  <c r="H276" i="4"/>
  <c r="H277" i="4"/>
  <c r="H278" i="4"/>
  <c r="H279" i="4"/>
  <c r="H280" i="4"/>
  <c r="H281" i="4"/>
  <c r="H282" i="4"/>
  <c r="H283" i="4"/>
  <c r="H284" i="4"/>
  <c r="H285" i="4"/>
  <c r="H286" i="4"/>
  <c r="H287" i="4"/>
  <c r="H288" i="4"/>
  <c r="H289" i="4"/>
  <c r="H291" i="4"/>
  <c r="H290" i="4"/>
  <c r="H292" i="4"/>
  <c r="H293" i="4"/>
  <c r="H294" i="4"/>
  <c r="H295" i="4"/>
  <c r="H296" i="4"/>
  <c r="H297" i="4"/>
  <c r="H298" i="4"/>
  <c r="H299" i="4"/>
  <c r="H300" i="4"/>
  <c r="H301" i="4"/>
  <c r="H302" i="4"/>
  <c r="H303" i="4"/>
  <c r="H304" i="4"/>
  <c r="H305" i="4"/>
  <c r="H306" i="4"/>
  <c r="H307" i="4"/>
  <c r="H308" i="4"/>
  <c r="H309" i="4"/>
  <c r="H310" i="4"/>
  <c r="H311" i="4"/>
  <c r="H312" i="4"/>
  <c r="H313" i="4"/>
  <c r="H314" i="4"/>
  <c r="H315" i="4"/>
  <c r="H316" i="4"/>
  <c r="H317" i="4"/>
  <c r="H318" i="4"/>
  <c r="H319" i="4"/>
  <c r="H320" i="4"/>
  <c r="H321" i="4"/>
  <c r="H322" i="4"/>
  <c r="H323" i="4"/>
  <c r="H324" i="4"/>
  <c r="H325" i="4"/>
  <c r="H326" i="4"/>
  <c r="H327" i="4"/>
  <c r="H328" i="4"/>
  <c r="H329" i="4"/>
  <c r="H330" i="4"/>
  <c r="H331" i="4"/>
  <c r="H332" i="4"/>
  <c r="H333" i="4"/>
  <c r="H334" i="4"/>
  <c r="H335" i="4"/>
  <c r="H336" i="4"/>
  <c r="H337" i="4"/>
  <c r="H338" i="4"/>
  <c r="H339" i="4"/>
  <c r="H340" i="4"/>
  <c r="H341" i="4"/>
  <c r="H342" i="4"/>
  <c r="H343" i="4"/>
  <c r="H344" i="4"/>
  <c r="H345" i="4"/>
  <c r="H346" i="4"/>
  <c r="H347" i="4"/>
  <c r="H348" i="4"/>
  <c r="H349" i="4"/>
  <c r="H350" i="4"/>
  <c r="H351" i="4"/>
  <c r="H352" i="4"/>
  <c r="H353" i="4"/>
  <c r="H354" i="4"/>
  <c r="H355" i="4"/>
  <c r="H356" i="4"/>
  <c r="H357" i="4"/>
  <c r="H358" i="4"/>
  <c r="H359" i="4"/>
  <c r="H360" i="4"/>
  <c r="H388" i="4"/>
  <c r="H389" i="4"/>
  <c r="H397" i="4"/>
  <c r="H390" i="4"/>
  <c r="H430" i="4"/>
  <c r="H391" i="4"/>
  <c r="H392" i="4"/>
  <c r="H393" i="4"/>
  <c r="H394" i="4"/>
  <c r="H395" i="4"/>
  <c r="H396" i="4"/>
  <c r="H398" i="4"/>
  <c r="H399" i="4"/>
  <c r="H400" i="4"/>
  <c r="H401" i="4"/>
  <c r="H402" i="4"/>
  <c r="H403" i="4"/>
  <c r="H404" i="4"/>
  <c r="H405" i="4"/>
  <c r="H406" i="4"/>
  <c r="H407" i="4"/>
  <c r="H408" i="4"/>
  <c r="H409" i="4"/>
  <c r="H410" i="4"/>
  <c r="H411" i="4"/>
  <c r="H412" i="4"/>
  <c r="H413" i="4"/>
  <c r="H414" i="4"/>
  <c r="H415" i="4"/>
  <c r="H416" i="4"/>
  <c r="H417" i="4"/>
  <c r="H419" i="4"/>
  <c r="H420" i="4"/>
  <c r="H421" i="4"/>
  <c r="H422" i="4"/>
  <c r="H423" i="4"/>
  <c r="H424" i="4"/>
  <c r="H425" i="4"/>
  <c r="H426" i="4"/>
  <c r="H427" i="4"/>
  <c r="H428" i="4"/>
  <c r="H429" i="4"/>
  <c r="H431" i="4"/>
  <c r="H432" i="4"/>
  <c r="H433" i="4"/>
  <c r="H434" i="4"/>
  <c r="H418" i="4"/>
  <c r="H361" i="4"/>
  <c r="H362" i="4"/>
  <c r="H363" i="4"/>
  <c r="H364" i="4"/>
  <c r="H365" i="4"/>
  <c r="H366" i="4"/>
  <c r="H367" i="4"/>
  <c r="H368" i="4"/>
  <c r="H369" i="4"/>
  <c r="H370" i="4"/>
  <c r="H371" i="4"/>
  <c r="H372" i="4"/>
  <c r="H373" i="4"/>
  <c r="H374" i="4"/>
  <c r="H376" i="4"/>
  <c r="H378" i="4"/>
  <c r="H379" i="4"/>
  <c r="H375" i="4"/>
  <c r="H377" i="4"/>
  <c r="H380" i="4"/>
  <c r="H381" i="4"/>
  <c r="H382" i="4"/>
  <c r="H383" i="4"/>
  <c r="H384" i="4"/>
  <c r="H385" i="4"/>
  <c r="H386" i="4"/>
  <c r="H387" i="4"/>
  <c r="H435" i="4"/>
  <c r="H436" i="4"/>
  <c r="H437" i="4"/>
  <c r="H438" i="4"/>
  <c r="H439" i="4"/>
  <c r="H440" i="4"/>
  <c r="H441" i="4"/>
  <c r="H442" i="4"/>
  <c r="H443" i="4"/>
  <c r="H444" i="4"/>
  <c r="H446" i="4"/>
  <c r="H445" i="4"/>
  <c r="H447" i="4"/>
  <c r="H449" i="4"/>
  <c r="H451" i="4"/>
  <c r="H452" i="4"/>
  <c r="H453" i="4"/>
  <c r="H454" i="4"/>
  <c r="H448" i="4"/>
  <c r="H455" i="4"/>
  <c r="H456" i="4"/>
  <c r="H457" i="4"/>
  <c r="H450" i="4"/>
  <c r="H458" i="4"/>
  <c r="H459" i="4"/>
  <c r="H460" i="4"/>
  <c r="H461" i="4"/>
  <c r="H462" i="4"/>
  <c r="H463" i="4"/>
  <c r="H464" i="4"/>
  <c r="H465" i="4"/>
  <c r="H466" i="4"/>
  <c r="H467" i="4"/>
  <c r="H468" i="4"/>
  <c r="H470" i="4"/>
  <c r="H471" i="4"/>
  <c r="H472" i="4"/>
  <c r="H469" i="4"/>
  <c r="H473" i="4"/>
  <c r="H474" i="4"/>
  <c r="H475" i="4"/>
  <c r="H476" i="4"/>
  <c r="H478" i="4"/>
  <c r="H479" i="4"/>
  <c r="H481" i="4"/>
  <c r="H482" i="4"/>
  <c r="H484" i="4"/>
  <c r="H485" i="4"/>
  <c r="H477" i="4"/>
  <c r="H486" i="4"/>
  <c r="H487" i="4"/>
  <c r="H480" i="4"/>
  <c r="H488" i="4"/>
  <c r="H483" i="4"/>
  <c r="H489" i="4"/>
  <c r="H490" i="4"/>
  <c r="H491" i="4"/>
  <c r="H492" i="4"/>
  <c r="H493" i="4"/>
  <c r="H494" i="4"/>
  <c r="H495" i="4"/>
  <c r="H496" i="4"/>
  <c r="H497" i="4"/>
  <c r="H498" i="4"/>
  <c r="H499" i="4"/>
  <c r="H500" i="4"/>
  <c r="H501" i="4"/>
  <c r="H502" i="4"/>
  <c r="H503" i="4"/>
  <c r="H504" i="4"/>
  <c r="H505" i="4"/>
  <c r="H506" i="4"/>
  <c r="H507" i="4"/>
  <c r="H508" i="4"/>
  <c r="H509" i="4"/>
  <c r="H510" i="4"/>
  <c r="H511" i="4"/>
  <c r="H512" i="4"/>
  <c r="H513" i="4"/>
  <c r="H514" i="4"/>
  <c r="H515" i="4"/>
  <c r="H516" i="4"/>
  <c r="H517" i="4"/>
  <c r="H518" i="4"/>
  <c r="H519" i="4"/>
  <c r="H520" i="4"/>
  <c r="H521" i="4"/>
  <c r="H522" i="4"/>
  <c r="H523" i="4"/>
  <c r="H524" i="4"/>
  <c r="H525" i="4"/>
  <c r="H526" i="4"/>
  <c r="H527" i="4"/>
  <c r="H528" i="4"/>
  <c r="H529" i="4"/>
  <c r="H530" i="4"/>
  <c r="H531" i="4"/>
  <c r="H532" i="4"/>
  <c r="H533" i="4"/>
  <c r="H534" i="4"/>
  <c r="H535" i="4"/>
  <c r="H536" i="4"/>
  <c r="H537" i="4"/>
  <c r="H538" i="4"/>
  <c r="H539" i="4"/>
  <c r="H540" i="4"/>
  <c r="H541" i="4"/>
  <c r="H542" i="4"/>
  <c r="H544" i="4"/>
  <c r="H545" i="4"/>
  <c r="H546" i="4"/>
  <c r="H547" i="4"/>
  <c r="H543" i="4"/>
  <c r="H548" i="4"/>
  <c r="H549" i="4"/>
  <c r="H550" i="4"/>
  <c r="H551" i="4"/>
  <c r="H552" i="4"/>
  <c r="H553" i="4"/>
  <c r="H554" i="4"/>
  <c r="H555" i="4"/>
  <c r="H556" i="4"/>
  <c r="H557" i="4"/>
  <c r="H558" i="4"/>
  <c r="H559" i="4"/>
  <c r="H560" i="4"/>
  <c r="H561" i="4"/>
  <c r="H562" i="4"/>
  <c r="H563" i="4"/>
  <c r="H564" i="4"/>
  <c r="H566" i="4"/>
  <c r="H567" i="4"/>
  <c r="H568" i="4"/>
  <c r="H569" i="4"/>
  <c r="H570" i="4"/>
  <c r="H571" i="4"/>
  <c r="H572" i="4"/>
  <c r="H573" i="4"/>
  <c r="H574" i="4"/>
  <c r="H575" i="4"/>
  <c r="H576" i="4"/>
  <c r="H577" i="4"/>
  <c r="H578" i="4"/>
  <c r="H579" i="4"/>
  <c r="H580" i="4"/>
  <c r="H583" i="4"/>
  <c r="H584" i="4"/>
  <c r="H585" i="4"/>
  <c r="H586" i="4"/>
  <c r="H587" i="4"/>
  <c r="H588" i="4"/>
  <c r="H589" i="4"/>
  <c r="H590" i="4"/>
  <c r="H591" i="4"/>
  <c r="H592" i="4"/>
  <c r="H565" i="4"/>
  <c r="H593" i="4"/>
  <c r="H594" i="4"/>
  <c r="H595" i="4"/>
  <c r="H597" i="4"/>
  <c r="H598" i="4"/>
  <c r="H599" i="4"/>
  <c r="H600" i="4"/>
  <c r="H601" i="4"/>
  <c r="H602" i="4"/>
  <c r="H581" i="4"/>
  <c r="H582" i="4"/>
  <c r="H603" i="4"/>
  <c r="H604" i="4"/>
  <c r="H605" i="4"/>
  <c r="H606" i="4"/>
  <c r="H607" i="4"/>
  <c r="H608" i="4"/>
  <c r="H609" i="4"/>
  <c r="H610" i="4"/>
  <c r="H611" i="4"/>
  <c r="H612" i="4"/>
  <c r="H596" i="4"/>
  <c r="H613" i="4"/>
  <c r="H614" i="4"/>
  <c r="H615" i="4"/>
  <c r="H616" i="4"/>
  <c r="H617" i="4"/>
  <c r="H618" i="4"/>
  <c r="H620" i="4"/>
  <c r="H621" i="4"/>
  <c r="H619" i="4"/>
  <c r="H622" i="4"/>
  <c r="H623" i="4"/>
  <c r="H624" i="4"/>
  <c r="H625" i="4"/>
  <c r="H626" i="4"/>
  <c r="H627" i="4"/>
  <c r="H628" i="4"/>
  <c r="H629" i="4"/>
  <c r="H630" i="4"/>
  <c r="H631" i="4"/>
  <c r="H632" i="4"/>
  <c r="H633" i="4"/>
  <c r="H634" i="4"/>
  <c r="H635" i="4"/>
  <c r="H636" i="4"/>
  <c r="H637" i="4"/>
  <c r="H638" i="4"/>
  <c r="H639" i="4"/>
  <c r="H640" i="4"/>
  <c r="H641" i="4"/>
  <c r="H642" i="4"/>
  <c r="H643" i="4"/>
  <c r="H644" i="4"/>
  <c r="H645" i="4"/>
  <c r="H646" i="4"/>
  <c r="H648" i="4"/>
  <c r="H649" i="4"/>
  <c r="H650" i="4"/>
  <c r="H651" i="4"/>
  <c r="H653" i="4"/>
  <c r="H654" i="4"/>
  <c r="H655" i="4"/>
  <c r="H647" i="4"/>
  <c r="H656" i="4"/>
  <c r="H657" i="4"/>
  <c r="H659" i="4"/>
  <c r="H652" i="4"/>
  <c r="H658" i="4"/>
  <c r="H660" i="4"/>
  <c r="H661" i="4"/>
  <c r="H662" i="4"/>
  <c r="H663" i="4"/>
  <c r="H664" i="4"/>
  <c r="H665" i="4"/>
  <c r="H666" i="4"/>
  <c r="H667" i="4"/>
  <c r="H668" i="4"/>
  <c r="H669" i="4"/>
  <c r="H670" i="4"/>
  <c r="H671" i="4"/>
  <c r="H672" i="4"/>
  <c r="H674" i="4"/>
  <c r="H675" i="4"/>
  <c r="H676" i="4"/>
  <c r="H677" i="4"/>
  <c r="H678" i="4"/>
  <c r="H679" i="4"/>
  <c r="H680" i="4"/>
  <c r="H681" i="4"/>
  <c r="H673" i="4"/>
  <c r="H102" i="4"/>
  <c r="H103" i="4"/>
  <c r="H104" i="4"/>
  <c r="H96" i="4"/>
  <c r="H97" i="4"/>
  <c r="H98" i="4"/>
  <c r="H105" i="4"/>
  <c r="H122" i="4"/>
  <c r="H117" i="4"/>
  <c r="H106" i="4"/>
  <c r="H107" i="4"/>
  <c r="H118" i="4"/>
  <c r="H119" i="4"/>
  <c r="H114" i="4"/>
  <c r="H99" i="4"/>
  <c r="H123" i="4"/>
  <c r="H100" i="4"/>
  <c r="H108" i="4"/>
  <c r="H109" i="4"/>
  <c r="H110" i="4"/>
  <c r="H111" i="4"/>
  <c r="H121" i="4"/>
  <c r="H101" i="4"/>
  <c r="H112" i="4"/>
  <c r="H113" i="4"/>
  <c r="H120" i="4"/>
  <c r="H115" i="4"/>
  <c r="H116" i="4"/>
  <c r="AE98" i="21"/>
  <c r="B557" i="28"/>
  <c r="B535" i="28"/>
  <c r="N550" i="18"/>
  <c r="Z44" i="21"/>
  <c r="B488" i="18"/>
  <c r="B490" i="18"/>
  <c r="AD50" i="21"/>
  <c r="AD100" i="21"/>
  <c r="AA99" i="21"/>
  <c r="N501" i="28"/>
  <c r="D85" i="28"/>
  <c r="AE115" i="21"/>
  <c r="AB71" i="21"/>
  <c r="AD33" i="21"/>
  <c r="N538" i="28"/>
  <c r="N562" i="18"/>
  <c r="AC32" i="21"/>
  <c r="F78" i="28"/>
  <c r="AC86" i="21"/>
  <c r="AE86" i="21"/>
  <c r="N548" i="18"/>
  <c r="F493" i="28"/>
  <c r="AD114" i="21"/>
  <c r="H557" i="28"/>
  <c r="AD39" i="21"/>
  <c r="H490" i="18"/>
  <c r="L562" i="18"/>
  <c r="Z65" i="21"/>
  <c r="H566" i="18"/>
  <c r="H505" i="18"/>
  <c r="L535" i="28"/>
  <c r="AE90" i="21"/>
  <c r="B70" i="28"/>
  <c r="L497" i="28"/>
  <c r="AB105" i="21"/>
  <c r="D502" i="18"/>
  <c r="F73" i="28"/>
  <c r="H561" i="18"/>
  <c r="AD124" i="21"/>
  <c r="N563" i="18"/>
  <c r="F507" i="28"/>
  <c r="E23" i="27"/>
  <c r="F88" i="18"/>
  <c r="H563" i="28"/>
  <c r="F82" i="18"/>
  <c r="AA98" i="21"/>
  <c r="AD16" i="21"/>
  <c r="D71" i="28"/>
  <c r="J508" i="18"/>
  <c r="AE65" i="21"/>
  <c r="Z25" i="21"/>
  <c r="AB55" i="21"/>
  <c r="H508" i="18"/>
  <c r="J566" i="18"/>
  <c r="B560" i="28"/>
  <c r="AB76" i="21"/>
  <c r="N488" i="28"/>
  <c r="N491" i="18"/>
  <c r="AE58" i="21"/>
  <c r="D508" i="28"/>
  <c r="AD14" i="21"/>
  <c r="D518" i="28"/>
  <c r="D537" i="28"/>
  <c r="H562" i="18"/>
  <c r="AC19" i="21"/>
  <c r="Z101" i="21"/>
  <c r="AC79" i="21"/>
  <c r="F551" i="18"/>
  <c r="J568" i="28"/>
  <c r="AE59" i="21"/>
  <c r="D553" i="28"/>
  <c r="D562" i="18"/>
  <c r="D525" i="18"/>
  <c r="J491" i="18"/>
  <c r="B24" i="27"/>
  <c r="AB116" i="21"/>
  <c r="AE11" i="21"/>
  <c r="AD57" i="21"/>
  <c r="F75" i="18"/>
  <c r="B496" i="28"/>
  <c r="H23" i="19"/>
  <c r="Z126" i="21"/>
  <c r="AA81" i="21"/>
  <c r="AB81" i="21"/>
  <c r="B567" i="18"/>
  <c r="F83" i="18"/>
  <c r="Z125" i="21"/>
  <c r="F563" i="28"/>
  <c r="F488" i="18"/>
  <c r="AA15" i="21"/>
  <c r="AB46" i="21"/>
  <c r="AD49" i="21"/>
  <c r="D23" i="27"/>
  <c r="D488" i="18"/>
  <c r="B507" i="28"/>
  <c r="J565" i="18"/>
  <c r="AD18" i="21"/>
  <c r="N565" i="28"/>
  <c r="AE120" i="21"/>
  <c r="AB117" i="21"/>
  <c r="AD23" i="21"/>
  <c r="D496" i="28"/>
  <c r="AB119" i="21"/>
  <c r="AD78" i="21"/>
  <c r="N507" i="18"/>
  <c r="F527" i="18"/>
  <c r="E24" i="19"/>
  <c r="B72" i="18"/>
  <c r="N492" i="18"/>
  <c r="D22" i="19"/>
  <c r="D86" i="28"/>
  <c r="C24" i="19"/>
  <c r="F76" i="28"/>
  <c r="L505" i="18"/>
  <c r="J488" i="18"/>
  <c r="AB44" i="21"/>
  <c r="AC23" i="21"/>
  <c r="B566" i="28"/>
  <c r="N526" i="18"/>
  <c r="AD60" i="21"/>
  <c r="B80" i="18"/>
  <c r="AA32" i="21"/>
  <c r="J555" i="28"/>
  <c r="AD88" i="21"/>
  <c r="AE113" i="21"/>
  <c r="B522" i="18"/>
  <c r="AC97" i="21"/>
  <c r="H495" i="28"/>
  <c r="AB32" i="21"/>
  <c r="AE99" i="21"/>
  <c r="AE34" i="21"/>
  <c r="D530" i="28"/>
  <c r="J520" i="18"/>
  <c r="B85" i="18"/>
  <c r="Z129" i="21"/>
  <c r="D550" i="18"/>
  <c r="J521" i="28"/>
  <c r="B22" i="19"/>
  <c r="G22" i="27"/>
  <c r="AD53" i="21"/>
  <c r="D490" i="18"/>
  <c r="AB52" i="21"/>
  <c r="D527" i="18"/>
  <c r="AA110" i="21"/>
  <c r="L523" i="18"/>
  <c r="B503" i="28"/>
  <c r="AB70" i="21"/>
  <c r="AA56" i="21"/>
  <c r="J533" i="18"/>
  <c r="AB90" i="21"/>
  <c r="AC76" i="21"/>
  <c r="AB114" i="21"/>
  <c r="AA82" i="21"/>
  <c r="B533" i="28"/>
  <c r="Z39" i="21"/>
  <c r="L491" i="28"/>
  <c r="B533" i="18"/>
  <c r="L568" i="18"/>
  <c r="J536" i="28"/>
  <c r="AC90" i="21"/>
  <c r="AE84" i="21"/>
  <c r="D556" i="28"/>
  <c r="AA63" i="21"/>
  <c r="AE79" i="21"/>
  <c r="H567" i="28"/>
  <c r="Z116" i="21"/>
  <c r="B536" i="28"/>
  <c r="D532" i="28"/>
  <c r="D568" i="28"/>
  <c r="H538" i="18"/>
  <c r="H525" i="28"/>
  <c r="Z13" i="21"/>
  <c r="AE128" i="21"/>
  <c r="AC92" i="21"/>
  <c r="Z72" i="21"/>
  <c r="N566" i="28"/>
  <c r="B562" i="18"/>
  <c r="B506" i="28"/>
  <c r="B76" i="28"/>
  <c r="L518" i="18"/>
  <c r="D498" i="18"/>
  <c r="AC52" i="21"/>
  <c r="C23" i="19"/>
  <c r="F535" i="28"/>
  <c r="C23" i="27"/>
  <c r="J555" i="18"/>
  <c r="AA49" i="21"/>
  <c r="Z63" i="21"/>
  <c r="AA88" i="21"/>
  <c r="F526" i="28"/>
  <c r="N556" i="18"/>
  <c r="J532" i="18"/>
  <c r="N533" i="18"/>
  <c r="F501" i="28"/>
  <c r="F85" i="18"/>
  <c r="AB118" i="21"/>
  <c r="D81" i="18"/>
  <c r="AB66" i="21"/>
  <c r="L530" i="18"/>
  <c r="AB25" i="21"/>
  <c r="AD119" i="21"/>
  <c r="B552" i="18"/>
  <c r="H498" i="28"/>
  <c r="AE51" i="21"/>
  <c r="N562" i="28"/>
  <c r="AA46" i="21"/>
  <c r="AC124" i="21"/>
  <c r="AC100" i="21"/>
  <c r="AA43" i="21"/>
  <c r="F528" i="18"/>
  <c r="AD56" i="21"/>
  <c r="AD25" i="21"/>
  <c r="D68" i="28"/>
  <c r="D76" i="28"/>
  <c r="AC80" i="21"/>
  <c r="J501" i="28"/>
  <c r="AD72" i="21"/>
  <c r="L491" i="18"/>
  <c r="H531" i="18"/>
  <c r="F87" i="28"/>
  <c r="J565" i="28"/>
  <c r="L562" i="28"/>
  <c r="L531" i="18"/>
  <c r="L560" i="18"/>
  <c r="AE112" i="21"/>
  <c r="N531" i="28"/>
  <c r="AB88" i="21"/>
  <c r="L538" i="28"/>
  <c r="D538" i="18"/>
  <c r="AE26" i="21"/>
  <c r="Z109" i="21"/>
  <c r="B77" i="28"/>
  <c r="AB64" i="21"/>
  <c r="AC74" i="21"/>
  <c r="Z55" i="21"/>
  <c r="H531" i="28"/>
  <c r="F568" i="18"/>
  <c r="AC78" i="21"/>
  <c r="J548" i="18"/>
  <c r="AA69" i="21"/>
  <c r="B77" i="18"/>
  <c r="AC69" i="21"/>
  <c r="D520" i="18"/>
  <c r="L496" i="28"/>
  <c r="J531" i="18"/>
  <c r="B566" i="18"/>
  <c r="H553" i="28"/>
  <c r="AA112" i="21"/>
  <c r="AC91" i="21"/>
  <c r="AE44" i="21"/>
  <c r="J528" i="28"/>
  <c r="F498" i="28"/>
  <c r="AE102" i="21"/>
  <c r="H508" i="28"/>
  <c r="J556" i="18"/>
  <c r="B493" i="18"/>
  <c r="AB26" i="21"/>
  <c r="L500" i="18"/>
  <c r="AA111" i="21"/>
  <c r="AD20" i="21"/>
  <c r="F518" i="28"/>
  <c r="AD127" i="21"/>
  <c r="AE87" i="21"/>
  <c r="AA40" i="21"/>
  <c r="AA20" i="21"/>
  <c r="H527" i="28"/>
  <c r="B530" i="28"/>
  <c r="AA83" i="21"/>
  <c r="AA77" i="21"/>
  <c r="Z49" i="21"/>
  <c r="AA18" i="21"/>
  <c r="F85" i="28"/>
  <c r="AB100" i="21"/>
  <c r="J560" i="28"/>
  <c r="E22" i="27"/>
  <c r="L555" i="18"/>
  <c r="N551" i="18"/>
  <c r="J493" i="28"/>
  <c r="F68" i="18"/>
  <c r="AC51" i="21"/>
  <c r="AC13" i="21"/>
  <c r="AB93" i="21"/>
  <c r="H527" i="18"/>
  <c r="AA120" i="21"/>
  <c r="AD82" i="21"/>
  <c r="B477" i="18"/>
  <c r="H520" i="18"/>
  <c r="AE53" i="21"/>
  <c r="J505" i="28"/>
  <c r="AB89" i="21"/>
  <c r="L503" i="18"/>
  <c r="N567" i="28"/>
  <c r="B550" i="28"/>
  <c r="B535" i="18"/>
  <c r="F531" i="18"/>
  <c r="AB97" i="21"/>
  <c r="AC77" i="21"/>
  <c r="L557" i="18"/>
  <c r="F490" i="18"/>
  <c r="J530" i="18"/>
  <c r="B496" i="18"/>
  <c r="AE75" i="21"/>
  <c r="F561" i="28"/>
  <c r="N555" i="28"/>
  <c r="H526" i="18"/>
  <c r="L505" i="28"/>
  <c r="AD40" i="21"/>
  <c r="AD58" i="21"/>
  <c r="Z86" i="21"/>
  <c r="AB58" i="21"/>
  <c r="F23" i="27"/>
  <c r="J477" i="18"/>
  <c r="D497" i="18"/>
  <c r="AC107" i="21"/>
  <c r="D521" i="28"/>
  <c r="AA122" i="21"/>
  <c r="AE32" i="21"/>
  <c r="Z33" i="21"/>
  <c r="H498" i="18"/>
  <c r="AA53" i="21"/>
  <c r="AA127" i="21"/>
  <c r="AA91" i="21"/>
  <c r="AD68" i="21"/>
  <c r="AC85" i="21"/>
  <c r="N548" i="28"/>
  <c r="Z87" i="21"/>
  <c r="F497" i="28"/>
  <c r="B23" i="27"/>
  <c r="F491" i="18"/>
  <c r="AB87" i="21"/>
  <c r="D78" i="28"/>
  <c r="B508" i="18"/>
  <c r="F553" i="28"/>
  <c r="AC94" i="21"/>
  <c r="B24" i="19"/>
  <c r="B71" i="18"/>
  <c r="N553" i="28"/>
  <c r="AD89" i="21"/>
  <c r="J523" i="28"/>
  <c r="N496" i="18"/>
  <c r="AB98" i="21"/>
  <c r="AB122" i="21"/>
  <c r="AB39" i="21"/>
  <c r="AD59" i="21"/>
  <c r="L492" i="18"/>
  <c r="L566" i="18"/>
  <c r="AD117" i="21"/>
  <c r="H522" i="18"/>
  <c r="F72" i="18"/>
  <c r="L553" i="28"/>
  <c r="N497" i="18"/>
  <c r="AE39" i="21"/>
  <c r="AE92" i="21"/>
  <c r="Z118" i="21"/>
  <c r="AA119" i="21"/>
  <c r="Z48" i="21"/>
  <c r="F566" i="28"/>
  <c r="B73" i="18"/>
  <c r="Z73" i="21"/>
  <c r="H535" i="18"/>
  <c r="AC22" i="21"/>
  <c r="H503" i="28"/>
  <c r="AD96" i="21"/>
  <c r="L565" i="28"/>
  <c r="J552" i="18"/>
  <c r="N532" i="18"/>
  <c r="AA86" i="21"/>
  <c r="L507" i="28"/>
  <c r="AE77" i="21"/>
  <c r="Z46" i="21"/>
  <c r="AC116" i="21"/>
  <c r="AD90" i="21"/>
  <c r="Z57" i="21"/>
  <c r="AA74" i="21"/>
  <c r="F78" i="18"/>
  <c r="B518" i="28"/>
  <c r="Z77" i="21"/>
  <c r="H558" i="28"/>
  <c r="AE122" i="21"/>
  <c r="F557" i="28"/>
  <c r="J556" i="28"/>
  <c r="AA59" i="21"/>
  <c r="Z95" i="21"/>
  <c r="H558" i="18"/>
  <c r="AB38" i="21"/>
  <c r="F520" i="28"/>
  <c r="D70" i="18"/>
  <c r="L551" i="28"/>
  <c r="Z113" i="21"/>
  <c r="Z84" i="21"/>
  <c r="D78" i="18"/>
  <c r="G23" i="19"/>
  <c r="N491" i="28"/>
  <c r="AB85" i="21"/>
  <c r="AA64" i="21"/>
  <c r="H518" i="18"/>
  <c r="L498" i="18"/>
  <c r="H521" i="18"/>
  <c r="AA54" i="21"/>
  <c r="B537" i="18"/>
  <c r="Z121" i="21"/>
  <c r="AB80" i="21"/>
  <c r="AE38" i="21"/>
  <c r="AD80" i="21"/>
  <c r="AE63" i="21"/>
  <c r="AA67" i="21"/>
  <c r="H556" i="28"/>
  <c r="J538" i="18"/>
  <c r="AA100" i="21"/>
  <c r="F496" i="18"/>
  <c r="AE73" i="21"/>
  <c r="AE125" i="21"/>
  <c r="D77" i="28"/>
  <c r="B82" i="18"/>
  <c r="AD116" i="21"/>
  <c r="Z105" i="21"/>
  <c r="AC15" i="21"/>
  <c r="F553" i="18"/>
  <c r="AE64" i="21"/>
  <c r="Z12" i="21"/>
  <c r="J561" i="28"/>
  <c r="D565" i="28"/>
  <c r="D520" i="28"/>
  <c r="B558" i="28"/>
  <c r="L518" i="28"/>
  <c r="L535" i="18"/>
  <c r="AD19" i="21"/>
  <c r="B536" i="18"/>
  <c r="F508" i="18"/>
  <c r="AD94" i="21"/>
  <c r="L560" i="28"/>
  <c r="F77" i="28"/>
  <c r="N552" i="18"/>
  <c r="AD113" i="21"/>
  <c r="F567" i="28"/>
  <c r="B82" i="28"/>
  <c r="J501" i="18"/>
  <c r="H568" i="28"/>
  <c r="N505" i="18"/>
  <c r="AC118" i="21"/>
  <c r="AE13" i="21"/>
  <c r="F533" i="18"/>
  <c r="AE71" i="21"/>
  <c r="D73" i="28"/>
  <c r="F24" i="27"/>
  <c r="J497" i="18"/>
  <c r="J523" i="18"/>
  <c r="AE126" i="21"/>
  <c r="AA124" i="21"/>
  <c r="AE80" i="21"/>
  <c r="E22" i="19"/>
  <c r="J520" i="28"/>
  <c r="L525" i="18"/>
  <c r="F518" i="18"/>
  <c r="L533" i="28"/>
  <c r="L567" i="28"/>
  <c r="J507" i="28"/>
  <c r="F495" i="28"/>
  <c r="D561" i="28"/>
  <c r="AE70" i="21"/>
  <c r="H502" i="28"/>
  <c r="Z64" i="21"/>
  <c r="AC56" i="21"/>
  <c r="H506" i="28"/>
  <c r="AD61" i="21"/>
  <c r="AC99" i="21"/>
  <c r="AA38" i="21"/>
  <c r="AE25" i="21"/>
  <c r="N558" i="18"/>
  <c r="AB22" i="21"/>
  <c r="B500" i="18"/>
  <c r="H506" i="18"/>
  <c r="AD91" i="21"/>
  <c r="B68" i="28"/>
  <c r="G23" i="27"/>
  <c r="AC16" i="21"/>
  <c r="N526" i="28"/>
  <c r="AE37" i="21"/>
  <c r="H553" i="18"/>
  <c r="AC12" i="21"/>
  <c r="F552" i="18"/>
  <c r="AC73" i="21"/>
  <c r="D85" i="18"/>
  <c r="N533" i="28"/>
  <c r="AC98" i="21"/>
  <c r="AB73" i="21"/>
  <c r="AC88" i="21"/>
  <c r="N477" i="28"/>
  <c r="AA103" i="21"/>
  <c r="J525" i="28"/>
  <c r="AA104" i="21"/>
  <c r="N506" i="18"/>
  <c r="F68" i="28"/>
  <c r="F506" i="28"/>
  <c r="Z119" i="21"/>
  <c r="N497" i="28"/>
  <c r="B87" i="28"/>
  <c r="H500" i="28"/>
  <c r="AC87" i="21"/>
  <c r="L490" i="18"/>
  <c r="AD64" i="21"/>
  <c r="Z27" i="21"/>
  <c r="Z37" i="21"/>
  <c r="AD75" i="21"/>
  <c r="AE107" i="21"/>
  <c r="AC62" i="21"/>
  <c r="AD92" i="21"/>
  <c r="F531" i="28"/>
  <c r="AB126" i="21"/>
  <c r="E24" i="27"/>
  <c r="AB95" i="21"/>
  <c r="F562" i="18"/>
  <c r="AB36" i="21"/>
  <c r="H24" i="27"/>
  <c r="H560" i="18"/>
  <c r="AA95" i="21"/>
  <c r="Z90" i="21"/>
  <c r="J537" i="18"/>
  <c r="L521" i="28"/>
  <c r="D492" i="28"/>
  <c r="AA90" i="21"/>
  <c r="AD99" i="21"/>
  <c r="D528" i="28"/>
  <c r="H22" i="27"/>
  <c r="AE129" i="21"/>
  <c r="AD115" i="21"/>
  <c r="AA25" i="21"/>
  <c r="AE61" i="21"/>
  <c r="N525" i="18"/>
  <c r="B548" i="28"/>
  <c r="AD105" i="21"/>
  <c r="AD112" i="21"/>
  <c r="B497" i="18"/>
  <c r="J536" i="18"/>
  <c r="B553" i="28"/>
  <c r="AB83" i="21"/>
  <c r="H521" i="28"/>
  <c r="J490" i="28"/>
  <c r="L520" i="28"/>
  <c r="Z92" i="21"/>
  <c r="AD28" i="21"/>
  <c r="D551" i="28"/>
  <c r="AD103" i="21"/>
  <c r="Z82" i="21"/>
  <c r="B521" i="18"/>
  <c r="D507" i="18"/>
  <c r="D507" i="28"/>
  <c r="L492" i="28"/>
  <c r="D88" i="28"/>
  <c r="B530" i="18"/>
  <c r="J503" i="28"/>
  <c r="H565" i="28"/>
  <c r="AC93" i="21"/>
  <c r="L506" i="18"/>
  <c r="N530" i="18"/>
  <c r="Z120" i="21"/>
  <c r="AE114" i="21"/>
  <c r="G22" i="19"/>
  <c r="D527" i="28"/>
  <c r="F83" i="28"/>
  <c r="H507" i="18"/>
  <c r="AB94" i="21"/>
  <c r="F492" i="28"/>
  <c r="AA118" i="21"/>
  <c r="AB30" i="21"/>
  <c r="J496" i="18"/>
  <c r="N520" i="28"/>
  <c r="AA45" i="21"/>
  <c r="Z15" i="21"/>
  <c r="AE67" i="21"/>
  <c r="L502" i="28"/>
  <c r="J562" i="28"/>
  <c r="B23" i="19"/>
  <c r="D558" i="28"/>
  <c r="F532" i="18"/>
  <c r="N492" i="28"/>
  <c r="B556" i="18"/>
  <c r="AE33" i="21"/>
  <c r="Z83" i="21"/>
  <c r="B518" i="18"/>
  <c r="L508" i="28"/>
  <c r="H555" i="18"/>
  <c r="H493" i="28"/>
  <c r="AE96" i="21"/>
  <c r="F565" i="18"/>
  <c r="H501" i="28"/>
  <c r="AA33" i="21"/>
  <c r="F498" i="18"/>
  <c r="AE103" i="21"/>
  <c r="J522" i="18"/>
  <c r="H536" i="28"/>
  <c r="AA93" i="21"/>
  <c r="L498" i="28"/>
  <c r="D22" i="27"/>
  <c r="AA58" i="21"/>
  <c r="AB74" i="21"/>
  <c r="D491" i="18"/>
  <c r="Z106" i="21"/>
  <c r="AC84" i="21"/>
  <c r="D557" i="18"/>
  <c r="B563" i="18"/>
  <c r="F557" i="18"/>
  <c r="AA73" i="21"/>
  <c r="C24" i="27"/>
  <c r="AA101" i="21"/>
  <c r="AC61" i="21"/>
  <c r="AD66" i="21"/>
  <c r="F71" i="18"/>
  <c r="AC109" i="21"/>
  <c r="AC68" i="21"/>
  <c r="AC42" i="21"/>
  <c r="AD46" i="21"/>
  <c r="L532" i="28"/>
  <c r="Z81" i="21"/>
  <c r="D88" i="18"/>
  <c r="AB128" i="21"/>
  <c r="B560" i="18"/>
  <c r="H497" i="18"/>
  <c r="N555" i="18"/>
  <c r="N522" i="28"/>
  <c r="AB78" i="21"/>
  <c r="AE46" i="21"/>
  <c r="Z80" i="21"/>
  <c r="AD98" i="21"/>
  <c r="AC96" i="21"/>
  <c r="E23" i="19"/>
  <c r="AC45" i="21"/>
  <c r="B70" i="18"/>
  <c r="Z56" i="21"/>
  <c r="AA12" i="21"/>
  <c r="D532" i="18"/>
  <c r="N527" i="28"/>
  <c r="AC58" i="21"/>
  <c r="J497" i="28"/>
  <c r="D75" i="28"/>
  <c r="B538" i="18"/>
  <c r="AA30" i="21"/>
  <c r="AC103" i="21"/>
  <c r="F490" i="28"/>
  <c r="D567" i="28"/>
  <c r="B526" i="28"/>
  <c r="AA96" i="21"/>
  <c r="L553" i="18"/>
  <c r="L552" i="28"/>
  <c r="D560" i="18"/>
  <c r="N560" i="18"/>
  <c r="H490" i="28"/>
  <c r="H522" i="28"/>
  <c r="Z32" i="21"/>
  <c r="H477" i="28"/>
  <c r="L558" i="18"/>
  <c r="B551" i="28"/>
  <c r="D82" i="18"/>
  <c r="B83" i="18"/>
  <c r="AB65" i="21"/>
  <c r="F566" i="18"/>
  <c r="J492" i="28"/>
  <c r="L532" i="18"/>
  <c r="J567" i="18"/>
  <c r="B550" i="18"/>
  <c r="AB77" i="21"/>
  <c r="B498" i="28"/>
  <c r="D502" i="28"/>
  <c r="AB127" i="21"/>
  <c r="L563" i="18"/>
  <c r="D555" i="18"/>
  <c r="AC33" i="21"/>
  <c r="AB16" i="21"/>
  <c r="N505" i="28"/>
  <c r="AB20" i="21"/>
  <c r="H537" i="18"/>
  <c r="AE111" i="21"/>
  <c r="N503" i="28"/>
  <c r="F80" i="28"/>
  <c r="B505" i="18"/>
  <c r="H501" i="18"/>
  <c r="H523" i="18"/>
  <c r="N502" i="28"/>
  <c r="F508" i="28"/>
  <c r="AB48" i="21"/>
  <c r="B83" i="28"/>
  <c r="F493" i="18"/>
  <c r="AE14" i="21"/>
  <c r="H551" i="28"/>
  <c r="B88" i="28"/>
  <c r="AB62" i="21"/>
  <c r="AD34" i="21"/>
  <c r="F536" i="28"/>
  <c r="AA72" i="21"/>
  <c r="D82" i="28"/>
  <c r="J548" i="28"/>
  <c r="Z71" i="21"/>
  <c r="AD36" i="21"/>
  <c r="D530" i="18"/>
  <c r="N532" i="28"/>
  <c r="AE97" i="21"/>
  <c r="N477" i="18"/>
  <c r="AB49" i="21"/>
  <c r="H565" i="18"/>
  <c r="AC20" i="21"/>
  <c r="AB21" i="21"/>
  <c r="AC36" i="21"/>
  <c r="J518" i="28"/>
  <c r="D501" i="18"/>
  <c r="D551" i="18"/>
  <c r="AD24" i="21"/>
  <c r="D80" i="28"/>
  <c r="AC82" i="21"/>
  <c r="AD110" i="29"/>
  <c r="AD27" i="29"/>
  <c r="AC57" i="21"/>
  <c r="AB129" i="21"/>
  <c r="AC119" i="21"/>
  <c r="AE104" i="21"/>
  <c r="AB34" i="21"/>
  <c r="AD118" i="21"/>
  <c r="AA17" i="21"/>
  <c r="G24" i="27"/>
  <c r="AC28" i="21"/>
  <c r="B506" i="18"/>
  <c r="AA125" i="21"/>
  <c r="AC63" i="21"/>
  <c r="AB120" i="21"/>
  <c r="AD87" i="21"/>
  <c r="N496" i="28"/>
  <c r="L556" i="28"/>
  <c r="F550" i="18"/>
  <c r="N522" i="18"/>
  <c r="AA26" i="21"/>
  <c r="D536" i="28"/>
  <c r="AC50" i="21"/>
  <c r="B538" i="28"/>
  <c r="AA36" i="21"/>
  <c r="J488" i="28"/>
  <c r="H550" i="18"/>
  <c r="B22" i="27"/>
  <c r="D495" i="18"/>
  <c r="H488" i="18"/>
  <c r="AE50" i="21"/>
  <c r="AC47" i="21"/>
  <c r="D531" i="28"/>
  <c r="Z122" i="21"/>
  <c r="AD37" i="21"/>
  <c r="F70" i="18"/>
  <c r="AE127" i="21"/>
  <c r="Z74" i="21"/>
  <c r="D87" i="28"/>
  <c r="Z79" i="21"/>
  <c r="AD31" i="21"/>
  <c r="AD107" i="21"/>
  <c r="H500" i="18"/>
  <c r="AC128" i="21"/>
  <c r="F563" i="18"/>
  <c r="AC105" i="21"/>
  <c r="AA115" i="21"/>
  <c r="J518" i="18"/>
  <c r="J502" i="28"/>
  <c r="AB75" i="21"/>
  <c r="AE22" i="21"/>
  <c r="N527" i="18"/>
  <c r="D521" i="18"/>
  <c r="N508" i="28"/>
  <c r="L521" i="18"/>
  <c r="Z58" i="21"/>
  <c r="AB72" i="21"/>
  <c r="B531" i="18"/>
  <c r="F558" i="18"/>
  <c r="AD30" i="21"/>
  <c r="B71" i="28"/>
  <c r="AE12" i="21"/>
  <c r="AD11" i="21"/>
  <c r="AB13" i="21"/>
  <c r="AE83" i="21"/>
  <c r="Z89" i="21"/>
  <c r="D72" i="28"/>
  <c r="Z35" i="21"/>
  <c r="AD84" i="21"/>
  <c r="AA62" i="21"/>
  <c r="J537" i="28"/>
  <c r="J553" i="28"/>
  <c r="AC75" i="21"/>
  <c r="AC26" i="21"/>
  <c r="L522" i="28"/>
  <c r="H563" i="18"/>
  <c r="AD38" i="21"/>
  <c r="J535" i="28"/>
  <c r="D83" i="18"/>
  <c r="AC55" i="21"/>
  <c r="Z20" i="21"/>
  <c r="F72" i="28"/>
  <c r="AC46" i="21"/>
  <c r="N535" i="28"/>
  <c r="N560" i="28"/>
  <c r="L528" i="28"/>
  <c r="AA75" i="21"/>
  <c r="D490" i="28"/>
  <c r="N523" i="28"/>
  <c r="J563" i="28"/>
  <c r="J506" i="18"/>
  <c r="AA121" i="21"/>
  <c r="F520" i="18"/>
  <c r="H548" i="18"/>
  <c r="D68" i="18"/>
  <c r="AB47" i="21"/>
  <c r="H537" i="28"/>
  <c r="B81" i="28"/>
  <c r="Z22" i="21"/>
  <c r="H548" i="28"/>
  <c r="AC127" i="21"/>
  <c r="AE85" i="21"/>
  <c r="C22" i="27"/>
  <c r="AD93" i="21"/>
  <c r="AB43" i="21"/>
  <c r="AB42" i="21"/>
  <c r="J526" i="28"/>
  <c r="B556" i="28"/>
  <c r="AD63" i="21"/>
  <c r="B548" i="18"/>
  <c r="AE56" i="21"/>
  <c r="B76" i="18"/>
  <c r="L550" i="18"/>
  <c r="Z23" i="21"/>
  <c r="B87" i="18"/>
  <c r="F521" i="18"/>
  <c r="AC110" i="21"/>
  <c r="AD26" i="21"/>
  <c r="F523" i="18"/>
  <c r="J527" i="28"/>
  <c r="AB12" i="21"/>
  <c r="AA65" i="21"/>
  <c r="AC67" i="21"/>
  <c r="Z68" i="21"/>
  <c r="AB108" i="21"/>
  <c r="AB50" i="21"/>
  <c r="AD73" i="21"/>
  <c r="AD121" i="29"/>
  <c r="AD89" i="29"/>
  <c r="AD47" i="21"/>
  <c r="AE49" i="21"/>
  <c r="N531" i="18"/>
  <c r="Z85" i="21"/>
  <c r="D23" i="19"/>
  <c r="AE21" i="21"/>
  <c r="F496" i="28"/>
  <c r="F503" i="28"/>
  <c r="F24" i="19"/>
  <c r="B553" i="18"/>
  <c r="J525" i="18"/>
  <c r="AE43" i="21"/>
  <c r="N535" i="18"/>
  <c r="AE47" i="21"/>
  <c r="AB27" i="21"/>
  <c r="AD41" i="21"/>
  <c r="AB96" i="21"/>
  <c r="L557" i="28"/>
  <c r="AC59" i="21"/>
  <c r="AE118" i="21"/>
  <c r="J553" i="18"/>
  <c r="B502" i="18"/>
  <c r="D566" i="18"/>
  <c r="AD102" i="21"/>
  <c r="J526" i="18"/>
  <c r="F75" i="28"/>
  <c r="Z111" i="21"/>
  <c r="Z52" i="21"/>
  <c r="H556" i="18"/>
  <c r="AC120" i="21"/>
  <c r="AB31" i="21"/>
  <c r="N550" i="28"/>
  <c r="AD108" i="21"/>
  <c r="F73" i="18"/>
  <c r="F536" i="18"/>
  <c r="B568" i="18"/>
  <c r="H552" i="18"/>
  <c r="Z61" i="21"/>
  <c r="AA21" i="21"/>
  <c r="B523" i="18"/>
  <c r="F568" i="28"/>
  <c r="D77" i="18"/>
  <c r="AE121" i="21"/>
  <c r="N508" i="18"/>
  <c r="H496" i="18"/>
  <c r="H488" i="28"/>
  <c r="B522" i="28"/>
  <c r="J538" i="28"/>
  <c r="AD62" i="21"/>
  <c r="D550" i="28"/>
  <c r="F81" i="18"/>
  <c r="AB69" i="21"/>
  <c r="N568" i="28"/>
  <c r="H552" i="28"/>
  <c r="AA97" i="21"/>
  <c r="N537" i="18"/>
  <c r="AC40" i="21"/>
  <c r="L550" i="28"/>
  <c r="J533" i="28"/>
  <c r="Z127" i="21"/>
  <c r="AE106" i="21"/>
  <c r="Z78" i="21"/>
  <c r="AA22" i="21"/>
  <c r="H533" i="18"/>
  <c r="D535" i="28"/>
  <c r="L503" i="28"/>
  <c r="L495" i="18"/>
  <c r="F492" i="18"/>
  <c r="AE42" i="21"/>
  <c r="J558" i="28"/>
  <c r="D24" i="27"/>
  <c r="AA70" i="21"/>
  <c r="AA94" i="21"/>
  <c r="L565" i="18"/>
  <c r="AB57" i="21"/>
  <c r="N521" i="18"/>
  <c r="L526" i="28"/>
  <c r="J491" i="28"/>
  <c r="B492" i="18"/>
  <c r="AE29" i="21"/>
  <c r="AA117" i="21"/>
  <c r="Z98" i="21"/>
  <c r="F22" i="27"/>
  <c r="L477" i="18"/>
  <c r="AB107" i="21"/>
  <c r="J500" i="18"/>
  <c r="Z21" i="21"/>
  <c r="B561" i="18"/>
  <c r="F552" i="28"/>
  <c r="J551" i="28"/>
  <c r="H518" i="28"/>
  <c r="AA71" i="21"/>
  <c r="AD123" i="21"/>
  <c r="H507" i="28"/>
  <c r="F548" i="18"/>
  <c r="AE76" i="21"/>
  <c r="H496" i="28"/>
  <c r="F528" i="28"/>
  <c r="AB84" i="21"/>
  <c r="H520" i="28"/>
  <c r="Z17" i="21"/>
  <c r="Z124" i="21"/>
  <c r="AB104" i="21"/>
  <c r="AE105" i="21"/>
  <c r="F86" i="18"/>
  <c r="AB110" i="21"/>
  <c r="AA28" i="21"/>
  <c r="AE74" i="21"/>
  <c r="D70" i="28"/>
  <c r="AD79" i="21"/>
  <c r="D503" i="28"/>
  <c r="H492" i="18"/>
  <c r="AC54" i="21"/>
  <c r="Z88" i="21"/>
  <c r="AC18" i="21"/>
  <c r="AA76" i="21"/>
  <c r="F522" i="28"/>
  <c r="AB17" i="21"/>
  <c r="AE109" i="21"/>
  <c r="N563" i="28"/>
  <c r="B491" i="28"/>
  <c r="D555" i="28"/>
  <c r="AA35" i="21"/>
  <c r="AB121" i="21"/>
  <c r="Z96" i="21"/>
  <c r="AA68" i="21"/>
  <c r="AD61" i="29"/>
  <c r="AD32" i="29"/>
  <c r="J498" i="18"/>
  <c r="AA102" i="21"/>
  <c r="L490" i="28"/>
  <c r="B551" i="18"/>
  <c r="D556" i="18"/>
  <c r="F503" i="18"/>
  <c r="B500" i="28"/>
  <c r="F70" i="28"/>
  <c r="N490" i="28"/>
  <c r="AB14" i="21"/>
  <c r="L508" i="18"/>
  <c r="D76" i="18"/>
  <c r="AE16" i="21"/>
  <c r="F501" i="18"/>
  <c r="H528" i="28"/>
  <c r="AA44" i="21"/>
  <c r="AD86" i="21"/>
  <c r="D537" i="18"/>
  <c r="F477" i="28"/>
  <c r="D500" i="28"/>
  <c r="D557" i="28"/>
  <c r="AE19" i="21"/>
  <c r="N528" i="18"/>
  <c r="J522" i="28"/>
  <c r="AC37" i="21"/>
  <c r="AB125" i="21"/>
  <c r="J567" i="28"/>
  <c r="J508" i="28"/>
  <c r="B488" i="28"/>
  <c r="J505" i="18"/>
  <c r="B532" i="28"/>
  <c r="H555" i="28"/>
  <c r="F558" i="28"/>
  <c r="H526" i="28"/>
  <c r="L531" i="28"/>
  <c r="AA24" i="21"/>
  <c r="AE101" i="21"/>
  <c r="AC95" i="21"/>
  <c r="J503" i="18"/>
  <c r="L536" i="18"/>
  <c r="AC35" i="21"/>
  <c r="AB54" i="21"/>
  <c r="B502" i="28"/>
  <c r="N493" i="18"/>
  <c r="N518" i="18"/>
  <c r="N558" i="28"/>
  <c r="B72" i="28"/>
  <c r="B568" i="28"/>
  <c r="F488" i="28"/>
  <c r="F538" i="18"/>
  <c r="F555" i="28"/>
  <c r="Z91" i="21"/>
  <c r="AC81" i="21"/>
  <c r="AD106" i="21"/>
  <c r="AA41" i="21"/>
  <c r="Z26" i="21"/>
  <c r="Z94" i="21"/>
  <c r="AE89" i="21"/>
  <c r="AE62" i="21"/>
  <c r="B505" i="28"/>
  <c r="L520" i="18"/>
  <c r="AD44" i="21"/>
  <c r="AA51" i="21"/>
  <c r="L502" i="18"/>
  <c r="AC89" i="21"/>
  <c r="D498" i="28"/>
  <c r="L497" i="18"/>
  <c r="AD81" i="21"/>
  <c r="F562" i="28"/>
  <c r="J563" i="18"/>
  <c r="N530" i="28"/>
  <c r="Z104" i="21"/>
  <c r="D552" i="28"/>
  <c r="AD42" i="21"/>
  <c r="AD17" i="21"/>
  <c r="AC44" i="21"/>
  <c r="J521" i="18"/>
  <c r="AE93" i="21"/>
  <c r="AC21" i="21"/>
  <c r="N566" i="18"/>
  <c r="AC111" i="21"/>
  <c r="Z114" i="21"/>
  <c r="B497" i="28"/>
  <c r="D548" i="18"/>
  <c r="AC14" i="21"/>
  <c r="AE110" i="21"/>
  <c r="AC114" i="21"/>
  <c r="AC71" i="21"/>
  <c r="Z67" i="21"/>
  <c r="AA84" i="21"/>
  <c r="N538" i="18"/>
  <c r="Z54" i="21"/>
  <c r="Z36" i="21"/>
  <c r="F537" i="28"/>
  <c r="AE68" i="21"/>
  <c r="D560" i="28"/>
  <c r="Z123" i="21"/>
  <c r="D503" i="18"/>
  <c r="AD29" i="21"/>
  <c r="J500" i="28"/>
  <c r="AB56" i="21"/>
  <c r="J531" i="28"/>
  <c r="Z53" i="21"/>
  <c r="Z107" i="21"/>
  <c r="AD70" i="21"/>
  <c r="Z66" i="21"/>
  <c r="B567" i="28"/>
  <c r="F502" i="18"/>
  <c r="H532" i="28"/>
  <c r="Z76" i="21"/>
  <c r="N518" i="28"/>
  <c r="AE36" i="21"/>
  <c r="AC65" i="21"/>
  <c r="N488" i="18"/>
  <c r="AB61" i="21"/>
  <c r="AE23" i="21"/>
  <c r="D526" i="18"/>
  <c r="B525" i="18"/>
  <c r="AC43" i="21"/>
  <c r="H495" i="18"/>
  <c r="H24" i="19"/>
  <c r="AC126" i="21"/>
  <c r="AA105" i="21"/>
  <c r="AD69" i="21"/>
  <c r="B75" i="28"/>
  <c r="Z60" i="21"/>
  <c r="AD126" i="29"/>
  <c r="AD33" i="29"/>
  <c r="AD108" i="29"/>
  <c r="AD23" i="29"/>
  <c r="AD42" i="29"/>
  <c r="AD18" i="29"/>
  <c r="AD48" i="29"/>
  <c r="AD35" i="29"/>
  <c r="AD24" i="29"/>
  <c r="AD128" i="29"/>
  <c r="AD122" i="29"/>
  <c r="AD99" i="29"/>
  <c r="AD26" i="29"/>
  <c r="AD50" i="29"/>
  <c r="F81" i="28"/>
  <c r="AE18" i="21"/>
  <c r="B85" i="28"/>
  <c r="AD95" i="21"/>
  <c r="J558" i="18"/>
  <c r="Z112" i="21"/>
  <c r="B503" i="18"/>
  <c r="Z100" i="21"/>
  <c r="L500" i="28"/>
  <c r="AB101" i="21"/>
  <c r="J557" i="28"/>
  <c r="AB79" i="21"/>
  <c r="B531" i="28"/>
  <c r="AC104" i="21"/>
  <c r="AD45" i="21"/>
  <c r="B555" i="18"/>
  <c r="D563" i="18"/>
  <c r="N500" i="18"/>
  <c r="Z47" i="21"/>
  <c r="AB124" i="21"/>
  <c r="AB109" i="21"/>
  <c r="AE48" i="21"/>
  <c r="B477" i="28"/>
  <c r="L568" i="28"/>
  <c r="AC34" i="21"/>
  <c r="D526" i="28"/>
  <c r="AC125" i="21"/>
  <c r="N521" i="28"/>
  <c r="L501" i="28"/>
  <c r="AD35" i="21"/>
  <c r="AD21" i="21"/>
  <c r="AB24" i="21"/>
  <c r="D553" i="18"/>
  <c r="Z45" i="21"/>
  <c r="AC48" i="21"/>
  <c r="AE45" i="21"/>
  <c r="B495" i="18"/>
  <c r="AC64" i="21"/>
  <c r="Z50" i="21"/>
  <c r="H497" i="28"/>
  <c r="F533" i="28"/>
  <c r="AE123" i="21"/>
  <c r="Z59" i="21"/>
  <c r="AD126" i="21"/>
  <c r="D522" i="18"/>
  <c r="F82" i="28"/>
  <c r="D500" i="18"/>
  <c r="F527" i="28"/>
  <c r="B73" i="28"/>
  <c r="AC70" i="21"/>
  <c r="F567" i="18"/>
  <c r="Z31" i="21"/>
  <c r="D548" i="28"/>
  <c r="H532" i="18"/>
  <c r="F477" i="18"/>
  <c r="AC29" i="21"/>
  <c r="L537" i="28"/>
  <c r="Z103" i="21"/>
  <c r="AE108" i="21"/>
  <c r="L526" i="18"/>
  <c r="H23" i="27"/>
  <c r="B528" i="28"/>
  <c r="AD68" i="29"/>
  <c r="AD30" i="29"/>
  <c r="AD101" i="29"/>
  <c r="AD59" i="29"/>
  <c r="AD56" i="29"/>
  <c r="AD76" i="29"/>
  <c r="AD29" i="29"/>
  <c r="AD49" i="29"/>
  <c r="AD58" i="29"/>
  <c r="AD111" i="29"/>
  <c r="AD86" i="29"/>
  <c r="AD92" i="29"/>
  <c r="AD69" i="29"/>
  <c r="AE27" i="21"/>
  <c r="Z102" i="21"/>
  <c r="J495" i="28"/>
  <c r="N520" i="18"/>
  <c r="F502" i="28"/>
  <c r="L528" i="18"/>
  <c r="H492" i="28"/>
  <c r="J551" i="18"/>
  <c r="F497" i="18"/>
  <c r="F560" i="18"/>
  <c r="H523" i="28"/>
  <c r="L496" i="18"/>
  <c r="B492" i="28"/>
  <c r="AA37" i="21"/>
  <c r="AD27" i="21"/>
  <c r="F522" i="18"/>
  <c r="AA14" i="21"/>
  <c r="AB37" i="21"/>
  <c r="Z117" i="21"/>
  <c r="F500" i="18"/>
  <c r="F505" i="28"/>
  <c r="B561" i="28"/>
  <c r="B81" i="18"/>
  <c r="AA27" i="21"/>
  <c r="L488" i="18"/>
  <c r="F530" i="18"/>
  <c r="AB82" i="21"/>
  <c r="F71" i="28"/>
  <c r="AA31" i="21"/>
  <c r="AA123" i="21"/>
  <c r="AC24" i="21"/>
  <c r="AD84" i="29"/>
  <c r="AD40" i="29"/>
  <c r="H550" i="28"/>
  <c r="D525" i="28"/>
  <c r="AD54" i="21"/>
  <c r="D71" i="18"/>
  <c r="H533" i="28"/>
  <c r="H493" i="18"/>
  <c r="B526" i="18"/>
  <c r="L495" i="28"/>
  <c r="D558" i="18"/>
  <c r="AE82" i="21"/>
  <c r="AB11" i="21"/>
  <c r="B537" i="28"/>
  <c r="D562" i="28"/>
  <c r="Z43" i="21"/>
  <c r="N498" i="28"/>
  <c r="H551" i="18"/>
  <c r="L525" i="28"/>
  <c r="AC31" i="21"/>
  <c r="AA52" i="21"/>
  <c r="N536" i="18"/>
  <c r="Z62" i="21"/>
  <c r="B558" i="18"/>
  <c r="L561" i="18"/>
  <c r="B86" i="28"/>
  <c r="D508" i="18"/>
  <c r="AC66" i="21"/>
  <c r="D83" i="28"/>
  <c r="B75" i="18"/>
  <c r="AE119" i="21"/>
  <c r="L506" i="28"/>
  <c r="D492" i="18"/>
  <c r="N567" i="18"/>
  <c r="F495" i="18"/>
  <c r="AB91" i="21"/>
  <c r="AB29" i="21"/>
  <c r="AB113" i="21"/>
  <c r="N502" i="18"/>
  <c r="AB63" i="21"/>
  <c r="AB111" i="21"/>
  <c r="N536" i="28"/>
  <c r="H536" i="18"/>
  <c r="D496" i="18"/>
  <c r="AD109" i="21"/>
  <c r="F77" i="18"/>
  <c r="N523" i="18"/>
  <c r="B78" i="18"/>
  <c r="AA48" i="21"/>
  <c r="AE35" i="21"/>
  <c r="AB28" i="21"/>
  <c r="AB112" i="21"/>
  <c r="AD121" i="21"/>
  <c r="AB19" i="21"/>
  <c r="AA85" i="21"/>
  <c r="AB40" i="21"/>
  <c r="F500" i="28"/>
  <c r="AA128" i="21"/>
  <c r="AE91" i="21"/>
  <c r="H525" i="18"/>
  <c r="D523" i="28"/>
  <c r="AC129" i="21"/>
  <c r="AA114" i="21"/>
  <c r="AA23" i="21"/>
  <c r="Z75" i="21"/>
  <c r="J552" i="28"/>
  <c r="AB60" i="21"/>
  <c r="D501" i="28"/>
  <c r="B520" i="28"/>
  <c r="AE72" i="21"/>
  <c r="D491" i="28"/>
  <c r="F538" i="28"/>
  <c r="AD12" i="21"/>
  <c r="J490" i="18"/>
  <c r="AE31" i="21"/>
  <c r="Z19" i="21"/>
  <c r="D566" i="28"/>
  <c r="AB106" i="21"/>
  <c r="L548" i="28"/>
  <c r="H538" i="28"/>
  <c r="Z115" i="21"/>
  <c r="F556" i="18"/>
  <c r="H528" i="18"/>
  <c r="AD55" i="21"/>
  <c r="L567" i="18"/>
  <c r="AD103" i="29"/>
  <c r="AD16" i="29"/>
  <c r="AD37" i="29"/>
  <c r="AD21" i="29"/>
  <c r="AD47" i="29"/>
  <c r="AD82" i="29"/>
  <c r="AD73" i="29"/>
  <c r="AD113" i="29"/>
  <c r="AD22" i="29"/>
  <c r="AD125" i="29"/>
  <c r="AD100" i="29"/>
  <c r="AD91" i="29"/>
  <c r="AD39" i="29"/>
  <c r="AB51" i="21"/>
  <c r="J492" i="18"/>
  <c r="D506" i="28"/>
  <c r="AE95" i="21"/>
  <c r="H560" i="28"/>
  <c r="J532" i="28"/>
  <c r="B525" i="28"/>
  <c r="AB115" i="21"/>
  <c r="AE15" i="21"/>
  <c r="AA129" i="21"/>
  <c r="J506" i="28"/>
  <c r="AE78" i="21"/>
  <c r="B521" i="28"/>
  <c r="N525" i="28"/>
  <c r="N495" i="28"/>
  <c r="N552" i="28"/>
  <c r="N556" i="28"/>
  <c r="D24" i="19"/>
  <c r="AE20" i="21"/>
  <c r="B498" i="18"/>
  <c r="J527" i="18"/>
  <c r="F86" i="28"/>
  <c r="D552" i="18"/>
  <c r="N507" i="28"/>
  <c r="H22" i="19"/>
  <c r="D522" i="28"/>
  <c r="D73" i="18"/>
  <c r="D81" i="28"/>
  <c r="AD22" i="21"/>
  <c r="AD88" i="29"/>
  <c r="AD116" i="29"/>
  <c r="Z42" i="21"/>
  <c r="Z110" i="21"/>
  <c r="L551" i="18"/>
  <c r="D488" i="28"/>
  <c r="F507" i="18"/>
  <c r="AB68" i="21"/>
  <c r="AE40" i="21"/>
  <c r="AC41" i="21"/>
  <c r="AB92" i="21"/>
  <c r="Z24" i="21"/>
  <c r="L556" i="18"/>
  <c r="AB103" i="21"/>
  <c r="Z18" i="21"/>
  <c r="AB67" i="21"/>
  <c r="AE117" i="21"/>
  <c r="N561" i="28"/>
  <c r="AE60" i="21"/>
  <c r="L563" i="28"/>
  <c r="Z28" i="21"/>
  <c r="L558" i="28"/>
  <c r="J557" i="18"/>
  <c r="AA13" i="21"/>
  <c r="AA106" i="21"/>
  <c r="AD101" i="21"/>
  <c r="F537" i="18"/>
  <c r="F87" i="18"/>
  <c r="B507" i="18"/>
  <c r="AE41" i="21"/>
  <c r="AE81" i="21"/>
  <c r="J560" i="18"/>
  <c r="F526" i="18"/>
  <c r="AA50" i="21"/>
  <c r="B501" i="18"/>
  <c r="AC101" i="21"/>
  <c r="AD76" i="21"/>
  <c r="D506" i="18"/>
  <c r="F525" i="28"/>
  <c r="F506" i="18"/>
  <c r="F532" i="28"/>
  <c r="AE30" i="21"/>
  <c r="AE88" i="21"/>
  <c r="Z41" i="21"/>
  <c r="H505" i="28"/>
  <c r="Z99" i="21"/>
  <c r="N495" i="18"/>
  <c r="D87" i="18"/>
  <c r="L507" i="18"/>
  <c r="AE57" i="21"/>
  <c r="F22" i="19"/>
  <c r="F555" i="18"/>
  <c r="D533" i="28"/>
  <c r="G24" i="19"/>
  <c r="F88" i="28"/>
  <c r="AC112" i="21"/>
  <c r="AA57" i="21"/>
  <c r="B495" i="28"/>
  <c r="L536" i="28"/>
  <c r="AA89" i="21"/>
  <c r="N490" i="18"/>
  <c r="B532" i="18"/>
  <c r="F23" i="19"/>
  <c r="N557" i="28"/>
  <c r="N503" i="18"/>
  <c r="H557" i="18"/>
  <c r="AA66" i="21"/>
  <c r="J568" i="18"/>
  <c r="AD51" i="21"/>
  <c r="B508" i="28"/>
  <c r="H561" i="28"/>
  <c r="AD125" i="21"/>
  <c r="J535" i="18"/>
  <c r="AC122" i="21"/>
  <c r="D75" i="18"/>
  <c r="AB86" i="21"/>
  <c r="AA60" i="21"/>
  <c r="L548" i="18"/>
  <c r="AA126" i="21"/>
  <c r="J530" i="28"/>
  <c r="AE94" i="21"/>
  <c r="AD74" i="21"/>
  <c r="B80" i="28"/>
  <c r="AA78" i="21"/>
  <c r="L537" i="18"/>
  <c r="AC60" i="21"/>
  <c r="AD57" i="29"/>
  <c r="AD55" i="29"/>
  <c r="AD54" i="29"/>
  <c r="AD77" i="29"/>
  <c r="AD107" i="29"/>
  <c r="AD127" i="29"/>
  <c r="AD45" i="29"/>
  <c r="AD53" i="29"/>
  <c r="AD67" i="29"/>
  <c r="AD90" i="29"/>
  <c r="AD75" i="29"/>
  <c r="AD25" i="29"/>
  <c r="B78" i="28"/>
  <c r="D477" i="28"/>
  <c r="AA34" i="21"/>
  <c r="AC102" i="21"/>
  <c r="L555" i="28"/>
  <c r="AC83" i="21"/>
  <c r="AD77" i="21"/>
  <c r="F535" i="18"/>
  <c r="F491" i="28"/>
  <c r="L566" i="28"/>
  <c r="B563" i="28"/>
  <c r="AB23" i="21"/>
  <c r="F561" i="18"/>
  <c r="Z38" i="21"/>
  <c r="B520" i="18"/>
  <c r="F550" i="28"/>
  <c r="D535" i="18"/>
  <c r="N498" i="18"/>
  <c r="H562" i="28"/>
  <c r="AD32" i="21"/>
  <c r="AA29" i="21"/>
  <c r="N565" i="18"/>
  <c r="AD104" i="29"/>
  <c r="AD43" i="29"/>
  <c r="AD97" i="29"/>
  <c r="AD52" i="29"/>
  <c r="AD96" i="29"/>
  <c r="AD28" i="29"/>
  <c r="AD46" i="29"/>
  <c r="AD109" i="29"/>
  <c r="AC17" i="21"/>
  <c r="AE54" i="21"/>
  <c r="D538" i="28"/>
  <c r="AB33" i="21"/>
  <c r="F565" i="28"/>
  <c r="AD122" i="21"/>
  <c r="B523" i="28"/>
  <c r="AA39" i="21"/>
  <c r="F525" i="18"/>
  <c r="B555" i="28"/>
  <c r="H566" i="28"/>
  <c r="AA19" i="21"/>
  <c r="AB41" i="21"/>
  <c r="AD48" i="21"/>
  <c r="AC53" i="21"/>
  <c r="AE24" i="21"/>
  <c r="AD120" i="21"/>
  <c r="Z11" i="21"/>
  <c r="AE55" i="21"/>
  <c r="N557" i="18"/>
  <c r="AC49" i="21"/>
  <c r="N506" i="28"/>
  <c r="AB18" i="21"/>
  <c r="F556" i="28"/>
  <c r="AD52" i="21"/>
  <c r="AE100" i="21"/>
  <c r="J495" i="18"/>
  <c r="AD43" i="21"/>
  <c r="AD66" i="29"/>
  <c r="AD62" i="29"/>
  <c r="AD38" i="29"/>
  <c r="AD106" i="29"/>
  <c r="AD105" i="29"/>
  <c r="AD120" i="29"/>
  <c r="D495" i="28"/>
  <c r="AD31" i="29"/>
  <c r="AD114" i="29"/>
  <c r="AD10" i="29"/>
  <c r="AD20" i="29"/>
  <c r="B565" i="18"/>
  <c r="AB59" i="21"/>
  <c r="D536" i="18"/>
  <c r="AA61" i="21"/>
  <c r="N500" i="28"/>
  <c r="Z97" i="21"/>
  <c r="AE69" i="21"/>
  <c r="D518" i="18"/>
  <c r="F523" i="28"/>
  <c r="L561" i="28"/>
  <c r="AC25" i="21"/>
  <c r="J502" i="18"/>
  <c r="B527" i="18"/>
  <c r="D533" i="18"/>
  <c r="N528" i="28"/>
  <c r="AA80" i="21"/>
  <c r="N501" i="18"/>
  <c r="AB35" i="21"/>
  <c r="Z29" i="21"/>
  <c r="F530" i="28"/>
  <c r="Z14" i="21"/>
  <c r="L493" i="18"/>
  <c r="D493" i="28"/>
  <c r="D86" i="18"/>
  <c r="J493" i="18"/>
  <c r="D528" i="18"/>
  <c r="AC38" i="21"/>
  <c r="AA47" i="21"/>
  <c r="Z51" i="21"/>
  <c r="F548" i="28"/>
  <c r="AD129" i="21"/>
  <c r="B491" i="18"/>
  <c r="L533" i="18"/>
  <c r="AC113" i="21"/>
  <c r="L527" i="28"/>
  <c r="D568" i="18"/>
  <c r="H567" i="18"/>
  <c r="AB99" i="21"/>
  <c r="AC27" i="21"/>
  <c r="AC30" i="21"/>
  <c r="AA109" i="21"/>
  <c r="AD83" i="21"/>
  <c r="F521" i="28"/>
  <c r="B557" i="18"/>
  <c r="J507" i="18"/>
  <c r="D565" i="18"/>
  <c r="F80" i="18"/>
  <c r="L523" i="28"/>
  <c r="AB102" i="21"/>
  <c r="AA92" i="21"/>
  <c r="AD79" i="29"/>
  <c r="AD80" i="29"/>
  <c r="AD44" i="29"/>
  <c r="AD19" i="29"/>
  <c r="AD97" i="21"/>
  <c r="AD65" i="21"/>
  <c r="AE28" i="21"/>
  <c r="B552" i="28"/>
  <c r="AD15" i="21"/>
  <c r="D563" i="28"/>
  <c r="AB123" i="21"/>
  <c r="B501" i="28"/>
  <c r="AB53" i="21"/>
  <c r="AC11" i="21"/>
  <c r="L501" i="18"/>
  <c r="AA79" i="21"/>
  <c r="Z40" i="21"/>
  <c r="B88" i="18"/>
  <c r="B86" i="18"/>
  <c r="Z70" i="21"/>
  <c r="D497" i="28"/>
  <c r="N568" i="18"/>
  <c r="N553" i="18"/>
  <c r="J498" i="28"/>
  <c r="D531" i="18"/>
  <c r="AD128" i="21"/>
  <c r="J550" i="28"/>
  <c r="AC108" i="21"/>
  <c r="N537" i="28"/>
  <c r="L488" i="28"/>
  <c r="AC106" i="21"/>
  <c r="L538" i="18"/>
  <c r="AA113" i="21"/>
  <c r="AA87" i="21"/>
  <c r="AC121" i="21"/>
  <c r="AD111" i="21"/>
  <c r="J561" i="18"/>
  <c r="Z16" i="21"/>
  <c r="D523" i="18"/>
  <c r="AD118" i="29"/>
  <c r="AD98" i="29"/>
  <c r="AD11" i="29"/>
  <c r="AD87" i="29"/>
  <c r="AD64" i="29"/>
  <c r="AD63" i="29"/>
  <c r="N551" i="28"/>
  <c r="AD74" i="29"/>
  <c r="AD71" i="29"/>
  <c r="AD94" i="29"/>
  <c r="AD123" i="29"/>
  <c r="AD85" i="29"/>
  <c r="AC39" i="21"/>
  <c r="C22" i="19"/>
  <c r="J550" i="18"/>
  <c r="B493" i="28"/>
  <c r="AB15" i="21"/>
  <c r="AC117" i="21"/>
  <c r="B565" i="28"/>
  <c r="D505" i="28"/>
  <c r="F505" i="18"/>
  <c r="D72" i="18"/>
  <c r="B68" i="18"/>
  <c r="F560" i="28"/>
  <c r="N561" i="18"/>
  <c r="F76" i="18"/>
  <c r="B490" i="28"/>
  <c r="J528" i="18"/>
  <c r="AE66" i="21"/>
  <c r="AD81" i="29"/>
  <c r="AD17" i="29"/>
  <c r="AD51" i="29"/>
  <c r="D561" i="18"/>
  <c r="Z69" i="21"/>
  <c r="AD78" i="29"/>
  <c r="AA42" i="21"/>
  <c r="AC115" i="21"/>
  <c r="D493" i="18"/>
  <c r="B528" i="18"/>
  <c r="AD83" i="29"/>
  <c r="AA107" i="21"/>
  <c r="AE116" i="21"/>
  <c r="L493" i="28"/>
  <c r="AE17" i="21"/>
  <c r="AD70" i="29"/>
  <c r="AD110" i="21"/>
  <c r="N493" i="28"/>
  <c r="AA116" i="21"/>
  <c r="AD67" i="21"/>
  <c r="J477" i="28"/>
  <c r="B562" i="28"/>
  <c r="AA55" i="21"/>
  <c r="Z93" i="21"/>
  <c r="H530" i="28"/>
  <c r="AD13" i="29"/>
  <c r="AD15" i="29"/>
  <c r="AD12" i="29"/>
  <c r="J566" i="28"/>
  <c r="H491" i="28"/>
  <c r="AE52" i="21"/>
  <c r="H477" i="18"/>
  <c r="L522" i="18"/>
  <c r="H491" i="18"/>
  <c r="AD72" i="29"/>
  <c r="AD95" i="29"/>
  <c r="H502" i="18"/>
  <c r="L527" i="18"/>
  <c r="AD102" i="29"/>
  <c r="AD117" i="29"/>
  <c r="H530" i="18"/>
  <c r="Z34" i="21"/>
  <c r="H568" i="18"/>
  <c r="AD34" i="29"/>
  <c r="F551" i="28"/>
  <c r="B527" i="28"/>
  <c r="Z108" i="21"/>
  <c r="AC72" i="21"/>
  <c r="L552" i="18"/>
  <c r="D477" i="18"/>
  <c r="L530" i="28"/>
  <c r="AD13" i="21"/>
  <c r="AD124" i="29"/>
  <c r="AD41" i="29"/>
  <c r="AD60" i="29"/>
  <c r="Z128" i="21"/>
  <c r="AD36" i="29"/>
  <c r="AA108" i="21"/>
  <c r="AA11" i="21"/>
  <c r="J562" i="18"/>
  <c r="AD104" i="21"/>
  <c r="L477" i="28"/>
  <c r="AD85" i="21"/>
  <c r="Z30" i="21"/>
  <c r="D80" i="18"/>
  <c r="AD115" i="29"/>
  <c r="AD65" i="29"/>
  <c r="AD14" i="29"/>
  <c r="AA16" i="21"/>
  <c r="AE124" i="21"/>
  <c r="D505" i="18"/>
  <c r="H535" i="28"/>
  <c r="J496" i="28"/>
  <c r="H503" i="18"/>
  <c r="AB45" i="21"/>
  <c r="D567" i="18"/>
  <c r="AD93" i="29"/>
  <c r="AD119" i="29"/>
  <c r="AD112" i="29"/>
  <c r="AD71" i="21"/>
  <c r="AC123" i="21"/>
  <c r="BY287" i="4" l="1"/>
  <c r="BY286" i="4"/>
  <c r="BY285" i="4"/>
  <c r="BY284" i="4"/>
  <c r="BY283" i="4"/>
  <c r="BY282" i="4"/>
  <c r="BY281" i="4"/>
  <c r="BY280" i="4"/>
  <c r="BY279" i="4"/>
  <c r="BY278" i="4"/>
  <c r="BY277" i="4"/>
  <c r="BY276" i="4"/>
  <c r="BY275" i="4"/>
  <c r="BY274" i="4"/>
  <c r="BY273" i="4"/>
  <c r="I660" i="4" l="1"/>
  <c r="K660" i="4" s="1"/>
  <c r="BL205" i="4" l="1"/>
  <c r="BM205" i="4" s="1"/>
  <c r="BF205" i="4"/>
  <c r="BG205" i="4" s="1"/>
  <c r="AZ205" i="4"/>
  <c r="BA205" i="4" s="1"/>
  <c r="AB205" i="4"/>
  <c r="AA205" i="4"/>
  <c r="V205" i="4"/>
  <c r="W205" i="4" s="1"/>
  <c r="P205" i="4"/>
  <c r="Q205" i="4" s="1"/>
  <c r="J205" i="4"/>
  <c r="K205" i="4" s="1"/>
  <c r="BL204" i="4"/>
  <c r="BM204" i="4" s="1"/>
  <c r="BF204" i="4"/>
  <c r="BG204" i="4" s="1"/>
  <c r="AZ204" i="4"/>
  <c r="BA204" i="4" s="1"/>
  <c r="AT204" i="4"/>
  <c r="AU204" i="4" s="1"/>
  <c r="AB204" i="4"/>
  <c r="AC204" i="4" s="1"/>
  <c r="V204" i="4"/>
  <c r="W204" i="4" s="1"/>
  <c r="P204" i="4"/>
  <c r="Q204" i="4" s="1"/>
  <c r="J204" i="4"/>
  <c r="K204" i="4" s="1"/>
  <c r="AZ195" i="4"/>
  <c r="BA195" i="4" s="1"/>
  <c r="AT195" i="4"/>
  <c r="AU195" i="4" s="1"/>
  <c r="AB195" i="4"/>
  <c r="AC195" i="4" s="1"/>
  <c r="V195" i="4"/>
  <c r="W195" i="4" s="1"/>
  <c r="P195" i="4"/>
  <c r="Q195" i="4" s="1"/>
  <c r="J195" i="4"/>
  <c r="K195" i="4" s="1"/>
  <c r="AT203" i="4"/>
  <c r="AU203" i="4" s="1"/>
  <c r="AB203" i="4"/>
  <c r="AC203" i="4" s="1"/>
  <c r="V203" i="4"/>
  <c r="W203" i="4" s="1"/>
  <c r="P203" i="4"/>
  <c r="Q203" i="4" s="1"/>
  <c r="J203" i="4"/>
  <c r="I203" i="4"/>
  <c r="BL202" i="4"/>
  <c r="BM202" i="4" s="1"/>
  <c r="BF202" i="4"/>
  <c r="BG202" i="4" s="1"/>
  <c r="AZ202" i="4"/>
  <c r="BA202" i="4" s="1"/>
  <c r="AT202" i="4"/>
  <c r="AU202" i="4" s="1"/>
  <c r="AB202" i="4"/>
  <c r="AC202" i="4" s="1"/>
  <c r="V202" i="4"/>
  <c r="W202" i="4" s="1"/>
  <c r="P202" i="4"/>
  <c r="O202" i="4"/>
  <c r="J202" i="4"/>
  <c r="I202" i="4"/>
  <c r="BL201" i="4"/>
  <c r="BM201" i="4" s="1"/>
  <c r="BF201" i="4"/>
  <c r="BG201" i="4" s="1"/>
  <c r="AZ201" i="4"/>
  <c r="BA201" i="4" s="1"/>
  <c r="AT201" i="4"/>
  <c r="AU201" i="4" s="1"/>
  <c r="AB201" i="4"/>
  <c r="AC201" i="4" s="1"/>
  <c r="V201" i="4"/>
  <c r="W201" i="4" s="1"/>
  <c r="P201" i="4"/>
  <c r="O201" i="4"/>
  <c r="J201" i="4"/>
  <c r="I201" i="4"/>
  <c r="AZ200" i="4"/>
  <c r="BA200" i="4" s="1"/>
  <c r="AT200" i="4"/>
  <c r="AU200" i="4" s="1"/>
  <c r="AB200" i="4"/>
  <c r="AC200" i="4" s="1"/>
  <c r="V200" i="4"/>
  <c r="W200" i="4" s="1"/>
  <c r="P200" i="4"/>
  <c r="Q200" i="4" s="1"/>
  <c r="J200" i="4"/>
  <c r="I200" i="4"/>
  <c r="BL199" i="4"/>
  <c r="BM199" i="4" s="1"/>
  <c r="BF199" i="4"/>
  <c r="BG199" i="4" s="1"/>
  <c r="AZ199" i="4"/>
  <c r="BA199" i="4" s="1"/>
  <c r="AT199" i="4"/>
  <c r="AU199" i="4" s="1"/>
  <c r="AB199" i="4"/>
  <c r="AA199" i="4"/>
  <c r="V199" i="4"/>
  <c r="W199" i="4" s="1"/>
  <c r="P199" i="4"/>
  <c r="O199" i="4"/>
  <c r="J199" i="4"/>
  <c r="I199" i="4"/>
  <c r="BL198" i="4"/>
  <c r="BM198" i="4" s="1"/>
  <c r="BF198" i="4"/>
  <c r="BG198" i="4" s="1"/>
  <c r="AZ198" i="4"/>
  <c r="BA198" i="4" s="1"/>
  <c r="AB198" i="4"/>
  <c r="AC198" i="4" s="1"/>
  <c r="V198" i="4"/>
  <c r="W198" i="4" s="1"/>
  <c r="P198" i="4"/>
  <c r="Q198" i="4" s="1"/>
  <c r="J198" i="4"/>
  <c r="K198" i="4" s="1"/>
  <c r="AZ197" i="4"/>
  <c r="BA197" i="4" s="1"/>
  <c r="AT197" i="4"/>
  <c r="AU197" i="4" s="1"/>
  <c r="AB197" i="4"/>
  <c r="AC197" i="4" s="1"/>
  <c r="V197" i="4"/>
  <c r="W197" i="4" s="1"/>
  <c r="P197" i="4"/>
  <c r="Q197" i="4" s="1"/>
  <c r="J197" i="4"/>
  <c r="K197" i="4" s="1"/>
  <c r="BL196" i="4"/>
  <c r="BM196" i="4" s="1"/>
  <c r="BF196" i="4"/>
  <c r="BG196" i="4" s="1"/>
  <c r="AZ196" i="4"/>
  <c r="BA196" i="4" s="1"/>
  <c r="AT196" i="4"/>
  <c r="AU196" i="4" s="1"/>
  <c r="AB196" i="4"/>
  <c r="AC196" i="4" s="1"/>
  <c r="V196" i="4"/>
  <c r="W196" i="4" s="1"/>
  <c r="P196" i="4"/>
  <c r="O196" i="4"/>
  <c r="J196" i="4"/>
  <c r="I196" i="4"/>
  <c r="AZ194" i="4"/>
  <c r="BA194" i="4" s="1"/>
  <c r="AT194" i="4"/>
  <c r="AU194" i="4" s="1"/>
  <c r="AB194" i="4"/>
  <c r="AA194" i="4"/>
  <c r="V194" i="4"/>
  <c r="W194" i="4" s="1"/>
  <c r="P194" i="4"/>
  <c r="O194" i="4"/>
  <c r="J194" i="4"/>
  <c r="I194" i="4"/>
  <c r="AZ193" i="4"/>
  <c r="BA193" i="4" s="1"/>
  <c r="AT193" i="4"/>
  <c r="AU193" i="4" s="1"/>
  <c r="AB193" i="4"/>
  <c r="AA193" i="4"/>
  <c r="V193" i="4"/>
  <c r="U193" i="4"/>
  <c r="P193" i="4"/>
  <c r="O193" i="4"/>
  <c r="J193" i="4"/>
  <c r="I193" i="4"/>
  <c r="AZ192" i="4"/>
  <c r="BA192" i="4" s="1"/>
  <c r="AT192" i="4"/>
  <c r="AU192" i="4" s="1"/>
  <c r="AB192" i="4"/>
  <c r="AC192" i="4" s="1"/>
  <c r="V192" i="4"/>
  <c r="W192" i="4" s="1"/>
  <c r="P192" i="4"/>
  <c r="O192" i="4"/>
  <c r="J192" i="4"/>
  <c r="I192" i="4"/>
  <c r="BL191" i="4"/>
  <c r="BM191" i="4" s="1"/>
  <c r="BF191" i="4"/>
  <c r="BG191" i="4" s="1"/>
  <c r="AZ191" i="4"/>
  <c r="BA191" i="4" s="1"/>
  <c r="AT191" i="4"/>
  <c r="AU191" i="4" s="1"/>
  <c r="AB191" i="4"/>
  <c r="AC191" i="4" s="1"/>
  <c r="V191" i="4"/>
  <c r="W191" i="4" s="1"/>
  <c r="P191" i="4"/>
  <c r="O191" i="4"/>
  <c r="J191" i="4"/>
  <c r="I191" i="4"/>
  <c r="BL190" i="4"/>
  <c r="BM190" i="4" s="1"/>
  <c r="BF190" i="4"/>
  <c r="BG190" i="4" s="1"/>
  <c r="AZ190" i="4"/>
  <c r="BA190" i="4" s="1"/>
  <c r="AT190" i="4"/>
  <c r="AU190" i="4" s="1"/>
  <c r="AB190" i="4"/>
  <c r="AA190" i="4"/>
  <c r="V190" i="4"/>
  <c r="U190" i="4"/>
  <c r="P190" i="4"/>
  <c r="O190" i="4"/>
  <c r="J190" i="4"/>
  <c r="I190" i="4"/>
  <c r="BR189" i="4"/>
  <c r="BS189" i="4" s="1"/>
  <c r="BL189" i="4"/>
  <c r="BM189" i="4" s="1"/>
  <c r="BF189" i="4"/>
  <c r="BG189" i="4" s="1"/>
  <c r="AZ189" i="4"/>
  <c r="BA189" i="4" s="1"/>
  <c r="AT189" i="4"/>
  <c r="AU189" i="4" s="1"/>
  <c r="AH189" i="4"/>
  <c r="AG189" i="4"/>
  <c r="V189" i="4"/>
  <c r="U189" i="4"/>
  <c r="P189" i="4"/>
  <c r="O189" i="4"/>
  <c r="J189" i="4"/>
  <c r="I189" i="4"/>
  <c r="BF188" i="4"/>
  <c r="BG188" i="4" s="1"/>
  <c r="AZ188" i="4"/>
  <c r="BA188" i="4" s="1"/>
  <c r="AT188" i="4"/>
  <c r="AU188" i="4" s="1"/>
  <c r="AB188" i="4"/>
  <c r="AC188" i="4" s="1"/>
  <c r="V188" i="4"/>
  <c r="U188" i="4"/>
  <c r="P188" i="4"/>
  <c r="O188" i="4"/>
  <c r="J188" i="4"/>
  <c r="K188" i="4" s="1"/>
  <c r="BL187" i="4"/>
  <c r="BM187" i="4" s="1"/>
  <c r="BF187" i="4"/>
  <c r="BG187" i="4" s="1"/>
  <c r="AZ187" i="4"/>
  <c r="BA187" i="4" s="1"/>
  <c r="AT187" i="4"/>
  <c r="AU187" i="4" s="1"/>
  <c r="AH187" i="4"/>
  <c r="AI187" i="4" s="1"/>
  <c r="AB187" i="4"/>
  <c r="AA187" i="4"/>
  <c r="V187" i="4"/>
  <c r="U187" i="4"/>
  <c r="P187" i="4"/>
  <c r="O187" i="4"/>
  <c r="J187" i="4"/>
  <c r="I187" i="4"/>
  <c r="BR186" i="4"/>
  <c r="BS186" i="4" s="1"/>
  <c r="AZ186" i="4"/>
  <c r="BA186" i="4" s="1"/>
  <c r="AT186" i="4"/>
  <c r="AS186" i="4"/>
  <c r="AH186" i="4"/>
  <c r="AG186" i="4"/>
  <c r="V186" i="4"/>
  <c r="U186" i="4"/>
  <c r="P186" i="4"/>
  <c r="O186" i="4"/>
  <c r="J186" i="4"/>
  <c r="I186" i="4"/>
  <c r="BL185" i="4"/>
  <c r="BM185" i="4" s="1"/>
  <c r="BF185" i="4"/>
  <c r="BG185" i="4" s="1"/>
  <c r="AZ185" i="4"/>
  <c r="BA185" i="4" s="1"/>
  <c r="AT185" i="4"/>
  <c r="AU185" i="4" s="1"/>
  <c r="AB185" i="4"/>
  <c r="AA185" i="4"/>
  <c r="V185" i="4"/>
  <c r="U185" i="4"/>
  <c r="P185" i="4"/>
  <c r="O185" i="4"/>
  <c r="J185" i="4"/>
  <c r="I185" i="4"/>
  <c r="BR184" i="4"/>
  <c r="BS184" i="4" s="1"/>
  <c r="BF184" i="4"/>
  <c r="BG184" i="4" s="1"/>
  <c r="AZ184" i="4"/>
  <c r="BA184" i="4" s="1"/>
  <c r="AT184" i="4"/>
  <c r="AU184" i="4" s="1"/>
  <c r="AH184" i="4"/>
  <c r="AG184" i="4"/>
  <c r="AB184" i="4"/>
  <c r="AA184" i="4"/>
  <c r="V184" i="4"/>
  <c r="U184" i="4"/>
  <c r="P184" i="4"/>
  <c r="O184" i="4"/>
  <c r="J184" i="4"/>
  <c r="I184" i="4"/>
  <c r="BR183" i="4"/>
  <c r="BS183" i="4" s="1"/>
  <c r="BL183" i="4"/>
  <c r="BK183" i="4"/>
  <c r="BF183" i="4"/>
  <c r="BE183" i="4"/>
  <c r="AZ183" i="4"/>
  <c r="AY183" i="4"/>
  <c r="AT183" i="4"/>
  <c r="AS183" i="4"/>
  <c r="AH183" i="4"/>
  <c r="AI183" i="4" s="1"/>
  <c r="AB183" i="4"/>
  <c r="AA183" i="4"/>
  <c r="V183" i="4"/>
  <c r="U183" i="4"/>
  <c r="P183" i="4"/>
  <c r="O183" i="4"/>
  <c r="J183" i="4"/>
  <c r="I183" i="4"/>
  <c r="BR182" i="4"/>
  <c r="BS182" i="4" s="1"/>
  <c r="BF182" i="4"/>
  <c r="BE182" i="4"/>
  <c r="AZ182" i="4"/>
  <c r="AY182" i="4"/>
  <c r="AT182" i="4"/>
  <c r="AS182" i="4"/>
  <c r="AH182" i="4"/>
  <c r="AG182" i="4"/>
  <c r="V182" i="4"/>
  <c r="U182" i="4"/>
  <c r="P182" i="4"/>
  <c r="O182" i="4"/>
  <c r="J182" i="4"/>
  <c r="I182" i="4"/>
  <c r="K183" i="4" l="1"/>
  <c r="AC184" i="4"/>
  <c r="K185" i="4"/>
  <c r="W186" i="4"/>
  <c r="K187" i="4"/>
  <c r="W188" i="4"/>
  <c r="Q189" i="4"/>
  <c r="AC194" i="4"/>
  <c r="AC199" i="4"/>
  <c r="AC205" i="4"/>
  <c r="W182" i="4"/>
  <c r="BG182" i="4"/>
  <c r="BG183" i="4"/>
  <c r="Q190" i="4"/>
  <c r="W193" i="4"/>
  <c r="Q194" i="4"/>
  <c r="Q199" i="4"/>
  <c r="K201" i="4"/>
  <c r="AC190" i="4"/>
  <c r="Q191" i="4"/>
  <c r="K192" i="4"/>
  <c r="K193" i="4"/>
  <c r="Q182" i="4"/>
  <c r="BA182" i="4"/>
  <c r="BA183" i="4"/>
  <c r="K190" i="4"/>
  <c r="Q192" i="4"/>
  <c r="Q193" i="4"/>
  <c r="K194" i="4"/>
  <c r="K199" i="4"/>
  <c r="K182" i="4"/>
  <c r="AU182" i="4"/>
  <c r="AU183" i="4"/>
  <c r="Q202" i="4"/>
  <c r="K203" i="4"/>
  <c r="Q183" i="4"/>
  <c r="K184" i="4"/>
  <c r="AI184" i="4"/>
  <c r="Q185" i="4"/>
  <c r="AI186" i="4"/>
  <c r="W183" i="4"/>
  <c r="Q184" i="4"/>
  <c r="W185" i="4"/>
  <c r="K186" i="4"/>
  <c r="AU186" i="4"/>
  <c r="W187" i="4"/>
  <c r="AI189" i="4"/>
  <c r="K196" i="4"/>
  <c r="Q187" i="4"/>
  <c r="AI182" i="4"/>
  <c r="BM183" i="4"/>
  <c r="W190" i="4"/>
  <c r="K191" i="4"/>
  <c r="AC193" i="4"/>
  <c r="Q201" i="4"/>
  <c r="K202" i="4"/>
  <c r="W189" i="4"/>
  <c r="AC183" i="4"/>
  <c r="W184" i="4"/>
  <c r="AC185" i="4"/>
  <c r="Q186" i="4"/>
  <c r="AC187" i="4"/>
  <c r="Q188" i="4"/>
  <c r="K189" i="4"/>
  <c r="Q196" i="4"/>
  <c r="K200" i="4"/>
  <c r="BY1" i="4"/>
  <c r="BV1" i="4"/>
  <c r="BS1" i="4"/>
  <c r="BP1" i="4"/>
  <c r="BM1" i="4"/>
  <c r="BJ1" i="4"/>
  <c r="BG1" i="4"/>
  <c r="BD1" i="4"/>
  <c r="BA1" i="4"/>
  <c r="AX1" i="4"/>
  <c r="AU1" i="4"/>
  <c r="AR1" i="4"/>
  <c r="AO1" i="4"/>
  <c r="AL1" i="4"/>
  <c r="AI1" i="4"/>
  <c r="AF1" i="4"/>
  <c r="AC1" i="4"/>
  <c r="Z1" i="4"/>
  <c r="W1" i="4"/>
  <c r="T1" i="4"/>
  <c r="Q1" i="4"/>
  <c r="N1" i="4"/>
  <c r="K1" i="4"/>
  <c r="H1" i="4"/>
  <c r="O564" i="28" l="1"/>
  <c r="M564" i="28"/>
  <c r="K564" i="28"/>
  <c r="I564" i="28"/>
  <c r="G564" i="28"/>
  <c r="E564" i="28"/>
  <c r="C564" i="28"/>
  <c r="O559" i="28"/>
  <c r="M559" i="28"/>
  <c r="K559" i="28"/>
  <c r="I559" i="28"/>
  <c r="G559" i="28"/>
  <c r="E559" i="28"/>
  <c r="C559" i="28"/>
  <c r="O554" i="28"/>
  <c r="M554" i="28"/>
  <c r="K554" i="28"/>
  <c r="I554" i="28"/>
  <c r="G554" i="28"/>
  <c r="E554" i="28"/>
  <c r="C554" i="28"/>
  <c r="O534" i="28"/>
  <c r="M534" i="28"/>
  <c r="K534" i="28"/>
  <c r="I534" i="28"/>
  <c r="G534" i="28"/>
  <c r="E534" i="28"/>
  <c r="C534" i="28"/>
  <c r="O529" i="28"/>
  <c r="M529" i="28"/>
  <c r="K529" i="28"/>
  <c r="I529" i="28"/>
  <c r="G529" i="28"/>
  <c r="E529" i="28"/>
  <c r="C529" i="28"/>
  <c r="O524" i="28"/>
  <c r="M524" i="28"/>
  <c r="K524" i="28"/>
  <c r="I524" i="28"/>
  <c r="G524" i="28"/>
  <c r="E524" i="28"/>
  <c r="C524" i="28"/>
  <c r="O504" i="28"/>
  <c r="M504" i="28"/>
  <c r="K504" i="28"/>
  <c r="I504" i="28"/>
  <c r="G504" i="28"/>
  <c r="E504" i="28"/>
  <c r="C504" i="28"/>
  <c r="O499" i="28"/>
  <c r="M499" i="28"/>
  <c r="K499" i="28"/>
  <c r="I499" i="28"/>
  <c r="G499" i="28"/>
  <c r="E499" i="28"/>
  <c r="C499" i="28"/>
  <c r="O494" i="28"/>
  <c r="M494" i="28"/>
  <c r="K494" i="28"/>
  <c r="I494" i="28"/>
  <c r="G494" i="28"/>
  <c r="E494" i="28"/>
  <c r="C494" i="28"/>
  <c r="O444" i="28"/>
  <c r="M444" i="28"/>
  <c r="K444" i="28"/>
  <c r="I444" i="28"/>
  <c r="G444" i="28"/>
  <c r="E444" i="28"/>
  <c r="C444" i="28"/>
  <c r="O439" i="28"/>
  <c r="M439" i="28"/>
  <c r="K439" i="28"/>
  <c r="I439" i="28"/>
  <c r="G439" i="28"/>
  <c r="E439" i="28"/>
  <c r="C439" i="28"/>
  <c r="O434" i="28"/>
  <c r="M434" i="28"/>
  <c r="K434" i="28"/>
  <c r="I434" i="28"/>
  <c r="G434" i="28"/>
  <c r="E434" i="28"/>
  <c r="C434" i="28"/>
  <c r="O414" i="28"/>
  <c r="M414" i="28"/>
  <c r="K414" i="28"/>
  <c r="I414" i="28"/>
  <c r="G414" i="28"/>
  <c r="E414" i="28"/>
  <c r="C414" i="28"/>
  <c r="O409" i="28"/>
  <c r="M409" i="28"/>
  <c r="K409" i="28"/>
  <c r="I409" i="28"/>
  <c r="G409" i="28"/>
  <c r="E409" i="28"/>
  <c r="C409" i="28"/>
  <c r="O404" i="28"/>
  <c r="M404" i="28"/>
  <c r="K404" i="28"/>
  <c r="I404" i="28"/>
  <c r="G404" i="28"/>
  <c r="E404" i="28"/>
  <c r="C404" i="28"/>
  <c r="O384" i="28"/>
  <c r="M384" i="28"/>
  <c r="K384" i="28"/>
  <c r="I384" i="28"/>
  <c r="G384" i="28"/>
  <c r="E384" i="28"/>
  <c r="C384" i="28"/>
  <c r="O379" i="28"/>
  <c r="M379" i="28"/>
  <c r="K379" i="28"/>
  <c r="I379" i="28"/>
  <c r="G379" i="28"/>
  <c r="E379" i="28"/>
  <c r="C379" i="28"/>
  <c r="O374" i="28"/>
  <c r="M374" i="28"/>
  <c r="K374" i="28"/>
  <c r="I374" i="28"/>
  <c r="G374" i="28"/>
  <c r="E374" i="28"/>
  <c r="C374" i="28"/>
  <c r="O354" i="28"/>
  <c r="M354" i="28"/>
  <c r="K354" i="28"/>
  <c r="I354" i="28"/>
  <c r="G354" i="28"/>
  <c r="E354" i="28"/>
  <c r="C354" i="28"/>
  <c r="O349" i="28"/>
  <c r="M349" i="28"/>
  <c r="K349" i="28"/>
  <c r="I349" i="28"/>
  <c r="G349" i="28"/>
  <c r="E349" i="28"/>
  <c r="C349" i="28"/>
  <c r="O344" i="28"/>
  <c r="M344" i="28"/>
  <c r="K344" i="28"/>
  <c r="I344" i="28"/>
  <c r="G344" i="28"/>
  <c r="E344" i="28"/>
  <c r="C344" i="28"/>
  <c r="O324" i="28"/>
  <c r="M324" i="28"/>
  <c r="K324" i="28"/>
  <c r="I324" i="28"/>
  <c r="G324" i="28"/>
  <c r="E324" i="28"/>
  <c r="C324" i="28"/>
  <c r="O319" i="28"/>
  <c r="M319" i="28"/>
  <c r="K319" i="28"/>
  <c r="I319" i="28"/>
  <c r="G319" i="28"/>
  <c r="E319" i="28"/>
  <c r="C319" i="28"/>
  <c r="O314" i="28"/>
  <c r="M314" i="28"/>
  <c r="K314" i="28"/>
  <c r="I314" i="28"/>
  <c r="G314" i="28"/>
  <c r="E314" i="28"/>
  <c r="C314" i="28"/>
  <c r="M294" i="28"/>
  <c r="K294" i="28"/>
  <c r="I294" i="28"/>
  <c r="G294" i="28"/>
  <c r="E294" i="28"/>
  <c r="C294" i="28"/>
  <c r="M289" i="28"/>
  <c r="K289" i="28"/>
  <c r="I289" i="28"/>
  <c r="G289" i="28"/>
  <c r="E289" i="28"/>
  <c r="C289" i="28"/>
  <c r="M284" i="28"/>
  <c r="K284" i="28"/>
  <c r="I284" i="28"/>
  <c r="G284" i="28"/>
  <c r="E284" i="28"/>
  <c r="C284" i="28"/>
  <c r="M264" i="28"/>
  <c r="K264" i="28"/>
  <c r="I264" i="28"/>
  <c r="G264" i="28"/>
  <c r="E264" i="28"/>
  <c r="C264" i="28"/>
  <c r="M259" i="28"/>
  <c r="K259" i="28"/>
  <c r="I259" i="28"/>
  <c r="G259" i="28"/>
  <c r="E259" i="28"/>
  <c r="C259" i="28"/>
  <c r="M254" i="28"/>
  <c r="K254" i="28"/>
  <c r="I254" i="28"/>
  <c r="G254" i="28"/>
  <c r="E254" i="28"/>
  <c r="C254" i="28"/>
  <c r="M234" i="28"/>
  <c r="K234" i="28"/>
  <c r="I234" i="28"/>
  <c r="G234" i="28"/>
  <c r="E234" i="28"/>
  <c r="C234" i="28"/>
  <c r="M229" i="28"/>
  <c r="K229" i="28"/>
  <c r="I229" i="28"/>
  <c r="G229" i="28"/>
  <c r="E229" i="28"/>
  <c r="C229" i="28"/>
  <c r="M224" i="28"/>
  <c r="K224" i="28"/>
  <c r="I224" i="28"/>
  <c r="G224" i="28"/>
  <c r="E224" i="28"/>
  <c r="C224" i="28"/>
  <c r="M204" i="28"/>
  <c r="K204" i="28"/>
  <c r="I204" i="28"/>
  <c r="G204" i="28"/>
  <c r="E204" i="28"/>
  <c r="C204" i="28"/>
  <c r="M199" i="28"/>
  <c r="K199" i="28"/>
  <c r="I199" i="28"/>
  <c r="G199" i="28"/>
  <c r="E199" i="28"/>
  <c r="C199" i="28"/>
  <c r="M194" i="28"/>
  <c r="K194" i="28"/>
  <c r="I194" i="28"/>
  <c r="G194" i="28"/>
  <c r="E194" i="28"/>
  <c r="C194" i="28"/>
  <c r="M174" i="28"/>
  <c r="K174" i="28"/>
  <c r="I174" i="28"/>
  <c r="G174" i="28"/>
  <c r="E174" i="28"/>
  <c r="C174" i="28"/>
  <c r="M169" i="28"/>
  <c r="K169" i="28"/>
  <c r="I169" i="28"/>
  <c r="G169" i="28"/>
  <c r="E169" i="28"/>
  <c r="C169" i="28"/>
  <c r="M164" i="28"/>
  <c r="K164" i="28"/>
  <c r="I164" i="28"/>
  <c r="G164" i="28"/>
  <c r="E164" i="28"/>
  <c r="C164" i="28"/>
  <c r="M144" i="28"/>
  <c r="K144" i="28"/>
  <c r="I144" i="28"/>
  <c r="G144" i="28"/>
  <c r="E144" i="28"/>
  <c r="C144" i="28"/>
  <c r="M139" i="28"/>
  <c r="K139" i="28"/>
  <c r="I139" i="28"/>
  <c r="G139" i="28"/>
  <c r="E139" i="28"/>
  <c r="C139" i="28"/>
  <c r="M134" i="28"/>
  <c r="K134" i="28"/>
  <c r="I134" i="28"/>
  <c r="G134" i="28"/>
  <c r="E134" i="28"/>
  <c r="C134" i="28"/>
  <c r="M134" i="18"/>
  <c r="M139" i="18"/>
  <c r="M144" i="18"/>
  <c r="M164" i="18"/>
  <c r="M169" i="18"/>
  <c r="M174" i="18"/>
  <c r="M194" i="18"/>
  <c r="M199" i="18"/>
  <c r="M204" i="18"/>
  <c r="M224" i="18"/>
  <c r="M229" i="18"/>
  <c r="M234" i="18"/>
  <c r="M254" i="18"/>
  <c r="M259" i="18"/>
  <c r="M264" i="18"/>
  <c r="M284" i="18"/>
  <c r="M289" i="18"/>
  <c r="M294" i="18"/>
  <c r="M314" i="18"/>
  <c r="O314" i="18"/>
  <c r="M319" i="18"/>
  <c r="O319" i="18"/>
  <c r="M324" i="18"/>
  <c r="O324" i="18"/>
  <c r="M344" i="18"/>
  <c r="O344" i="18"/>
  <c r="M349" i="18"/>
  <c r="O349" i="18"/>
  <c r="M354" i="18"/>
  <c r="O354" i="18"/>
  <c r="M374" i="18"/>
  <c r="O374" i="18"/>
  <c r="M379" i="18"/>
  <c r="O379" i="18"/>
  <c r="M384" i="18"/>
  <c r="O384" i="18"/>
  <c r="M404" i="18"/>
  <c r="O404" i="18"/>
  <c r="M409" i="18"/>
  <c r="O409" i="18"/>
  <c r="M414" i="18"/>
  <c r="O414" i="18"/>
  <c r="M434" i="18"/>
  <c r="O434" i="18"/>
  <c r="M439" i="18"/>
  <c r="O439" i="18"/>
  <c r="M444" i="18"/>
  <c r="O444" i="18"/>
  <c r="M494" i="18"/>
  <c r="O494" i="18"/>
  <c r="M499" i="18"/>
  <c r="O499" i="18"/>
  <c r="M504" i="18"/>
  <c r="O504" i="18"/>
  <c r="M524" i="18"/>
  <c r="O524" i="18"/>
  <c r="M529" i="18"/>
  <c r="O529" i="18"/>
  <c r="M534" i="18"/>
  <c r="O534" i="18"/>
  <c r="M554" i="18"/>
  <c r="O554" i="18"/>
  <c r="M559" i="18"/>
  <c r="O559" i="18"/>
  <c r="M564" i="18"/>
  <c r="O564" i="18"/>
  <c r="K564" i="18"/>
  <c r="K559" i="18"/>
  <c r="K554" i="18"/>
  <c r="I564" i="18"/>
  <c r="I559" i="18"/>
  <c r="I554" i="18"/>
  <c r="G564" i="18"/>
  <c r="G559" i="18"/>
  <c r="G554" i="18"/>
  <c r="E564" i="18"/>
  <c r="E559" i="18"/>
  <c r="E554" i="18"/>
  <c r="C554" i="18"/>
  <c r="C559" i="18"/>
  <c r="C564" i="18"/>
  <c r="K534" i="18"/>
  <c r="K529" i="18"/>
  <c r="K524" i="18"/>
  <c r="I534" i="18"/>
  <c r="I529" i="18"/>
  <c r="I524" i="18"/>
  <c r="G534" i="18"/>
  <c r="G529" i="18"/>
  <c r="G524" i="18"/>
  <c r="E534" i="18"/>
  <c r="E529" i="18"/>
  <c r="E524" i="18"/>
  <c r="C524" i="18"/>
  <c r="C529" i="18"/>
  <c r="C534" i="18"/>
  <c r="K504" i="18"/>
  <c r="K499" i="18"/>
  <c r="K494" i="18"/>
  <c r="I504" i="18"/>
  <c r="I499" i="18"/>
  <c r="I494" i="18"/>
  <c r="G504" i="18"/>
  <c r="G499" i="18"/>
  <c r="G494" i="18"/>
  <c r="E504" i="18"/>
  <c r="E499" i="18"/>
  <c r="E494" i="18"/>
  <c r="C494" i="18"/>
  <c r="C499" i="18"/>
  <c r="C504" i="18"/>
  <c r="K444" i="18"/>
  <c r="K439" i="18"/>
  <c r="K434" i="18"/>
  <c r="I444" i="18"/>
  <c r="I439" i="18"/>
  <c r="I434" i="18"/>
  <c r="G444" i="18"/>
  <c r="G439" i="18"/>
  <c r="G434" i="18"/>
  <c r="E444" i="18"/>
  <c r="E439" i="18"/>
  <c r="E434" i="18"/>
  <c r="C434" i="18"/>
  <c r="C439" i="18"/>
  <c r="C444" i="18"/>
  <c r="K414" i="18"/>
  <c r="K409" i="18"/>
  <c r="K404" i="18"/>
  <c r="I414" i="18"/>
  <c r="I409" i="18"/>
  <c r="I404" i="18"/>
  <c r="G414" i="18"/>
  <c r="G409" i="18"/>
  <c r="G404" i="18"/>
  <c r="E414" i="18"/>
  <c r="E409" i="18"/>
  <c r="E404" i="18"/>
  <c r="C404" i="18"/>
  <c r="C409" i="18"/>
  <c r="C414" i="18"/>
  <c r="K384" i="18"/>
  <c r="K379" i="18"/>
  <c r="K374" i="18"/>
  <c r="I384" i="18"/>
  <c r="I379" i="18"/>
  <c r="I374" i="18"/>
  <c r="G384" i="18"/>
  <c r="G379" i="18"/>
  <c r="G374" i="18"/>
  <c r="E384" i="18"/>
  <c r="E379" i="18"/>
  <c r="E374" i="18"/>
  <c r="C374" i="18"/>
  <c r="C379" i="18"/>
  <c r="C384" i="18"/>
  <c r="K354" i="18"/>
  <c r="K349" i="18"/>
  <c r="K344" i="18"/>
  <c r="I354" i="18"/>
  <c r="I349" i="18"/>
  <c r="I344" i="18"/>
  <c r="G354" i="18"/>
  <c r="G349" i="18"/>
  <c r="G344" i="18"/>
  <c r="E354" i="18"/>
  <c r="E349" i="18"/>
  <c r="E344" i="18"/>
  <c r="C344" i="18"/>
  <c r="C349" i="18"/>
  <c r="C354" i="18"/>
  <c r="K324" i="18"/>
  <c r="K319" i="18"/>
  <c r="K314" i="18"/>
  <c r="I324" i="18"/>
  <c r="I319" i="18"/>
  <c r="I314" i="18"/>
  <c r="G324" i="18"/>
  <c r="G319" i="18"/>
  <c r="G314" i="18"/>
  <c r="E324" i="18"/>
  <c r="E319" i="18"/>
  <c r="E314" i="18"/>
  <c r="C314" i="18"/>
  <c r="C319" i="18"/>
  <c r="C324" i="18"/>
  <c r="K294" i="18"/>
  <c r="K289" i="18"/>
  <c r="K284" i="18"/>
  <c r="I294" i="18"/>
  <c r="I289" i="18"/>
  <c r="I284" i="18"/>
  <c r="G294" i="18"/>
  <c r="G289" i="18"/>
  <c r="G284" i="18"/>
  <c r="E294" i="18"/>
  <c r="E289" i="18"/>
  <c r="E284" i="18"/>
  <c r="C284" i="18"/>
  <c r="C289" i="18"/>
  <c r="C294" i="18"/>
  <c r="K264" i="18"/>
  <c r="K259" i="18"/>
  <c r="K254" i="18"/>
  <c r="I264" i="18"/>
  <c r="I259" i="18"/>
  <c r="I254" i="18"/>
  <c r="G264" i="18"/>
  <c r="G259" i="18"/>
  <c r="G254" i="18"/>
  <c r="E264" i="18"/>
  <c r="E259" i="18"/>
  <c r="E254" i="18"/>
  <c r="C254" i="18"/>
  <c r="C259" i="18"/>
  <c r="C264" i="18"/>
  <c r="K234" i="18"/>
  <c r="K229" i="18"/>
  <c r="K224" i="18"/>
  <c r="I234" i="18"/>
  <c r="I229" i="18"/>
  <c r="I224" i="18"/>
  <c r="G234" i="18"/>
  <c r="G229" i="18"/>
  <c r="G224" i="18"/>
  <c r="E234" i="18"/>
  <c r="E229" i="18"/>
  <c r="E224" i="18"/>
  <c r="C224" i="18"/>
  <c r="C229" i="18"/>
  <c r="C234" i="18"/>
  <c r="K204" i="18"/>
  <c r="K199" i="18"/>
  <c r="K194" i="18"/>
  <c r="I204" i="18"/>
  <c r="I199" i="18"/>
  <c r="I194" i="18"/>
  <c r="G204" i="18"/>
  <c r="G199" i="18"/>
  <c r="G194" i="18"/>
  <c r="E194" i="18"/>
  <c r="E199" i="18"/>
  <c r="E204" i="18"/>
  <c r="C194" i="18"/>
  <c r="C199" i="18"/>
  <c r="C204" i="18"/>
  <c r="K174" i="18"/>
  <c r="K169" i="18"/>
  <c r="K164" i="18"/>
  <c r="I174" i="18"/>
  <c r="I169" i="18"/>
  <c r="I164" i="18"/>
  <c r="G174" i="18"/>
  <c r="G169" i="18"/>
  <c r="G164" i="18"/>
  <c r="E174" i="18"/>
  <c r="E169" i="18"/>
  <c r="E164" i="18"/>
  <c r="C164" i="18"/>
  <c r="C169" i="18"/>
  <c r="C174" i="18"/>
  <c r="K144" i="18"/>
  <c r="K139" i="18"/>
  <c r="K134" i="18"/>
  <c r="I144" i="18"/>
  <c r="I139" i="18"/>
  <c r="I134" i="18"/>
  <c r="G144" i="18"/>
  <c r="G139" i="18"/>
  <c r="G134" i="18"/>
  <c r="E144" i="18"/>
  <c r="E139" i="18"/>
  <c r="E134" i="18"/>
  <c r="C134" i="18"/>
  <c r="C139" i="18"/>
  <c r="C144" i="18"/>
  <c r="T105" i="21"/>
  <c r="X106" i="21"/>
  <c r="AF88" i="21"/>
  <c r="AF113" i="21"/>
  <c r="W79" i="21"/>
  <c r="T57" i="21"/>
  <c r="T83" i="21"/>
  <c r="Y116" i="21"/>
  <c r="Y56" i="21"/>
  <c r="W96" i="21"/>
  <c r="AH103" i="21"/>
  <c r="U125" i="21"/>
  <c r="T65" i="21"/>
  <c r="S76" i="21"/>
  <c r="W31" i="21"/>
  <c r="Y28" i="21"/>
  <c r="T115" i="21"/>
  <c r="W103" i="21"/>
  <c r="AH109" i="21"/>
  <c r="AF82" i="21"/>
  <c r="S101" i="21"/>
  <c r="X97" i="21"/>
  <c r="U73" i="21"/>
  <c r="AF112" i="21"/>
  <c r="AF95" i="21"/>
  <c r="AG39" i="21"/>
  <c r="U70" i="21"/>
  <c r="W11" i="21"/>
  <c r="AG90" i="21"/>
  <c r="V121" i="21"/>
  <c r="AF114" i="21"/>
  <c r="AG104" i="21"/>
  <c r="W16" i="21"/>
  <c r="X55" i="21"/>
  <c r="AF117" i="21"/>
  <c r="V69" i="21"/>
  <c r="AG94" i="21"/>
  <c r="U48" i="21"/>
  <c r="Y36" i="21"/>
  <c r="V32" i="21"/>
  <c r="AH34" i="21"/>
  <c r="AG17" i="21"/>
  <c r="U30" i="21"/>
  <c r="U47" i="21"/>
  <c r="Y79" i="21"/>
  <c r="Y31" i="21"/>
  <c r="AH111" i="21"/>
  <c r="T88" i="21"/>
  <c r="T17" i="21"/>
  <c r="AF35" i="21"/>
  <c r="S110" i="21"/>
  <c r="W28" i="21"/>
  <c r="X80" i="21"/>
  <c r="X79" i="21"/>
  <c r="S13" i="21"/>
  <c r="X49" i="21"/>
  <c r="T107" i="21"/>
  <c r="U88" i="21"/>
  <c r="AG54" i="21"/>
  <c r="W58" i="21"/>
  <c r="AH125" i="21"/>
  <c r="W110" i="21"/>
  <c r="Y14" i="21"/>
  <c r="X118" i="21"/>
  <c r="AF64" i="21"/>
  <c r="T44" i="21"/>
  <c r="AF44" i="21"/>
  <c r="S59" i="21"/>
  <c r="AH115" i="21"/>
  <c r="Y54" i="21"/>
  <c r="W42" i="21"/>
  <c r="AF51" i="21"/>
  <c r="AG45" i="21"/>
  <c r="X73" i="21"/>
  <c r="S98" i="21"/>
  <c r="X92" i="21"/>
  <c r="V110" i="21"/>
  <c r="W87" i="21"/>
  <c r="X53" i="21"/>
  <c r="Y117" i="21"/>
  <c r="AG116" i="21"/>
  <c r="AF27" i="21"/>
  <c r="AG46" i="21"/>
  <c r="AH41" i="21"/>
  <c r="V80" i="21"/>
  <c r="W98" i="21"/>
  <c r="AH28" i="21"/>
  <c r="Y90" i="21"/>
  <c r="S97" i="21"/>
  <c r="T99" i="21"/>
  <c r="AH51" i="21"/>
  <c r="U61" i="21"/>
  <c r="U91" i="21"/>
  <c r="AG49" i="21"/>
  <c r="W45" i="21"/>
  <c r="AF91" i="21"/>
  <c r="U26" i="21"/>
  <c r="AG11" i="21"/>
  <c r="W76" i="21"/>
  <c r="X71" i="21"/>
  <c r="AG73" i="21"/>
  <c r="V101" i="21"/>
  <c r="V75" i="21"/>
  <c r="V37" i="21"/>
  <c r="AG81" i="21"/>
  <c r="AF79" i="21"/>
  <c r="V123" i="21"/>
  <c r="Y51" i="21"/>
  <c r="W109" i="21"/>
  <c r="V100" i="21"/>
  <c r="W111" i="21"/>
  <c r="Y15" i="21"/>
  <c r="T77" i="21"/>
  <c r="AH104" i="21"/>
  <c r="V113" i="21"/>
  <c r="AG65" i="21"/>
  <c r="W105" i="21"/>
  <c r="T26" i="21"/>
  <c r="U85" i="21"/>
  <c r="V128" i="21"/>
  <c r="S104" i="21"/>
  <c r="AH127" i="21"/>
  <c r="Y34" i="21"/>
  <c r="W32" i="21"/>
  <c r="AF49" i="21"/>
  <c r="S15" i="21"/>
  <c r="W40" i="21"/>
  <c r="T87" i="21"/>
  <c r="AG61" i="21"/>
  <c r="Y74" i="21"/>
  <c r="S62" i="21"/>
  <c r="Y70" i="21"/>
  <c r="W112" i="21"/>
  <c r="AG86" i="21"/>
  <c r="AG71" i="21"/>
  <c r="S46" i="21"/>
  <c r="W54" i="21"/>
  <c r="W80" i="21"/>
  <c r="W116" i="21"/>
  <c r="Y25" i="21"/>
  <c r="X41" i="29"/>
  <c r="AH48" i="29"/>
  <c r="T92" i="29"/>
  <c r="Y118" i="29"/>
  <c r="Z117" i="29"/>
  <c r="AE35" i="29"/>
  <c r="AC92" i="29"/>
  <c r="AG103" i="29"/>
  <c r="X128" i="29"/>
  <c r="AE78" i="29"/>
  <c r="AE121" i="29"/>
  <c r="AB74" i="29"/>
  <c r="S45" i="29"/>
  <c r="U79" i="29"/>
  <c r="AF53" i="29"/>
  <c r="Y108" i="29"/>
  <c r="Z88" i="29"/>
  <c r="AF39" i="29"/>
  <c r="Y106" i="29"/>
  <c r="Z13" i="29"/>
  <c r="AH99" i="29"/>
  <c r="AE84" i="29"/>
  <c r="AF120" i="29"/>
  <c r="W121" i="29"/>
  <c r="Z63" i="29"/>
  <c r="U50" i="29"/>
  <c r="S79" i="29"/>
  <c r="AA43" i="29"/>
  <c r="Z100" i="29"/>
  <c r="V105" i="29"/>
  <c r="Y81" i="29"/>
  <c r="AC69" i="29"/>
  <c r="S101" i="29"/>
  <c r="AH63" i="29"/>
  <c r="S89" i="29"/>
  <c r="T128" i="29"/>
  <c r="U90" i="29"/>
  <c r="W81" i="29"/>
  <c r="U66" i="29"/>
  <c r="AH92" i="29"/>
  <c r="AG53" i="29"/>
  <c r="AC16" i="29"/>
  <c r="W38" i="29"/>
  <c r="Z48" i="29"/>
  <c r="S66" i="29"/>
  <c r="W58" i="29"/>
  <c r="AH50" i="29"/>
  <c r="S27" i="29"/>
  <c r="AF45" i="29"/>
  <c r="V70" i="29"/>
  <c r="AB109" i="29"/>
  <c r="AG77" i="29"/>
  <c r="AF116" i="29"/>
  <c r="Y25" i="29"/>
  <c r="AG123" i="29"/>
  <c r="AC83" i="29"/>
  <c r="AG56" i="29"/>
  <c r="AC26" i="29"/>
  <c r="Z119" i="29"/>
  <c r="AF106" i="29"/>
  <c r="AE20" i="29"/>
  <c r="T82" i="29"/>
  <c r="AH49" i="29"/>
  <c r="AF80" i="29"/>
  <c r="Z128" i="29"/>
  <c r="T52" i="29"/>
  <c r="AF97" i="29"/>
  <c r="AA22" i="29"/>
  <c r="AC38" i="29"/>
  <c r="W92" i="29"/>
  <c r="AG127" i="29"/>
  <c r="AC79" i="29"/>
  <c r="U31" i="29"/>
  <c r="AG68" i="29"/>
  <c r="AG27" i="29"/>
  <c r="U94" i="29"/>
  <c r="V27" i="29"/>
  <c r="AG20" i="29"/>
  <c r="Z58" i="29"/>
  <c r="AB19" i="29"/>
  <c r="AE17" i="29"/>
  <c r="AC35" i="29"/>
  <c r="AH106" i="29"/>
  <c r="AG22" i="29"/>
  <c r="X120" i="29"/>
  <c r="S99" i="21"/>
  <c r="X82" i="21"/>
  <c r="W67" i="21"/>
  <c r="W52" i="21"/>
  <c r="U113" i="21"/>
  <c r="AF75" i="21"/>
  <c r="AH79" i="21"/>
  <c r="AF32" i="21"/>
  <c r="AH114" i="21"/>
  <c r="AF76" i="21"/>
  <c r="AF122" i="21"/>
  <c r="AF40" i="21"/>
  <c r="S72" i="21"/>
  <c r="U87" i="21"/>
  <c r="V74" i="21"/>
  <c r="T70" i="21"/>
  <c r="AG15" i="21"/>
  <c r="U126" i="21"/>
  <c r="Y46" i="21"/>
  <c r="AF121" i="21"/>
  <c r="AH97" i="21"/>
  <c r="AG75" i="21"/>
  <c r="S66" i="21"/>
  <c r="AF77" i="21"/>
  <c r="Y101" i="21"/>
  <c r="AG125" i="21"/>
  <c r="S106" i="21"/>
  <c r="X96" i="21"/>
  <c r="W129" i="21"/>
  <c r="T68" i="21"/>
  <c r="V97" i="21"/>
  <c r="V111" i="21"/>
  <c r="T122" i="21"/>
  <c r="T43" i="21"/>
  <c r="X15" i="21"/>
  <c r="U104" i="21"/>
  <c r="AF116" i="21"/>
  <c r="AG26" i="21"/>
  <c r="S58" i="21"/>
  <c r="AH119" i="21"/>
  <c r="X48" i="21"/>
  <c r="AF78" i="21"/>
  <c r="Y44" i="21"/>
  <c r="U115" i="21"/>
  <c r="S78" i="21"/>
  <c r="T61" i="21"/>
  <c r="W62" i="21"/>
  <c r="AF16" i="21"/>
  <c r="W73" i="21"/>
  <c r="U103" i="21"/>
  <c r="Y111" i="21"/>
  <c r="T12" i="21"/>
  <c r="AF118" i="21"/>
  <c r="V78" i="21"/>
  <c r="U39" i="21"/>
  <c r="T36" i="21"/>
  <c r="U28" i="21"/>
  <c r="T42" i="21"/>
  <c r="AG28" i="21"/>
  <c r="AF94" i="21"/>
  <c r="S64" i="21"/>
  <c r="T111" i="21"/>
  <c r="T101" i="21"/>
  <c r="AF129" i="21"/>
  <c r="AG72" i="21"/>
  <c r="S80" i="21"/>
  <c r="AH126" i="21"/>
  <c r="AF37" i="21"/>
  <c r="Y81" i="21"/>
  <c r="T110" i="21"/>
  <c r="AH91" i="21"/>
  <c r="T73" i="21"/>
  <c r="W84" i="21"/>
  <c r="Y57" i="21"/>
  <c r="W49" i="21"/>
  <c r="AH82" i="21"/>
  <c r="AF81" i="21"/>
  <c r="S119" i="21"/>
  <c r="AF126" i="21"/>
  <c r="AF72" i="21"/>
  <c r="S70" i="21"/>
  <c r="U64" i="21"/>
  <c r="AH32" i="21"/>
  <c r="W75" i="21"/>
  <c r="Y52" i="21"/>
  <c r="V79" i="21"/>
  <c r="W95" i="21"/>
  <c r="S114" i="21"/>
  <c r="AF31" i="21"/>
  <c r="X26" i="21"/>
  <c r="W59" i="21"/>
  <c r="AG105" i="21"/>
  <c r="W102" i="21"/>
  <c r="V62" i="21"/>
  <c r="AH72" i="21"/>
  <c r="W74" i="21"/>
  <c r="X74" i="21"/>
  <c r="AF107" i="21"/>
  <c r="W27" i="21"/>
  <c r="S94" i="21"/>
  <c r="W38" i="21"/>
  <c r="U97" i="21"/>
  <c r="U63" i="21"/>
  <c r="X127" i="21"/>
  <c r="W65" i="21"/>
  <c r="T45" i="21"/>
  <c r="Y124" i="21"/>
  <c r="Y115" i="21"/>
  <c r="U106" i="21"/>
  <c r="X113" i="21"/>
  <c r="S86" i="21"/>
  <c r="V58" i="21"/>
  <c r="V45" i="21"/>
  <c r="V81" i="21"/>
  <c r="T29" i="21"/>
  <c r="AH83" i="21"/>
  <c r="W107" i="21"/>
  <c r="AF26" i="21"/>
  <c r="S63" i="21"/>
  <c r="S67" i="21"/>
  <c r="T89" i="21"/>
  <c r="AH121" i="21"/>
  <c r="V14" i="21"/>
  <c r="S40" i="21"/>
  <c r="U117" i="21"/>
  <c r="Y95" i="21"/>
  <c r="T56" i="21"/>
  <c r="S51" i="21"/>
  <c r="AH107" i="21"/>
  <c r="AG89" i="21"/>
  <c r="S105" i="21"/>
  <c r="AH122" i="21"/>
  <c r="U54" i="21"/>
  <c r="AG84" i="21"/>
  <c r="X60" i="21"/>
  <c r="X93" i="21"/>
  <c r="X117" i="21"/>
  <c r="U120" i="21"/>
  <c r="AH46" i="21"/>
  <c r="S44" i="21"/>
  <c r="AF89" i="29"/>
  <c r="AH46" i="29"/>
  <c r="X127" i="29"/>
  <c r="AB85" i="29"/>
  <c r="AH89" i="29"/>
  <c r="Z103" i="29"/>
  <c r="AG74" i="29"/>
  <c r="AF38" i="29"/>
  <c r="U47" i="29"/>
  <c r="AB122" i="29"/>
  <c r="AE86" i="29"/>
  <c r="W78" i="29"/>
  <c r="X59" i="29"/>
  <c r="Y57" i="29"/>
  <c r="V77" i="29"/>
  <c r="AC114" i="29"/>
  <c r="AE82" i="29"/>
  <c r="V60" i="29"/>
  <c r="AC123" i="29"/>
  <c r="T74" i="29"/>
  <c r="Y37" i="29"/>
  <c r="AB46" i="29"/>
  <c r="V41" i="29"/>
  <c r="W87" i="29"/>
  <c r="AE57" i="29"/>
  <c r="AA64" i="29"/>
  <c r="Z50" i="29"/>
  <c r="Y74" i="29"/>
  <c r="AB104" i="29"/>
  <c r="AE62" i="29"/>
  <c r="AH39" i="29"/>
  <c r="X105" i="29"/>
  <c r="V79" i="29"/>
  <c r="U51" i="29"/>
  <c r="AA35" i="29"/>
  <c r="AF108" i="29"/>
  <c r="AF76" i="29"/>
  <c r="AF93" i="29"/>
  <c r="AC94" i="29"/>
  <c r="AE11" i="29"/>
  <c r="AG105" i="29"/>
  <c r="AC51" i="29"/>
  <c r="AA87" i="29"/>
  <c r="V111" i="29"/>
  <c r="AA93" i="29"/>
  <c r="W69" i="29"/>
  <c r="X63" i="29"/>
  <c r="AA81" i="29"/>
  <c r="AH88" i="29"/>
  <c r="U86" i="29"/>
  <c r="AG120" i="29"/>
  <c r="AH84" i="29"/>
  <c r="AE76" i="29"/>
  <c r="AF101" i="29"/>
  <c r="AE98" i="29"/>
  <c r="AB116" i="29"/>
  <c r="Z89" i="29"/>
  <c r="Z61" i="29"/>
  <c r="S123" i="29"/>
  <c r="AB35" i="29"/>
  <c r="W91" i="29"/>
  <c r="T29" i="29"/>
  <c r="Z112" i="29"/>
  <c r="AG75" i="29"/>
  <c r="AB48" i="29"/>
  <c r="Z94" i="29"/>
  <c r="AG92" i="29"/>
  <c r="S109" i="29"/>
  <c r="S71" i="29"/>
  <c r="AA66" i="29"/>
  <c r="Z49" i="29"/>
  <c r="AH42" i="29"/>
  <c r="Z118" i="29"/>
  <c r="V73" i="29"/>
  <c r="Z25" i="29"/>
  <c r="S38" i="29"/>
  <c r="W56" i="29"/>
  <c r="AA53" i="29"/>
  <c r="W84" i="29"/>
  <c r="AG64" i="29"/>
  <c r="Z81" i="29"/>
  <c r="AB83" i="29"/>
  <c r="AE124" i="29"/>
  <c r="AA96" i="29"/>
  <c r="X12" i="21"/>
  <c r="AF124" i="21"/>
  <c r="X31" i="21"/>
  <c r="U33" i="21"/>
  <c r="AH17" i="21"/>
  <c r="U38" i="21"/>
  <c r="U72" i="21"/>
  <c r="Y112" i="21"/>
  <c r="Y89" i="21"/>
  <c r="S48" i="21"/>
  <c r="Y27" i="21"/>
  <c r="V43" i="21"/>
  <c r="Y11" i="21"/>
  <c r="X42" i="21"/>
  <c r="AF111" i="21"/>
  <c r="X34" i="21"/>
  <c r="T35" i="21"/>
  <c r="W68" i="21"/>
  <c r="U36" i="21"/>
  <c r="S28" i="21"/>
  <c r="U116" i="21"/>
  <c r="U121" i="21"/>
  <c r="X57" i="21"/>
  <c r="AH96" i="21"/>
  <c r="AH36" i="21"/>
  <c r="AH14" i="21"/>
  <c r="S90" i="21"/>
  <c r="S56" i="21"/>
  <c r="AF80" i="21"/>
  <c r="Y82" i="21"/>
  <c r="AH85" i="21"/>
  <c r="T72" i="21"/>
  <c r="AF110" i="21"/>
  <c r="T53" i="21"/>
  <c r="X52" i="21"/>
  <c r="U57" i="21"/>
  <c r="AH58" i="21"/>
  <c r="X38" i="21"/>
  <c r="Y121" i="21"/>
  <c r="S61" i="21"/>
  <c r="Y110" i="21"/>
  <c r="T31" i="21"/>
  <c r="U55" i="21"/>
  <c r="Y73" i="21"/>
  <c r="T76" i="21"/>
  <c r="Y103" i="21"/>
  <c r="V59" i="21"/>
  <c r="U15" i="21"/>
  <c r="W69" i="21"/>
  <c r="X103" i="21"/>
  <c r="Y48" i="21"/>
  <c r="U75" i="21"/>
  <c r="W26" i="21"/>
  <c r="Y49" i="21"/>
  <c r="AF38" i="21"/>
  <c r="AG29" i="21"/>
  <c r="V44" i="21"/>
  <c r="V114" i="21"/>
  <c r="W89" i="21"/>
  <c r="X77" i="21"/>
  <c r="T106" i="21"/>
  <c r="T71" i="21"/>
  <c r="V42" i="21"/>
  <c r="AG59" i="21"/>
  <c r="AH100" i="21"/>
  <c r="S113" i="21"/>
  <c r="S73" i="21"/>
  <c r="U81" i="21"/>
  <c r="AG35" i="21"/>
  <c r="W14" i="21"/>
  <c r="V36" i="21"/>
  <c r="AG62" i="21"/>
  <c r="V57" i="21"/>
  <c r="AH40" i="21"/>
  <c r="Y38" i="21"/>
  <c r="S109" i="21"/>
  <c r="AG58" i="21"/>
  <c r="V85" i="21"/>
  <c r="Y39" i="21"/>
  <c r="AH38" i="21"/>
  <c r="S30" i="21"/>
  <c r="AG77" i="21"/>
  <c r="U66" i="21"/>
  <c r="T118" i="21"/>
  <c r="AH93" i="21"/>
  <c r="AG69" i="21"/>
  <c r="W77" i="21"/>
  <c r="U42" i="21"/>
  <c r="S124" i="21"/>
  <c r="V67" i="21"/>
  <c r="AH123" i="21"/>
  <c r="X87" i="21"/>
  <c r="T116" i="21"/>
  <c r="AH124" i="21"/>
  <c r="X28" i="21"/>
  <c r="AG53" i="21"/>
  <c r="X33" i="21"/>
  <c r="X25" i="21"/>
  <c r="AH47" i="21"/>
  <c r="X89" i="21"/>
  <c r="U78" i="21"/>
  <c r="V93" i="21"/>
  <c r="T96" i="21"/>
  <c r="W55" i="21"/>
  <c r="S69" i="21"/>
  <c r="AF59" i="21"/>
  <c r="X50" i="21"/>
  <c r="U56" i="21"/>
  <c r="AF36" i="21"/>
  <c r="S79" i="21"/>
  <c r="S116" i="21"/>
  <c r="S43" i="21"/>
  <c r="AG112" i="21"/>
  <c r="X119" i="21"/>
  <c r="V71" i="21"/>
  <c r="Y127" i="21"/>
  <c r="W78" i="21"/>
  <c r="U79" i="21"/>
  <c r="U84" i="21"/>
  <c r="AG60" i="21"/>
  <c r="U118" i="21"/>
  <c r="AF34" i="21"/>
  <c r="AH44" i="21"/>
  <c r="W99" i="21"/>
  <c r="Y45" i="21"/>
  <c r="V31" i="21"/>
  <c r="AF69" i="21"/>
  <c r="V35" i="21"/>
  <c r="U77" i="21"/>
  <c r="AG74" i="21"/>
  <c r="AG92" i="21"/>
  <c r="S14" i="21"/>
  <c r="AF41" i="21"/>
  <c r="AH98" i="21"/>
  <c r="V95" i="21"/>
  <c r="U59" i="21"/>
  <c r="Y87" i="21"/>
  <c r="Y55" i="21"/>
  <c r="Y77" i="21"/>
  <c r="V102" i="21"/>
  <c r="Y36" i="29"/>
  <c r="AA68" i="29"/>
  <c r="AA57" i="29"/>
  <c r="AG48" i="29"/>
  <c r="AH76" i="29"/>
  <c r="V39" i="29"/>
  <c r="V76" i="29"/>
  <c r="S26" i="29"/>
  <c r="V88" i="29"/>
  <c r="AB15" i="29"/>
  <c r="AB32" i="29"/>
  <c r="T76" i="29"/>
  <c r="X125" i="29"/>
  <c r="AB73" i="29"/>
  <c r="S82" i="29"/>
  <c r="Z125" i="29"/>
  <c r="X50" i="29"/>
  <c r="AF99" i="29"/>
  <c r="S120" i="29"/>
  <c r="AE103" i="29"/>
  <c r="AG106" i="29"/>
  <c r="AF54" i="29"/>
  <c r="Y83" i="29"/>
  <c r="AF84" i="29"/>
  <c r="S74" i="29"/>
  <c r="AB47" i="29"/>
  <c r="AB80" i="29"/>
  <c r="U46" i="29"/>
  <c r="W113" i="29"/>
  <c r="AH60" i="29"/>
  <c r="AA116" i="29"/>
  <c r="AH122" i="29"/>
  <c r="AF47" i="29"/>
  <c r="Z20" i="29"/>
  <c r="AG100" i="29"/>
  <c r="T105" i="29"/>
  <c r="AF82" i="29"/>
  <c r="AB82" i="29"/>
  <c r="AH117" i="29"/>
  <c r="T122" i="29"/>
  <c r="AB27" i="29"/>
  <c r="V37" i="29"/>
  <c r="AG124" i="29"/>
  <c r="U103" i="29"/>
  <c r="W89" i="29"/>
  <c r="AG35" i="29"/>
  <c r="AF24" i="29"/>
  <c r="W41" i="29"/>
  <c r="V115" i="29"/>
  <c r="AH25" i="29"/>
  <c r="AF85" i="29"/>
  <c r="AF110" i="29"/>
  <c r="Y24" i="29"/>
  <c r="S116" i="29"/>
  <c r="AE93" i="29"/>
  <c r="W75" i="29"/>
  <c r="AG61" i="29"/>
  <c r="Y98" i="29"/>
  <c r="AE48" i="29"/>
  <c r="AB107" i="29"/>
  <c r="S92" i="29"/>
  <c r="AH112" i="29"/>
  <c r="AE24" i="29"/>
  <c r="T66" i="29"/>
  <c r="AC46" i="29"/>
  <c r="AG83" i="29"/>
  <c r="AF81" i="29"/>
  <c r="AE31" i="29"/>
  <c r="AG126" i="29"/>
  <c r="AE16" i="29"/>
  <c r="X67" i="29"/>
  <c r="AE83" i="29"/>
  <c r="AC90" i="29"/>
  <c r="W124" i="29"/>
  <c r="AG51" i="29"/>
  <c r="U69" i="29"/>
  <c r="X32" i="29"/>
  <c r="Z77" i="29"/>
  <c r="S32" i="29"/>
  <c r="V67" i="29"/>
  <c r="Y82" i="29"/>
  <c r="AH30" i="29"/>
  <c r="AH68" i="29"/>
  <c r="Y26" i="29"/>
  <c r="V93" i="29"/>
  <c r="U129" i="21"/>
  <c r="Y68" i="21"/>
  <c r="AF108" i="21"/>
  <c r="AF85" i="21"/>
  <c r="AG80" i="21"/>
  <c r="X98" i="21"/>
  <c r="T104" i="21"/>
  <c r="AF33" i="21"/>
  <c r="U101" i="21"/>
  <c r="X69" i="21"/>
  <c r="AH57" i="21"/>
  <c r="AH52" i="21"/>
  <c r="AF125" i="21"/>
  <c r="S122" i="21"/>
  <c r="AH113" i="21"/>
  <c r="U45" i="21"/>
  <c r="Y40" i="21"/>
  <c r="AH30" i="21"/>
  <c r="T117" i="21"/>
  <c r="S118" i="21"/>
  <c r="AF70" i="21"/>
  <c r="W15" i="21"/>
  <c r="AH45" i="21"/>
  <c r="S31" i="21"/>
  <c r="Y65" i="21"/>
  <c r="U109" i="21"/>
  <c r="S41" i="21"/>
  <c r="U60" i="21"/>
  <c r="W124" i="21"/>
  <c r="AG78" i="21"/>
  <c r="V84" i="21"/>
  <c r="AF57" i="21"/>
  <c r="T94" i="21"/>
  <c r="Y59" i="21"/>
  <c r="X109" i="21"/>
  <c r="S126" i="21"/>
  <c r="Y129" i="21"/>
  <c r="V26" i="21"/>
  <c r="V52" i="21"/>
  <c r="T62" i="21"/>
  <c r="X54" i="21"/>
  <c r="X86" i="21"/>
  <c r="X121" i="21"/>
  <c r="X68" i="21"/>
  <c r="AH12" i="21"/>
  <c r="Y91" i="21"/>
  <c r="W97" i="21"/>
  <c r="AF13" i="21"/>
  <c r="AG41" i="21"/>
  <c r="T33" i="21"/>
  <c r="T93" i="21"/>
  <c r="AF83" i="21"/>
  <c r="V55" i="21"/>
  <c r="AF86" i="21"/>
  <c r="AG107" i="21"/>
  <c r="T30" i="21"/>
  <c r="S49" i="21"/>
  <c r="U119" i="21"/>
  <c r="S12" i="21"/>
  <c r="Y128" i="21"/>
  <c r="S57" i="21"/>
  <c r="X43" i="21"/>
  <c r="AF103" i="21"/>
  <c r="V38" i="21"/>
  <c r="AG126" i="21"/>
  <c r="S123" i="21"/>
  <c r="W60" i="21"/>
  <c r="W61" i="21"/>
  <c r="AG118" i="21"/>
  <c r="V64" i="21"/>
  <c r="Y63" i="21"/>
  <c r="S121" i="21"/>
  <c r="Y58" i="21"/>
  <c r="V77" i="21"/>
  <c r="V118" i="21"/>
  <c r="AG42" i="21"/>
  <c r="AF46" i="21"/>
  <c r="T37" i="21"/>
  <c r="AF67" i="21"/>
  <c r="AF54" i="21"/>
  <c r="X108" i="21"/>
  <c r="AG88" i="21"/>
  <c r="W100" i="21"/>
  <c r="X110" i="21"/>
  <c r="U37" i="21"/>
  <c r="AF15" i="21"/>
  <c r="U58" i="21"/>
  <c r="X75" i="21"/>
  <c r="AH39" i="21"/>
  <c r="T63" i="21"/>
  <c r="V29" i="21"/>
  <c r="AH71" i="21"/>
  <c r="W29" i="21"/>
  <c r="X64" i="21"/>
  <c r="T55" i="21"/>
  <c r="V28" i="21"/>
  <c r="W92" i="21"/>
  <c r="W114" i="21"/>
  <c r="AG34" i="21"/>
  <c r="V125" i="21"/>
  <c r="Y80" i="21"/>
  <c r="Y109" i="21"/>
  <c r="W121" i="21"/>
  <c r="X88" i="21"/>
  <c r="V41" i="21"/>
  <c r="S16" i="21"/>
  <c r="X67" i="21"/>
  <c r="AG102" i="21"/>
  <c r="AH27" i="21"/>
  <c r="U68" i="21"/>
  <c r="U94" i="21"/>
  <c r="S117" i="21"/>
  <c r="U29" i="21"/>
  <c r="U95" i="21"/>
  <c r="T16" i="21"/>
  <c r="U82" i="21"/>
  <c r="S71" i="21"/>
  <c r="Y96" i="21"/>
  <c r="V98" i="21"/>
  <c r="T92" i="21"/>
  <c r="S68" i="21"/>
  <c r="AH54" i="21"/>
  <c r="V124" i="21"/>
  <c r="W41" i="21"/>
  <c r="Y125" i="21"/>
  <c r="X84" i="21"/>
  <c r="U74" i="21"/>
  <c r="T123" i="21"/>
  <c r="T100" i="21"/>
  <c r="V76" i="21"/>
  <c r="U67" i="21"/>
  <c r="T129" i="21"/>
  <c r="V115" i="21"/>
  <c r="U128" i="21"/>
  <c r="V73" i="21"/>
  <c r="AH101" i="21"/>
  <c r="X39" i="21"/>
  <c r="V103" i="21"/>
  <c r="AH66" i="21"/>
  <c r="X105" i="21"/>
  <c r="AB105" i="29"/>
  <c r="S83" i="29"/>
  <c r="AF118" i="29"/>
  <c r="AB117" i="29"/>
  <c r="W105" i="29"/>
  <c r="U114" i="29"/>
  <c r="AH91" i="29"/>
  <c r="U48" i="29"/>
  <c r="V68" i="29"/>
  <c r="X34" i="29"/>
  <c r="S117" i="29"/>
  <c r="W70" i="29"/>
  <c r="AH123" i="29"/>
  <c r="T84" i="29"/>
  <c r="U57" i="29"/>
  <c r="X78" i="29"/>
  <c r="W80" i="29"/>
  <c r="AG84" i="29"/>
  <c r="Y29" i="29"/>
  <c r="AE56" i="29"/>
  <c r="S118" i="29"/>
  <c r="Y119" i="29"/>
  <c r="U84" i="29"/>
  <c r="AG110" i="29"/>
  <c r="AG80" i="29"/>
  <c r="AB60" i="29"/>
  <c r="AB86" i="29"/>
  <c r="U68" i="29"/>
  <c r="AH23" i="29"/>
  <c r="AH61" i="29"/>
  <c r="V69" i="29"/>
  <c r="V33" i="29"/>
  <c r="AH26" i="29"/>
  <c r="AF64" i="29"/>
  <c r="AF91" i="29"/>
  <c r="Y125" i="29"/>
  <c r="V64" i="29"/>
  <c r="V110" i="29"/>
  <c r="AF69" i="29"/>
  <c r="AB43" i="29"/>
  <c r="AA114" i="29"/>
  <c r="V92" i="29"/>
  <c r="X25" i="29"/>
  <c r="V113" i="29"/>
  <c r="X74" i="29"/>
  <c r="AA124" i="29"/>
  <c r="S62" i="29"/>
  <c r="AB11" i="29"/>
  <c r="X61" i="29"/>
  <c r="AB57" i="29"/>
  <c r="AG113" i="29"/>
  <c r="AC88" i="29"/>
  <c r="W115" i="29"/>
  <c r="T40" i="29"/>
  <c r="AG71" i="29"/>
  <c r="S126" i="29"/>
  <c r="AF102" i="29"/>
  <c r="AF35" i="29"/>
  <c r="AC124" i="29"/>
  <c r="X88" i="29"/>
  <c r="Z41" i="29"/>
  <c r="U44" i="29"/>
  <c r="AC14" i="29"/>
  <c r="Z37" i="29"/>
  <c r="Y46" i="29"/>
  <c r="W104" i="29"/>
  <c r="AH114" i="29"/>
  <c r="X51" i="29"/>
  <c r="V43" i="29"/>
  <c r="AA112" i="29"/>
  <c r="Z45" i="29"/>
  <c r="AE63" i="29"/>
  <c r="AB126" i="29"/>
  <c r="AB61" i="29"/>
  <c r="AG111" i="29"/>
  <c r="AB97" i="29"/>
  <c r="V65" i="29"/>
  <c r="Y34" i="29"/>
  <c r="AE107" i="29"/>
  <c r="AB33" i="29"/>
  <c r="X83" i="29"/>
  <c r="AG45" i="29"/>
  <c r="AC84" i="29"/>
  <c r="AC30" i="29"/>
  <c r="W86" i="29"/>
  <c r="AH24" i="29"/>
  <c r="AA12" i="29"/>
  <c r="Y86" i="29"/>
  <c r="X124" i="29"/>
  <c r="X79" i="29"/>
  <c r="AG117" i="29"/>
  <c r="AA100" i="29"/>
  <c r="T113" i="29"/>
  <c r="U28" i="29"/>
  <c r="AE120" i="29"/>
  <c r="S103" i="29"/>
  <c r="AF31" i="29"/>
  <c r="AA42" i="29"/>
  <c r="U88" i="29"/>
  <c r="T25" i="29"/>
  <c r="AG67" i="29"/>
  <c r="AE37" i="29"/>
  <c r="AE73" i="29"/>
  <c r="U127" i="29"/>
  <c r="T61" i="29"/>
  <c r="AF128" i="29"/>
  <c r="AG58" i="29"/>
  <c r="Z92" i="29"/>
  <c r="AA126" i="29"/>
  <c r="AE97" i="29"/>
  <c r="X35" i="29"/>
  <c r="X58" i="29"/>
  <c r="AC65" i="29"/>
  <c r="W90" i="29"/>
  <c r="Y27" i="29"/>
  <c r="AG93" i="21"/>
  <c r="V17" i="21"/>
  <c r="AF55" i="21"/>
  <c r="V65" i="21"/>
  <c r="AH78" i="21"/>
  <c r="AH88" i="21"/>
  <c r="T120" i="21"/>
  <c r="Y64" i="21"/>
  <c r="S89" i="21"/>
  <c r="S50" i="21"/>
  <c r="AG109" i="21"/>
  <c r="AG122" i="21"/>
  <c r="W30" i="21"/>
  <c r="W85" i="21"/>
  <c r="T125" i="21"/>
  <c r="V12" i="21"/>
  <c r="AF14" i="21"/>
  <c r="AG123" i="21"/>
  <c r="V116" i="21"/>
  <c r="Y108" i="21"/>
  <c r="AG32" i="21"/>
  <c r="X95" i="21"/>
  <c r="T121" i="21"/>
  <c r="T78" i="21"/>
  <c r="AH59" i="21"/>
  <c r="AG115" i="21"/>
  <c r="W125" i="21"/>
  <c r="U35" i="21"/>
  <c r="U92" i="21"/>
  <c r="S107" i="21"/>
  <c r="T81" i="21"/>
  <c r="W50" i="21"/>
  <c r="U53" i="21"/>
  <c r="T39" i="21"/>
  <c r="S34" i="21"/>
  <c r="AG111" i="21"/>
  <c r="W113" i="21"/>
  <c r="T13" i="21"/>
  <c r="U86" i="21"/>
  <c r="W37" i="21"/>
  <c r="AG100" i="21"/>
  <c r="AH129" i="21"/>
  <c r="X61" i="21"/>
  <c r="AF92" i="21"/>
  <c r="U14" i="21"/>
  <c r="U114" i="21"/>
  <c r="AH33" i="21"/>
  <c r="AH89" i="21"/>
  <c r="AF12" i="21"/>
  <c r="S32" i="21"/>
  <c r="Y13" i="21"/>
  <c r="X128" i="21"/>
  <c r="Y41" i="21"/>
  <c r="U112" i="21"/>
  <c r="S35" i="21"/>
  <c r="S112" i="21"/>
  <c r="X40" i="21"/>
  <c r="S52" i="21"/>
  <c r="Y42" i="21"/>
  <c r="AG50" i="21"/>
  <c r="X104" i="21"/>
  <c r="V109" i="21"/>
  <c r="U13" i="21"/>
  <c r="AG56" i="21"/>
  <c r="AH68" i="21"/>
  <c r="AH11" i="21"/>
  <c r="AF48" i="21"/>
  <c r="X111" i="21"/>
  <c r="T49" i="21"/>
  <c r="W126" i="21"/>
  <c r="S47" i="29"/>
  <c r="AF61" i="29"/>
  <c r="AB79" i="29"/>
  <c r="AB31" i="29"/>
  <c r="AC43" i="29"/>
  <c r="AA41" i="29"/>
  <c r="X68" i="29"/>
  <c r="AE122" i="29"/>
  <c r="AC106" i="29"/>
  <c r="AH113" i="29"/>
  <c r="V80" i="29"/>
  <c r="AG59" i="29"/>
  <c r="Y47" i="29"/>
  <c r="Z46" i="29"/>
  <c r="V25" i="29"/>
  <c r="U33" i="29"/>
  <c r="AE101" i="29"/>
  <c r="AC121" i="29"/>
  <c r="X52" i="29"/>
  <c r="AA18" i="29"/>
  <c r="Y70" i="29"/>
  <c r="Z31" i="29"/>
  <c r="V97" i="29"/>
  <c r="W35" i="29"/>
  <c r="Y43" i="29"/>
  <c r="AE67" i="29"/>
  <c r="AG101" i="29"/>
  <c r="S31" i="29"/>
  <c r="AB38" i="29"/>
  <c r="U105" i="29"/>
  <c r="V84" i="29"/>
  <c r="T60" i="29"/>
  <c r="X53" i="29"/>
  <c r="AB78" i="29"/>
  <c r="AH69" i="29"/>
  <c r="W32" i="29"/>
  <c r="AF88" i="29"/>
  <c r="Z96" i="29"/>
  <c r="X84" i="29"/>
  <c r="AC61" i="29"/>
  <c r="S108" i="29"/>
  <c r="S99" i="29"/>
  <c r="Y71" i="29"/>
  <c r="X76" i="29"/>
  <c r="AC95" i="29"/>
  <c r="AC101" i="29"/>
  <c r="Z16" i="29"/>
  <c r="AE91" i="29"/>
  <c r="AB123" i="29"/>
  <c r="T34" i="29"/>
  <c r="V126" i="29"/>
  <c r="U112" i="29"/>
  <c r="AF29" i="29"/>
  <c r="T53" i="29"/>
  <c r="AA59" i="29"/>
  <c r="U30" i="29"/>
  <c r="Y35" i="29"/>
  <c r="Z23" i="29"/>
  <c r="AA97" i="29"/>
  <c r="AG25" i="29"/>
  <c r="W120" i="29"/>
  <c r="Y75" i="29"/>
  <c r="AE52" i="29"/>
  <c r="AB14" i="29"/>
  <c r="V127" i="29"/>
  <c r="T118" i="29"/>
  <c r="AE46" i="29"/>
  <c r="V89" i="29"/>
  <c r="T45" i="29"/>
  <c r="U27" i="29"/>
  <c r="T68" i="29"/>
  <c r="Y107" i="29"/>
  <c r="W111" i="29"/>
  <c r="AC49" i="29"/>
  <c r="W57" i="29"/>
  <c r="V51" i="29"/>
  <c r="AA73" i="29"/>
  <c r="AH124" i="29"/>
  <c r="V55" i="29"/>
  <c r="AC41" i="29"/>
  <c r="AE19" i="29"/>
  <c r="U37" i="29"/>
  <c r="Z84" i="29"/>
  <c r="T97" i="29"/>
  <c r="T47" i="29"/>
  <c r="AF66" i="29"/>
  <c r="V53" i="29"/>
  <c r="AH62" i="29"/>
  <c r="AC56" i="29"/>
  <c r="Z47" i="29"/>
  <c r="AF100" i="29"/>
  <c r="AF120" i="21"/>
  <c r="V11" i="21"/>
  <c r="Y53" i="21"/>
  <c r="Y107" i="21"/>
  <c r="W35" i="21"/>
  <c r="AF71" i="21"/>
  <c r="V70" i="21"/>
  <c r="AF104" i="21"/>
  <c r="Y29" i="21"/>
  <c r="U127" i="21"/>
  <c r="V129" i="21"/>
  <c r="AG83" i="21"/>
  <c r="X94" i="21"/>
  <c r="W108" i="21"/>
  <c r="S81" i="21"/>
  <c r="V49" i="21"/>
  <c r="AG52" i="21"/>
  <c r="AH106" i="21"/>
  <c r="AG44" i="21"/>
  <c r="X78" i="21"/>
  <c r="T82" i="21"/>
  <c r="Y69" i="21"/>
  <c r="S55" i="21"/>
  <c r="W56" i="21"/>
  <c r="S36" i="21"/>
  <c r="AG99" i="21"/>
  <c r="AH80" i="21"/>
  <c r="U32" i="21"/>
  <c r="W43" i="21"/>
  <c r="U17" i="21"/>
  <c r="AG106" i="21"/>
  <c r="S93" i="21"/>
  <c r="U49" i="21"/>
  <c r="V122" i="21"/>
  <c r="U111" i="21"/>
  <c r="AH60" i="21"/>
  <c r="AG67" i="21"/>
  <c r="W57" i="21"/>
  <c r="U93" i="21"/>
  <c r="S54" i="21"/>
  <c r="AF66" i="21"/>
  <c r="Y72" i="21"/>
  <c r="X16" i="21"/>
  <c r="AG87" i="21"/>
  <c r="T74" i="21"/>
  <c r="T69" i="21"/>
  <c r="X36" i="21"/>
  <c r="W39" i="21"/>
  <c r="V104" i="21"/>
  <c r="W33" i="21"/>
  <c r="T64" i="21"/>
  <c r="S127" i="21"/>
  <c r="Y113" i="21"/>
  <c r="Y92" i="21"/>
  <c r="X120" i="21"/>
  <c r="W25" i="21"/>
  <c r="Y16" i="21"/>
  <c r="T32" i="21"/>
  <c r="AG12" i="21"/>
  <c r="AF62" i="21"/>
  <c r="X70" i="21"/>
  <c r="X27" i="21"/>
  <c r="V39" i="21"/>
  <c r="U11" i="21"/>
  <c r="Y60" i="21"/>
  <c r="AH63" i="21"/>
  <c r="S85" i="21"/>
  <c r="U51" i="21"/>
  <c r="AG128" i="21"/>
  <c r="W115" i="21"/>
  <c r="Y66" i="29"/>
  <c r="X36" i="29"/>
  <c r="Y50" i="29"/>
  <c r="W93" i="29"/>
  <c r="AE110" i="29"/>
  <c r="Z54" i="29"/>
  <c r="X49" i="29"/>
  <c r="AE113" i="29"/>
  <c r="Z32" i="29"/>
  <c r="U111" i="29"/>
  <c r="X85" i="29"/>
  <c r="X115" i="29"/>
  <c r="S29" i="29"/>
  <c r="AB68" i="29"/>
  <c r="T70" i="29"/>
  <c r="V95" i="29"/>
  <c r="AA99" i="29"/>
  <c r="U83" i="29"/>
  <c r="AA58" i="29"/>
  <c r="AH32" i="29"/>
  <c r="AH29" i="29"/>
  <c r="W55" i="29"/>
  <c r="AA10" i="29"/>
  <c r="AC57" i="29"/>
  <c r="U115" i="29"/>
  <c r="AC117" i="29"/>
  <c r="W77" i="29"/>
  <c r="AB72" i="29"/>
  <c r="U122" i="29"/>
  <c r="Z27" i="29"/>
  <c r="U29" i="29"/>
  <c r="AB96" i="29"/>
  <c r="W26" i="29"/>
  <c r="AC125" i="29"/>
  <c r="T36" i="29"/>
  <c r="AF42" i="29"/>
  <c r="Y120" i="29"/>
  <c r="T32" i="29"/>
  <c r="AB50" i="29"/>
  <c r="AG94" i="29"/>
  <c r="V118" i="29"/>
  <c r="Y123" i="29"/>
  <c r="AB42" i="29"/>
  <c r="Z57" i="29"/>
  <c r="AA122" i="29"/>
  <c r="U102" i="29"/>
  <c r="S84" i="29"/>
  <c r="AG69" i="29"/>
  <c r="Y77" i="29"/>
  <c r="AF56" i="29"/>
  <c r="Y79" i="29"/>
  <c r="AB62" i="29"/>
  <c r="AA51" i="29"/>
  <c r="AE26" i="29"/>
  <c r="S98" i="29"/>
  <c r="AF75" i="29"/>
  <c r="AG70" i="29"/>
  <c r="Y104" i="29"/>
  <c r="AF18" i="29"/>
  <c r="T87" i="29"/>
  <c r="Y39" i="29"/>
  <c r="X112" i="29"/>
  <c r="AB102" i="29"/>
  <c r="AH105" i="29"/>
  <c r="T73" i="29"/>
  <c r="S63" i="29"/>
  <c r="S64" i="29"/>
  <c r="AE128" i="29"/>
  <c r="X114" i="29"/>
  <c r="AE72" i="29"/>
  <c r="AB21" i="29"/>
  <c r="S25" i="29"/>
  <c r="W43" i="29"/>
  <c r="V58" i="29"/>
  <c r="AA77" i="29"/>
  <c r="W36" i="29"/>
  <c r="AG30" i="29"/>
  <c r="Y41" i="29"/>
  <c r="U80" i="29"/>
  <c r="AH33" i="29"/>
  <c r="S100" i="29"/>
  <c r="T63" i="29"/>
  <c r="AF63" i="29"/>
  <c r="AH87" i="29"/>
  <c r="AG98" i="29"/>
  <c r="AE123" i="29"/>
  <c r="X44" i="29"/>
  <c r="AF86" i="29"/>
  <c r="AE36" i="29"/>
  <c r="AF68" i="29"/>
  <c r="Z76" i="29"/>
  <c r="S107" i="29"/>
  <c r="Z126" i="29"/>
  <c r="AF70" i="29"/>
  <c r="S52" i="29"/>
  <c r="U71" i="21"/>
  <c r="AH116" i="21"/>
  <c r="X81" i="21"/>
  <c r="S27" i="21"/>
  <c r="AG101" i="21"/>
  <c r="W117" i="21"/>
  <c r="T79" i="21"/>
  <c r="T41" i="21"/>
  <c r="U99" i="21"/>
  <c r="T85" i="21"/>
  <c r="U65" i="21"/>
  <c r="V27" i="21"/>
  <c r="T108" i="21"/>
  <c r="AH84" i="21"/>
  <c r="V30" i="21"/>
  <c r="S74" i="21"/>
  <c r="AF73" i="21"/>
  <c r="S75" i="21"/>
  <c r="AF96" i="21"/>
  <c r="AG43" i="21"/>
  <c r="X41" i="21"/>
  <c r="V108" i="21"/>
  <c r="AF89" i="21"/>
  <c r="W86" i="21"/>
  <c r="V13" i="21"/>
  <c r="T60" i="21"/>
  <c r="AH118" i="21"/>
  <c r="W93" i="21"/>
  <c r="W127" i="21"/>
  <c r="W72" i="21"/>
  <c r="X14" i="21"/>
  <c r="U16" i="21"/>
  <c r="AF47" i="21"/>
  <c r="W46" i="21"/>
  <c r="Y88" i="21"/>
  <c r="AH108" i="21"/>
  <c r="T40" i="21"/>
  <c r="V53" i="21"/>
  <c r="X83" i="21"/>
  <c r="S125" i="21"/>
  <c r="U52" i="21"/>
  <c r="U123" i="21"/>
  <c r="V46" i="21"/>
  <c r="W94" i="21"/>
  <c r="V99" i="21"/>
  <c r="AH15" i="21"/>
  <c r="AF39" i="21"/>
  <c r="Y123" i="21"/>
  <c r="V25" i="21"/>
  <c r="U108" i="21"/>
  <c r="T15" i="21"/>
  <c r="AF45" i="21"/>
  <c r="AH65" i="21"/>
  <c r="AH37" i="21"/>
  <c r="X37" i="21"/>
  <c r="AF105" i="21"/>
  <c r="S42" i="21"/>
  <c r="AH102" i="21"/>
  <c r="AH120" i="21"/>
  <c r="X129" i="21"/>
  <c r="T46" i="21"/>
  <c r="AH87" i="21"/>
  <c r="AF43" i="21"/>
  <c r="X101" i="21"/>
  <c r="V82" i="21"/>
  <c r="U100" i="21"/>
  <c r="T27" i="21"/>
  <c r="Y66" i="21"/>
  <c r="AF115" i="21"/>
  <c r="T128" i="21"/>
  <c r="X99" i="29"/>
  <c r="W126" i="29"/>
  <c r="T98" i="29"/>
  <c r="AG32" i="29"/>
  <c r="V56" i="29"/>
  <c r="U85" i="29"/>
  <c r="W98" i="29"/>
  <c r="AA36" i="29"/>
  <c r="AE39" i="29"/>
  <c r="Y112" i="29"/>
  <c r="AE87" i="29"/>
  <c r="AG44" i="29"/>
  <c r="AC21" i="29"/>
  <c r="AA90" i="29"/>
  <c r="AC11" i="29"/>
  <c r="AA29" i="29"/>
  <c r="W61" i="29"/>
  <c r="W103" i="29"/>
  <c r="T127" i="29"/>
  <c r="AE27" i="29"/>
  <c r="AE70" i="29"/>
  <c r="AC39" i="29"/>
  <c r="V125" i="29"/>
  <c r="Z121" i="29"/>
  <c r="AE10" i="29"/>
  <c r="AF122" i="29"/>
  <c r="S56" i="29"/>
  <c r="AB120" i="29"/>
  <c r="Z29" i="29"/>
  <c r="S60" i="29"/>
  <c r="T116" i="29"/>
  <c r="W44" i="29"/>
  <c r="S51" i="29"/>
  <c r="X82" i="29"/>
  <c r="AA88" i="29"/>
  <c r="AA118" i="29"/>
  <c r="T111" i="29"/>
  <c r="AF55" i="29"/>
  <c r="AA102" i="29"/>
  <c r="AC74" i="29"/>
  <c r="T123" i="29"/>
  <c r="Y28" i="29"/>
  <c r="AE53" i="29"/>
  <c r="AE119" i="29"/>
  <c r="T100" i="29"/>
  <c r="Y72" i="29"/>
  <c r="S97" i="29"/>
  <c r="X60" i="29"/>
  <c r="Z97" i="29"/>
  <c r="AE95" i="29"/>
  <c r="AE34" i="29"/>
  <c r="AA70" i="29"/>
  <c r="T75" i="29"/>
  <c r="T55" i="29"/>
  <c r="AG18" i="29"/>
  <c r="V90" i="29"/>
  <c r="S128" i="29"/>
  <c r="AC37" i="29"/>
  <c r="U123" i="29"/>
  <c r="W83" i="29"/>
  <c r="U71" i="29"/>
  <c r="V35" i="29"/>
  <c r="S72" i="29"/>
  <c r="AH55" i="29"/>
  <c r="AC55" i="29"/>
  <c r="Y103" i="29"/>
  <c r="T79" i="29"/>
  <c r="AE104" i="29"/>
  <c r="Z98" i="29"/>
  <c r="AA109" i="29"/>
  <c r="X75" i="29"/>
  <c r="T49" i="29"/>
  <c r="AG78" i="29"/>
  <c r="AF48" i="29"/>
  <c r="Z55" i="29"/>
  <c r="AA125" i="29"/>
  <c r="U58" i="29"/>
  <c r="Y30" i="29"/>
  <c r="AF96" i="29"/>
  <c r="U41" i="29"/>
  <c r="AC105" i="29"/>
  <c r="X111" i="29"/>
  <c r="AE30" i="29"/>
  <c r="W96" i="29"/>
  <c r="AF32" i="29"/>
  <c r="AC10" i="29"/>
  <c r="S91" i="29"/>
  <c r="AH111" i="29"/>
  <c r="Y60" i="29"/>
  <c r="AA60" i="29"/>
  <c r="AA34" i="29"/>
  <c r="W27" i="29"/>
  <c r="Y48" i="29"/>
  <c r="AH108" i="29"/>
  <c r="T30" i="29"/>
  <c r="Y90" i="29"/>
  <c r="Z124" i="29"/>
  <c r="T65" i="29"/>
  <c r="W107" i="29"/>
  <c r="Z34" i="29"/>
  <c r="AG96" i="29"/>
  <c r="S90" i="29"/>
  <c r="AA106" i="29"/>
  <c r="AC27" i="29"/>
  <c r="U73" i="29"/>
  <c r="AE79" i="29"/>
  <c r="AC23" i="29"/>
  <c r="Y42" i="29"/>
  <c r="T69" i="29"/>
  <c r="V28" i="29"/>
  <c r="U70" i="29"/>
  <c r="T56" i="29"/>
  <c r="S36" i="29"/>
  <c r="AB24" i="29"/>
  <c r="U124" i="29"/>
  <c r="S28" i="29"/>
  <c r="V81" i="29"/>
  <c r="AG36" i="29"/>
  <c r="S35" i="29"/>
  <c r="AE102" i="29"/>
  <c r="S127" i="29"/>
  <c r="AE59" i="29"/>
  <c r="W28" i="29"/>
  <c r="V50" i="29"/>
  <c r="V36" i="29"/>
  <c r="W76" i="29"/>
  <c r="V82" i="29"/>
  <c r="T125" i="29"/>
  <c r="Z122" i="29"/>
  <c r="U52" i="29"/>
  <c r="T43" i="29"/>
  <c r="AC66" i="29"/>
  <c r="AA95" i="29"/>
  <c r="AH35" i="29"/>
  <c r="AH94" i="29"/>
  <c r="AC109" i="29"/>
  <c r="W85" i="29"/>
  <c r="T67" i="29"/>
  <c r="Y85" i="29"/>
  <c r="AA91" i="29"/>
  <c r="Z65" i="29"/>
  <c r="AE100" i="29"/>
  <c r="W106" i="29"/>
  <c r="AG81" i="29"/>
  <c r="V72" i="29"/>
  <c r="S87" i="29"/>
  <c r="AE117" i="29"/>
  <c r="Z106" i="29"/>
  <c r="AH107" i="29"/>
  <c r="Y33" i="29"/>
  <c r="AF113" i="29"/>
  <c r="AG91" i="29"/>
  <c r="AC47" i="29"/>
  <c r="AH81" i="29"/>
  <c r="AF123" i="29"/>
  <c r="AE108" i="29"/>
  <c r="Z17" i="29"/>
  <c r="U67" i="29"/>
  <c r="Z43" i="29"/>
  <c r="AE114" i="29"/>
  <c r="AC17" i="29"/>
  <c r="AE75" i="29"/>
  <c r="AA38" i="29"/>
  <c r="AC87" i="29"/>
  <c r="AC80" i="29"/>
  <c r="V102" i="29"/>
  <c r="AG86" i="29"/>
  <c r="AE33" i="29"/>
  <c r="V31" i="29"/>
  <c r="AE92" i="29"/>
  <c r="Y94" i="29"/>
  <c r="AA123" i="29"/>
  <c r="AE22" i="29"/>
  <c r="AB23" i="29"/>
  <c r="AF60" i="29"/>
  <c r="V74" i="29"/>
  <c r="AE69" i="29"/>
  <c r="Z60" i="29"/>
  <c r="V75" i="29"/>
  <c r="W46" i="29"/>
  <c r="X69" i="29"/>
  <c r="AB52" i="29"/>
  <c r="W100" i="29"/>
  <c r="AG41" i="29"/>
  <c r="V44" i="29"/>
  <c r="S128" i="21"/>
  <c r="Y120" i="21"/>
  <c r="W120" i="21"/>
  <c r="T95" i="21"/>
  <c r="U96" i="21"/>
  <c r="AH76" i="21"/>
  <c r="T75" i="21"/>
  <c r="X115" i="21"/>
  <c r="AF101" i="21"/>
  <c r="T54" i="21"/>
  <c r="T59" i="21"/>
  <c r="U62" i="21"/>
  <c r="AF30" i="21"/>
  <c r="Y30" i="21"/>
  <c r="AF93" i="21"/>
  <c r="X125" i="21"/>
  <c r="AG124" i="21"/>
  <c r="U43" i="21"/>
  <c r="X46" i="21"/>
  <c r="U34" i="21"/>
  <c r="T90" i="21"/>
  <c r="AH86" i="21"/>
  <c r="X102" i="21"/>
  <c r="W47" i="21"/>
  <c r="AG127" i="21"/>
  <c r="AH95" i="21"/>
  <c r="X32" i="21"/>
  <c r="AF17" i="21"/>
  <c r="AH42" i="21"/>
  <c r="AG25" i="21"/>
  <c r="AG16" i="21"/>
  <c r="V83" i="21"/>
  <c r="AH99" i="21"/>
  <c r="AG63" i="21"/>
  <c r="AG64" i="21"/>
  <c r="W53" i="21"/>
  <c r="W36" i="21"/>
  <c r="U89" i="21"/>
  <c r="V105" i="21"/>
  <c r="AG76" i="21"/>
  <c r="AH90" i="21"/>
  <c r="U122" i="21"/>
  <c r="S120" i="21"/>
  <c r="T113" i="21"/>
  <c r="AF128" i="21"/>
  <c r="Y33" i="21"/>
  <c r="X122" i="21"/>
  <c r="T50" i="21"/>
  <c r="S11" i="21"/>
  <c r="X100" i="21"/>
  <c r="AG48" i="21"/>
  <c r="V88" i="21"/>
  <c r="AF102" i="21"/>
  <c r="V72" i="21"/>
  <c r="AH110" i="21"/>
  <c r="Y83" i="21"/>
  <c r="AH70" i="21"/>
  <c r="AF106" i="21"/>
  <c r="AG117" i="21"/>
  <c r="AH75" i="21"/>
  <c r="AF123" i="21"/>
  <c r="S37" i="21"/>
  <c r="V120" i="21"/>
  <c r="U31" i="21"/>
  <c r="X51" i="21"/>
  <c r="X76" i="21"/>
  <c r="AG95" i="21"/>
  <c r="X123" i="21"/>
  <c r="AH74" i="21"/>
  <c r="AH128" i="21"/>
  <c r="S115" i="29"/>
  <c r="X45" i="29"/>
  <c r="AA31" i="29"/>
  <c r="AH27" i="29"/>
  <c r="W117" i="29"/>
  <c r="W108" i="29"/>
  <c r="AB39" i="29"/>
  <c r="S59" i="29"/>
  <c r="X101" i="29"/>
  <c r="Y124" i="29"/>
  <c r="V91" i="29"/>
  <c r="AC20" i="29"/>
  <c r="AB16" i="29"/>
  <c r="AH17" i="29"/>
  <c r="W29" i="29"/>
  <c r="V45" i="29"/>
  <c r="AG125" i="29"/>
  <c r="W73" i="29"/>
  <c r="S46" i="29"/>
  <c r="AG99" i="29"/>
  <c r="T54" i="29"/>
  <c r="AE50" i="29"/>
  <c r="AH71" i="29"/>
  <c r="Z93" i="29"/>
  <c r="AA46" i="29"/>
  <c r="W101" i="29"/>
  <c r="AF27" i="29"/>
  <c r="AB101" i="29"/>
  <c r="X94" i="29"/>
  <c r="AB77" i="29"/>
  <c r="AH56" i="29"/>
  <c r="AC98" i="29"/>
  <c r="AG72" i="29"/>
  <c r="W68" i="29"/>
  <c r="AE51" i="29"/>
  <c r="T64" i="29"/>
  <c r="AC18" i="29"/>
  <c r="W125" i="29"/>
  <c r="AA92" i="29"/>
  <c r="AB124" i="29"/>
  <c r="T39" i="29"/>
  <c r="AA17" i="29"/>
  <c r="Z36" i="29"/>
  <c r="AB69" i="29"/>
  <c r="AB71" i="29"/>
  <c r="AE43" i="29"/>
  <c r="AA33" i="29"/>
  <c r="AG121" i="29"/>
  <c r="U108" i="29"/>
  <c r="AF72" i="29"/>
  <c r="AA65" i="29"/>
  <c r="S65" i="29"/>
  <c r="AB111" i="29"/>
  <c r="AG79" i="29"/>
  <c r="V78" i="29"/>
  <c r="AC120" i="29"/>
  <c r="Z42" i="29"/>
  <c r="U25" i="29"/>
  <c r="X31" i="29"/>
  <c r="Y73" i="29"/>
  <c r="AC52" i="29"/>
  <c r="X93" i="29"/>
  <c r="AE125" i="29"/>
  <c r="AG62" i="29"/>
  <c r="AB99" i="29"/>
  <c r="W72" i="29"/>
  <c r="S68" i="29"/>
  <c r="AA76" i="29"/>
  <c r="U24" i="29"/>
  <c r="AG108" i="29"/>
  <c r="AB36" i="29"/>
  <c r="AC36" i="29"/>
  <c r="V107" i="29"/>
  <c r="AH37" i="29"/>
  <c r="T62" i="29"/>
  <c r="X57" i="29"/>
  <c r="AH121" i="29"/>
  <c r="AH95" i="29"/>
  <c r="T46" i="29"/>
  <c r="W25" i="29"/>
  <c r="AB13" i="29"/>
  <c r="X26" i="29"/>
  <c r="Z99" i="29"/>
  <c r="AF78" i="29"/>
  <c r="AG37" i="29"/>
  <c r="AC53" i="29"/>
  <c r="AA47" i="29"/>
  <c r="X97" i="29"/>
  <c r="Y76" i="29"/>
  <c r="W102" i="29"/>
  <c r="AB18" i="29"/>
  <c r="X81" i="29"/>
  <c r="T96" i="29"/>
  <c r="AF98" i="29"/>
  <c r="AF111" i="29"/>
  <c r="AG49" i="29"/>
  <c r="AA50" i="29"/>
  <c r="AC71" i="29"/>
  <c r="T90" i="29"/>
  <c r="AE64" i="29"/>
  <c r="AB110" i="29"/>
  <c r="V101" i="29"/>
  <c r="T41" i="29"/>
  <c r="T104" i="29"/>
  <c r="U120" i="29"/>
  <c r="T72" i="29"/>
  <c r="Z115" i="29"/>
  <c r="Z71" i="29"/>
  <c r="AB64" i="29"/>
  <c r="Z127" i="29"/>
  <c r="Y68" i="29"/>
  <c r="X117" i="29"/>
  <c r="AE99" i="29"/>
  <c r="AB93" i="29"/>
  <c r="AA128" i="29"/>
  <c r="V123" i="29"/>
  <c r="AH51" i="29"/>
  <c r="AF51" i="29"/>
  <c r="V116" i="29"/>
  <c r="AG114" i="29"/>
  <c r="AH66" i="29"/>
  <c r="U93" i="29"/>
  <c r="AH72" i="29"/>
  <c r="U54" i="29"/>
  <c r="AB37" i="29"/>
  <c r="Z62" i="29"/>
  <c r="S112" i="29"/>
  <c r="AG116" i="29"/>
  <c r="AE49" i="29"/>
  <c r="AG79" i="21"/>
  <c r="AG129" i="21"/>
  <c r="AF53" i="21"/>
  <c r="AF25" i="21"/>
  <c r="AH105" i="21"/>
  <c r="S25" i="21"/>
  <c r="S115" i="21"/>
  <c r="T11" i="21"/>
  <c r="U27" i="21"/>
  <c r="Y67" i="21"/>
  <c r="AH48" i="21"/>
  <c r="AG114" i="21"/>
  <c r="X90" i="21"/>
  <c r="AF60" i="21"/>
  <c r="AH13" i="21"/>
  <c r="AH73" i="21"/>
  <c r="T102" i="21"/>
  <c r="V40" i="21"/>
  <c r="Y97" i="21"/>
  <c r="AF98" i="21"/>
  <c r="AF74" i="21"/>
  <c r="Y37" i="21"/>
  <c r="W64" i="21"/>
  <c r="Y43" i="21"/>
  <c r="Y94" i="21"/>
  <c r="V106" i="21"/>
  <c r="U25" i="21"/>
  <c r="W70" i="21"/>
  <c r="AF100" i="21"/>
  <c r="AF68" i="21"/>
  <c r="S96" i="21"/>
  <c r="AG66" i="21"/>
  <c r="AH112" i="21"/>
  <c r="S88" i="21"/>
  <c r="V87" i="21"/>
  <c r="V62" i="29"/>
  <c r="X24" i="29"/>
  <c r="AF62" i="29"/>
  <c r="AC50" i="29"/>
  <c r="AC59" i="29"/>
  <c r="U96" i="29"/>
  <c r="AF87" i="29"/>
  <c r="X122" i="29"/>
  <c r="S110" i="29"/>
  <c r="AB17" i="29"/>
  <c r="AF95" i="29"/>
  <c r="AA63" i="29"/>
  <c r="AA20" i="29"/>
  <c r="AE80" i="29"/>
  <c r="Z80" i="29"/>
  <c r="W65" i="29"/>
  <c r="T78" i="29"/>
  <c r="W45" i="29"/>
  <c r="S96" i="29"/>
  <c r="AG107" i="29"/>
  <c r="AE112" i="29"/>
  <c r="W39" i="29"/>
  <c r="AB92" i="29"/>
  <c r="W40" i="29"/>
  <c r="AA119" i="29"/>
  <c r="T126" i="29"/>
  <c r="V42" i="29"/>
  <c r="AC22" i="29"/>
  <c r="U97" i="29"/>
  <c r="AA27" i="29"/>
  <c r="V85" i="29"/>
  <c r="Y110" i="29"/>
  <c r="V66" i="29"/>
  <c r="W24" i="29"/>
  <c r="V24" i="29"/>
  <c r="AG102" i="29"/>
  <c r="AA82" i="29"/>
  <c r="AH98" i="29"/>
  <c r="AA61" i="29"/>
  <c r="T59" i="29"/>
  <c r="U49" i="29"/>
  <c r="V32" i="29"/>
  <c r="AF21" i="29"/>
  <c r="U104" i="29"/>
  <c r="AH93" i="29"/>
  <c r="AE28" i="29"/>
  <c r="U81" i="29"/>
  <c r="U106" i="29"/>
  <c r="AH104" i="29"/>
  <c r="AC68" i="29"/>
  <c r="X118" i="29"/>
  <c r="AB44" i="29"/>
  <c r="Z120" i="29"/>
  <c r="AE18" i="29"/>
  <c r="AB95" i="29"/>
  <c r="AG88" i="29"/>
  <c r="S124" i="29"/>
  <c r="Z105" i="29"/>
  <c r="AG50" i="29"/>
  <c r="AG54" i="29"/>
  <c r="AA84" i="29"/>
  <c r="AE40" i="29"/>
  <c r="AF94" i="29"/>
  <c r="AE96" i="29"/>
  <c r="AH127" i="29"/>
  <c r="S73" i="29"/>
  <c r="S37" i="29"/>
  <c r="T83" i="29"/>
  <c r="AE68" i="29"/>
  <c r="AC34" i="29"/>
  <c r="W88" i="29"/>
  <c r="X106" i="29"/>
  <c r="X109" i="29"/>
  <c r="AH126" i="29"/>
  <c r="AB41" i="29"/>
  <c r="X37" i="29"/>
  <c r="AB12" i="29"/>
  <c r="AE118" i="29"/>
  <c r="Y115" i="29"/>
  <c r="V122" i="29"/>
  <c r="V46" i="29"/>
  <c r="AE41" i="29"/>
  <c r="U77" i="29"/>
  <c r="AH96" i="29"/>
  <c r="X66" i="29"/>
  <c r="AE77" i="29"/>
  <c r="Y87" i="29"/>
  <c r="AA26" i="29"/>
  <c r="AC118" i="29"/>
  <c r="AF65" i="29"/>
  <c r="Y78" i="29"/>
  <c r="AF121" i="29"/>
  <c r="AG17" i="29"/>
  <c r="X100" i="29"/>
  <c r="S102" i="29"/>
  <c r="AE74" i="29"/>
  <c r="Y52" i="29"/>
  <c r="V100" i="29"/>
  <c r="S61" i="29"/>
  <c r="AG76" i="29"/>
  <c r="W104" i="21"/>
  <c r="W60" i="29"/>
  <c r="U125" i="29"/>
  <c r="S125" i="29"/>
  <c r="Z79" i="29"/>
  <c r="AA44" i="29"/>
  <c r="Y61" i="29"/>
  <c r="X38" i="29"/>
  <c r="AB87" i="29"/>
  <c r="W79" i="29"/>
  <c r="AC103" i="29"/>
  <c r="W52" i="29"/>
  <c r="W31" i="29"/>
  <c r="S80" i="29"/>
  <c r="AC60" i="29"/>
  <c r="T108" i="29"/>
  <c r="AE44" i="29"/>
  <c r="X87" i="29"/>
  <c r="U107" i="29"/>
  <c r="AE47" i="29"/>
  <c r="Z44" i="29"/>
  <c r="X39" i="29"/>
  <c r="AH102" i="29"/>
  <c r="AG29" i="29"/>
  <c r="Y121" i="29"/>
  <c r="X114" i="21"/>
  <c r="V94" i="21"/>
  <c r="AG98" i="21"/>
  <c r="AH67" i="21"/>
  <c r="S129" i="21"/>
  <c r="AG110" i="21"/>
  <c r="S53" i="21"/>
  <c r="W106" i="21"/>
  <c r="AE12" i="29"/>
  <c r="AC19" i="29"/>
  <c r="AA28" i="29"/>
  <c r="W48" i="29"/>
  <c r="Y96" i="29"/>
  <c r="AB28" i="29"/>
  <c r="Z123" i="29"/>
  <c r="T86" i="29"/>
  <c r="AE109" i="29"/>
  <c r="AC44" i="29"/>
  <c r="T93" i="29"/>
  <c r="X29" i="29"/>
  <c r="X62" i="29"/>
  <c r="W118" i="29"/>
  <c r="AH70" i="29"/>
  <c r="S88" i="29"/>
  <c r="AC116" i="29"/>
  <c r="Y84" i="29"/>
  <c r="Y93" i="29"/>
  <c r="U38" i="29"/>
  <c r="S95" i="29"/>
  <c r="AB34" i="29"/>
  <c r="AE60" i="29"/>
  <c r="X62" i="21"/>
  <c r="T86" i="21"/>
  <c r="X116" i="21"/>
  <c r="AF58" i="21"/>
  <c r="U69" i="21"/>
  <c r="AH69" i="21"/>
  <c r="S33" i="21"/>
  <c r="AG97" i="21"/>
  <c r="V40" i="29"/>
  <c r="W94" i="29"/>
  <c r="AF41" i="29"/>
  <c r="Z102" i="29"/>
  <c r="AB114" i="29"/>
  <c r="S49" i="29"/>
  <c r="AB66" i="29"/>
  <c r="AB22" i="29"/>
  <c r="U55" i="29"/>
  <c r="T121" i="29"/>
  <c r="AE29" i="29"/>
  <c r="AF67" i="29"/>
  <c r="Z56" i="29"/>
  <c r="S41" i="29"/>
  <c r="AB108" i="29"/>
  <c r="AH65" i="29"/>
  <c r="V26" i="29"/>
  <c r="S43" i="29"/>
  <c r="AH110" i="29"/>
  <c r="S57" i="29"/>
  <c r="T24" i="29"/>
  <c r="AH75" i="29"/>
  <c r="AA75" i="29"/>
  <c r="Y58" i="29"/>
  <c r="V86" i="29"/>
  <c r="U41" i="21"/>
  <c r="Y12" i="21"/>
  <c r="AG113" i="21"/>
  <c r="AH53" i="21"/>
  <c r="Y119" i="21"/>
  <c r="AG13" i="21"/>
  <c r="T48" i="21"/>
  <c r="W101" i="21"/>
  <c r="W71" i="21"/>
  <c r="S77" i="21"/>
  <c r="Y99" i="21"/>
  <c r="X126" i="21"/>
  <c r="X58" i="21"/>
  <c r="X45" i="21"/>
  <c r="S83" i="21"/>
  <c r="X13" i="21"/>
  <c r="V68" i="21"/>
  <c r="Y61" i="21"/>
  <c r="X11" i="21"/>
  <c r="AF52" i="21"/>
  <c r="AG36" i="21"/>
  <c r="X107" i="21"/>
  <c r="AH92" i="21"/>
  <c r="AG14" i="21"/>
  <c r="AH94" i="21"/>
  <c r="Y93" i="21"/>
  <c r="AF28" i="21"/>
  <c r="S45" i="21"/>
  <c r="AG96" i="21"/>
  <c r="AF99" i="21"/>
  <c r="X59" i="21"/>
  <c r="U44" i="21"/>
  <c r="W13" i="21"/>
  <c r="AG82" i="21"/>
  <c r="V56" i="21"/>
  <c r="X86" i="29"/>
  <c r="AE38" i="29"/>
  <c r="W123" i="29"/>
  <c r="AH34" i="29"/>
  <c r="AF127" i="29"/>
  <c r="AF46" i="29"/>
  <c r="Z74" i="29"/>
  <c r="AA71" i="29"/>
  <c r="T110" i="29"/>
  <c r="AB65" i="29"/>
  <c r="W71" i="29"/>
  <c r="AB51" i="29"/>
  <c r="W95" i="29"/>
  <c r="AA45" i="29"/>
  <c r="AB125" i="29"/>
  <c r="U62" i="29"/>
  <c r="AF34" i="29"/>
  <c r="AE32" i="29"/>
  <c r="U74" i="29"/>
  <c r="AC82" i="29"/>
  <c r="AG93" i="29"/>
  <c r="AA83" i="29"/>
  <c r="AB70" i="29"/>
  <c r="AA30" i="29"/>
  <c r="AB53" i="29"/>
  <c r="T89" i="29"/>
  <c r="AA13" i="29"/>
  <c r="AF28" i="29"/>
  <c r="AF109" i="29"/>
  <c r="AA40" i="29"/>
  <c r="Y55" i="29"/>
  <c r="U40" i="29"/>
  <c r="AF22" i="29"/>
  <c r="X48" i="29"/>
  <c r="U128" i="29"/>
  <c r="V83" i="29"/>
  <c r="W97" i="29"/>
  <c r="AC110" i="29"/>
  <c r="AG38" i="29"/>
  <c r="X56" i="29"/>
  <c r="Z59" i="29"/>
  <c r="AH36" i="29"/>
  <c r="U63" i="29"/>
  <c r="Z90" i="29"/>
  <c r="Z53" i="29"/>
  <c r="Y32" i="29"/>
  <c r="AH120" i="29"/>
  <c r="AC45" i="29"/>
  <c r="S85" i="29"/>
  <c r="AC111" i="29"/>
  <c r="T42" i="29"/>
  <c r="U78" i="29"/>
  <c r="AF50" i="29"/>
  <c r="S50" i="29"/>
  <c r="T57" i="29"/>
  <c r="T103" i="29"/>
  <c r="AE58" i="29"/>
  <c r="T44" i="29"/>
  <c r="Y111" i="29"/>
  <c r="AG55" i="29"/>
  <c r="W82" i="29"/>
  <c r="AF40" i="29"/>
  <c r="AG21" i="29"/>
  <c r="AA37" i="29"/>
  <c r="S78" i="29"/>
  <c r="X96" i="29"/>
  <c r="AB76" i="29"/>
  <c r="AB26" i="29"/>
  <c r="AB63" i="29"/>
  <c r="AE94" i="29"/>
  <c r="AC31" i="29"/>
  <c r="Z107" i="29"/>
  <c r="AG82" i="29"/>
  <c r="X121" i="29"/>
  <c r="AH90" i="29"/>
  <c r="V98" i="29"/>
  <c r="AF117" i="29"/>
  <c r="T120" i="29"/>
  <c r="W47" i="29"/>
  <c r="U42" i="29"/>
  <c r="T88" i="29"/>
  <c r="AG73" i="29"/>
  <c r="AC63" i="29"/>
  <c r="AF73" i="29"/>
  <c r="AB67" i="29"/>
  <c r="AE90" i="29"/>
  <c r="AC127" i="29"/>
  <c r="T106" i="29"/>
  <c r="S40" i="29"/>
  <c r="Y126" i="29"/>
  <c r="AG63" i="29"/>
  <c r="AF30" i="29"/>
  <c r="Z52" i="29"/>
  <c r="X119" i="29"/>
  <c r="Y113" i="29"/>
  <c r="AG46" i="29"/>
  <c r="AF77" i="29"/>
  <c r="Y63" i="29"/>
  <c r="V71" i="29"/>
  <c r="T38" i="21"/>
  <c r="Y84" i="21"/>
  <c r="V48" i="21"/>
  <c r="V66" i="21"/>
  <c r="V16" i="21"/>
  <c r="V91" i="21"/>
  <c r="X35" i="21"/>
  <c r="AF119" i="21"/>
  <c r="W34" i="21"/>
  <c r="V90" i="21"/>
  <c r="AH50" i="21"/>
  <c r="V33" i="21"/>
  <c r="X29" i="21"/>
  <c r="X112" i="21"/>
  <c r="AG40" i="21"/>
  <c r="Y62" i="21"/>
  <c r="AF127" i="21"/>
  <c r="AH31" i="21"/>
  <c r="V119" i="21"/>
  <c r="AF84" i="21"/>
  <c r="W99" i="29"/>
  <c r="Y117" i="29"/>
  <c r="W34" i="29"/>
  <c r="W62" i="29"/>
  <c r="Z28" i="29"/>
  <c r="Y31" i="29"/>
  <c r="U75" i="29"/>
  <c r="S94" i="29"/>
  <c r="W30" i="29"/>
  <c r="AC32" i="29"/>
  <c r="AE116" i="29"/>
  <c r="Y128" i="29"/>
  <c r="Y56" i="29"/>
  <c r="AE89" i="29"/>
  <c r="AE115" i="29"/>
  <c r="AC100" i="29"/>
  <c r="AB118" i="29"/>
  <c r="Y67" i="29"/>
  <c r="AB84" i="29"/>
  <c r="Y40" i="29"/>
  <c r="AA49" i="29"/>
  <c r="AE55" i="29"/>
  <c r="AB75" i="29"/>
  <c r="AC113" i="29"/>
  <c r="AE81" i="29"/>
  <c r="Y116" i="29"/>
  <c r="AF87" i="21"/>
  <c r="T80" i="21"/>
  <c r="Y106" i="21"/>
  <c r="X124" i="21"/>
  <c r="V117" i="21"/>
  <c r="AH43" i="21"/>
  <c r="W81" i="21"/>
  <c r="W44" i="21"/>
  <c r="AC15" i="29"/>
  <c r="W112" i="29"/>
  <c r="AA56" i="29"/>
  <c r="Y51" i="29"/>
  <c r="S42" i="29"/>
  <c r="AA127" i="29"/>
  <c r="T95" i="29"/>
  <c r="AG47" i="29"/>
  <c r="V114" i="29"/>
  <c r="Z64" i="29"/>
  <c r="U35" i="29"/>
  <c r="AH18" i="29"/>
  <c r="T114" i="29"/>
  <c r="AH125" i="29"/>
  <c r="AC48" i="29"/>
  <c r="X108" i="29"/>
  <c r="AA121" i="29"/>
  <c r="AC75" i="29"/>
  <c r="AE25" i="29"/>
  <c r="Z114" i="29"/>
  <c r="AA78" i="29"/>
  <c r="AA62" i="29"/>
  <c r="U100" i="29"/>
  <c r="X30" i="29"/>
  <c r="S65" i="21"/>
  <c r="U80" i="21"/>
  <c r="Y75" i="21"/>
  <c r="Y86" i="21"/>
  <c r="AG120" i="21"/>
  <c r="W128" i="21"/>
  <c r="W66" i="21"/>
  <c r="AH117" i="21"/>
  <c r="AG91" i="21"/>
  <c r="AH100" i="29"/>
  <c r="W63" i="29"/>
  <c r="Y88" i="29"/>
  <c r="AE14" i="29"/>
  <c r="V128" i="29"/>
  <c r="V124" i="29"/>
  <c r="U110" i="29"/>
  <c r="U60" i="29"/>
  <c r="AH118" i="29"/>
  <c r="Z14" i="29"/>
  <c r="AA24" i="29"/>
  <c r="AE45" i="29"/>
  <c r="AB58" i="29"/>
  <c r="AC126" i="29"/>
  <c r="AH80" i="29"/>
  <c r="W50" i="29"/>
  <c r="AG104" i="29"/>
  <c r="AA110" i="29"/>
  <c r="AC99" i="29"/>
  <c r="AG28" i="29"/>
  <c r="V57" i="29"/>
  <c r="Z10" i="29"/>
  <c r="Y122" i="29"/>
  <c r="S58" i="29"/>
  <c r="Y76" i="21"/>
  <c r="AH35" i="21"/>
  <c r="Y17" i="21"/>
  <c r="V50" i="21"/>
  <c r="U40" i="21"/>
  <c r="T58" i="21"/>
  <c r="S111" i="21"/>
  <c r="U50" i="21"/>
  <c r="AH61" i="21"/>
  <c r="AG70" i="21"/>
  <c r="W48" i="21"/>
  <c r="V34" i="21"/>
  <c r="X47" i="21"/>
  <c r="V89" i="21"/>
  <c r="T127" i="21"/>
  <c r="W63" i="21"/>
  <c r="AF61" i="21"/>
  <c r="S47" i="21"/>
  <c r="S38" i="21"/>
  <c r="AF97" i="21"/>
  <c r="S92" i="21"/>
  <c r="T98" i="21"/>
  <c r="X85" i="21"/>
  <c r="Y122" i="21"/>
  <c r="W123" i="21"/>
  <c r="W17" i="21"/>
  <c r="W51" i="21"/>
  <c r="AG85" i="21"/>
  <c r="AF63" i="21"/>
  <c r="V60" i="21"/>
  <c r="Y32" i="21"/>
  <c r="AG38" i="21"/>
  <c r="Y26" i="21"/>
  <c r="AH26" i="21"/>
  <c r="Y85" i="21"/>
  <c r="S44" i="29"/>
  <c r="AF107" i="29"/>
  <c r="Y89" i="29"/>
  <c r="AA52" i="29"/>
  <c r="X43" i="29"/>
  <c r="S122" i="29"/>
  <c r="AF49" i="29"/>
  <c r="AG90" i="29"/>
  <c r="AC29" i="29"/>
  <c r="AA25" i="29"/>
  <c r="AF115" i="29"/>
  <c r="U95" i="29"/>
  <c r="W59" i="29"/>
  <c r="AE126" i="29"/>
  <c r="X98" i="29"/>
  <c r="V63" i="29"/>
  <c r="AG95" i="29"/>
  <c r="AB29" i="29"/>
  <c r="AB45" i="29"/>
  <c r="AA48" i="29"/>
  <c r="Y99" i="29"/>
  <c r="AC78" i="29"/>
  <c r="Z68" i="29"/>
  <c r="AA111" i="29"/>
  <c r="X80" i="29"/>
  <c r="AH31" i="29"/>
  <c r="AA105" i="29"/>
  <c r="AH38" i="29"/>
  <c r="W116" i="29"/>
  <c r="W54" i="29"/>
  <c r="U101" i="29"/>
  <c r="Y95" i="29"/>
  <c r="AC62" i="29"/>
  <c r="U87" i="29"/>
  <c r="V30" i="29"/>
  <c r="S81" i="29"/>
  <c r="Z35" i="29"/>
  <c r="AH40" i="29"/>
  <c r="V38" i="29"/>
  <c r="T115" i="29"/>
  <c r="AA14" i="29"/>
  <c r="U61" i="29"/>
  <c r="S113" i="29"/>
  <c r="Z116" i="29"/>
  <c r="W122" i="29"/>
  <c r="Y102" i="29"/>
  <c r="T81" i="29"/>
  <c r="W51" i="29"/>
  <c r="X90" i="29"/>
  <c r="AC104" i="29"/>
  <c r="AH59" i="29"/>
  <c r="AH103" i="29"/>
  <c r="AA15" i="29"/>
  <c r="S119" i="29"/>
  <c r="AG87" i="29"/>
  <c r="S104" i="29"/>
  <c r="AA86" i="29"/>
  <c r="Z26" i="29"/>
  <c r="AC42" i="29"/>
  <c r="U117" i="29"/>
  <c r="Y80" i="29"/>
  <c r="Z15" i="29"/>
  <c r="U34" i="29"/>
  <c r="AB59" i="29"/>
  <c r="T107" i="29"/>
  <c r="T99" i="29"/>
  <c r="T101" i="29"/>
  <c r="AG112" i="29"/>
  <c r="AF126" i="29"/>
  <c r="AA120" i="29"/>
  <c r="AE61" i="29"/>
  <c r="AG52" i="29"/>
  <c r="W49" i="29"/>
  <c r="AC86" i="29"/>
  <c r="AC72" i="29"/>
  <c r="Z40" i="29"/>
  <c r="AA115" i="29"/>
  <c r="AC115" i="29"/>
  <c r="AB113" i="29"/>
  <c r="U91" i="29"/>
  <c r="Z12" i="29"/>
  <c r="AC108" i="29"/>
  <c r="AC119" i="29"/>
  <c r="AH101" i="29"/>
  <c r="AC25" i="29"/>
  <c r="T117" i="29"/>
  <c r="AG24" i="29"/>
  <c r="W119" i="29"/>
  <c r="AA89" i="29"/>
  <c r="S75" i="29"/>
  <c r="AH44" i="29"/>
  <c r="U92" i="29"/>
  <c r="AH47" i="29"/>
  <c r="AA101" i="29"/>
  <c r="AH67" i="29"/>
  <c r="AF26" i="29"/>
  <c r="Z75" i="29"/>
  <c r="V59" i="29"/>
  <c r="AH128" i="29"/>
  <c r="AG118" i="29"/>
  <c r="T119" i="29"/>
  <c r="AH115" i="29"/>
  <c r="AH57" i="29"/>
  <c r="Z101" i="29"/>
  <c r="AF58" i="29"/>
  <c r="V119" i="29"/>
  <c r="T112" i="29"/>
  <c r="Z67" i="29"/>
  <c r="S121" i="29"/>
  <c r="T77" i="29"/>
  <c r="Z11" i="29"/>
  <c r="AC76" i="29"/>
  <c r="AH41" i="29"/>
  <c r="AG43" i="29"/>
  <c r="Z30" i="29"/>
  <c r="Z95" i="29"/>
  <c r="S77" i="29"/>
  <c r="Y101" i="29"/>
  <c r="W42" i="29"/>
  <c r="Y65" i="29"/>
  <c r="S91" i="21"/>
  <c r="Z104" i="29"/>
  <c r="Z51" i="29"/>
  <c r="W114" i="29"/>
  <c r="Z82" i="29"/>
  <c r="AH119" i="29"/>
  <c r="V106" i="29"/>
  <c r="V104" i="29"/>
  <c r="S111" i="29"/>
  <c r="AH97" i="29"/>
  <c r="Z113" i="29"/>
  <c r="AG31" i="29"/>
  <c r="Z72" i="29"/>
  <c r="AE54" i="29"/>
  <c r="AB40" i="29"/>
  <c r="AA94" i="29"/>
  <c r="AH22" i="29"/>
  <c r="AG26" i="29"/>
  <c r="S106" i="29"/>
  <c r="Y53" i="29"/>
  <c r="V61" i="29"/>
  <c r="AC33" i="29"/>
  <c r="AC24" i="29"/>
  <c r="X91" i="21"/>
  <c r="X44" i="21"/>
  <c r="T51" i="21"/>
  <c r="X17" i="21"/>
  <c r="Y78" i="21"/>
  <c r="AH55" i="21"/>
  <c r="AH16" i="21"/>
  <c r="Y102" i="21"/>
  <c r="V92" i="21"/>
  <c r="T28" i="21"/>
  <c r="AG65" i="29"/>
  <c r="T38" i="29"/>
  <c r="Y62" i="29"/>
  <c r="AG23" i="29"/>
  <c r="Z39" i="29"/>
  <c r="AF52" i="29"/>
  <c r="AG40" i="29"/>
  <c r="AA23" i="29"/>
  <c r="AH53" i="29"/>
  <c r="AA103" i="29"/>
  <c r="AC70" i="29"/>
  <c r="Z69" i="29"/>
  <c r="AH54" i="29"/>
  <c r="AH109" i="29"/>
  <c r="Y100" i="29"/>
  <c r="AB115" i="29"/>
  <c r="AC102" i="29"/>
  <c r="X70" i="29"/>
  <c r="U39" i="29"/>
  <c r="X27" i="29"/>
  <c r="T51" i="29"/>
  <c r="AB100" i="29"/>
  <c r="T94" i="29"/>
  <c r="X103" i="29"/>
  <c r="X72" i="29"/>
  <c r="X107" i="29"/>
  <c r="T14" i="21"/>
  <c r="T112" i="21"/>
  <c r="AG31" i="21"/>
  <c r="S102" i="21"/>
  <c r="V61" i="21"/>
  <c r="U46" i="21"/>
  <c r="AH62" i="21"/>
  <c r="T52" i="21"/>
  <c r="W82" i="21"/>
  <c r="X104" i="29"/>
  <c r="S34" i="29"/>
  <c r="X71" i="29"/>
  <c r="U43" i="29"/>
  <c r="AC89" i="29"/>
  <c r="AG85" i="29"/>
  <c r="Z73" i="29"/>
  <c r="S76" i="29"/>
  <c r="AE13" i="29"/>
  <c r="AC13" i="29"/>
  <c r="AC85" i="29"/>
  <c r="AF33" i="29"/>
  <c r="U56" i="29"/>
  <c r="AF20" i="29"/>
  <c r="V109" i="29"/>
  <c r="V108" i="29"/>
  <c r="W67" i="29"/>
  <c r="AH64" i="29"/>
  <c r="AH82" i="29"/>
  <c r="Y127" i="29"/>
  <c r="Y97" i="29"/>
  <c r="AF25" i="29"/>
  <c r="AB55" i="29"/>
  <c r="Z22" i="29"/>
  <c r="U98" i="29"/>
  <c r="AF42" i="21"/>
  <c r="T91" i="21"/>
  <c r="U90" i="21"/>
  <c r="T67" i="21"/>
  <c r="X56" i="21"/>
  <c r="T84" i="21"/>
  <c r="S29" i="21"/>
  <c r="AF90" i="21"/>
  <c r="S26" i="21"/>
  <c r="AG27" i="21"/>
  <c r="Y104" i="21"/>
  <c r="U12" i="21"/>
  <c r="T66" i="21"/>
  <c r="U105" i="21"/>
  <c r="S95" i="21"/>
  <c r="AG108" i="21"/>
  <c r="AG51" i="21"/>
  <c r="AG47" i="21"/>
  <c r="V51" i="21"/>
  <c r="U83" i="21"/>
  <c r="V127" i="21"/>
  <c r="AG103" i="21"/>
  <c r="X66" i="21"/>
  <c r="T119" i="21"/>
  <c r="W88" i="21"/>
  <c r="T114" i="21"/>
  <c r="Y98" i="21"/>
  <c r="T47" i="21"/>
  <c r="W90" i="21"/>
  <c r="U110" i="21"/>
  <c r="Y126" i="21"/>
  <c r="Y47" i="21"/>
  <c r="W122" i="21"/>
  <c r="S100" i="21"/>
  <c r="S87" i="21"/>
  <c r="AG57" i="29"/>
  <c r="AH52" i="29"/>
  <c r="W33" i="29"/>
  <c r="U53" i="29"/>
  <c r="X95" i="29"/>
  <c r="W66" i="29"/>
  <c r="V112" i="29"/>
  <c r="AB90" i="29"/>
  <c r="AH78" i="29"/>
  <c r="AB128" i="29"/>
  <c r="AH73" i="29"/>
  <c r="AC58" i="29"/>
  <c r="AB30" i="29"/>
  <c r="W53" i="29"/>
  <c r="AF17" i="29"/>
  <c r="AF74" i="29"/>
  <c r="Z38" i="29"/>
  <c r="AH45" i="29"/>
  <c r="AF119" i="29"/>
  <c r="S55" i="29"/>
  <c r="U119" i="29"/>
  <c r="AB56" i="29"/>
  <c r="AG19" i="29"/>
  <c r="AG39" i="29"/>
  <c r="X46" i="29"/>
  <c r="AC67" i="29"/>
  <c r="AF43" i="29"/>
  <c r="X113" i="29"/>
  <c r="T35" i="29"/>
  <c r="AH83" i="29"/>
  <c r="U64" i="29"/>
  <c r="Y105" i="29"/>
  <c r="AH77" i="29"/>
  <c r="AA104" i="29"/>
  <c r="U36" i="29"/>
  <c r="V34" i="29"/>
  <c r="Z91" i="29"/>
  <c r="T37" i="29"/>
  <c r="AC77" i="29"/>
  <c r="AB106" i="29"/>
  <c r="AE71" i="29"/>
  <c r="AH116" i="29"/>
  <c r="AH19" i="29"/>
  <c r="AA11" i="29"/>
  <c r="AE111" i="29"/>
  <c r="T71" i="29"/>
  <c r="AA117" i="29"/>
  <c r="AC73" i="29"/>
  <c r="AG115" i="29"/>
  <c r="AF79" i="29"/>
  <c r="AC112" i="29"/>
  <c r="W110" i="29"/>
  <c r="Y114" i="29"/>
  <c r="U113" i="29"/>
  <c r="AC93" i="29"/>
  <c r="W74" i="29"/>
  <c r="X28" i="29"/>
  <c r="S93" i="29"/>
  <c r="T48" i="29"/>
  <c r="W37" i="29"/>
  <c r="AB54" i="29"/>
  <c r="V54" i="29"/>
  <c r="AC122" i="29"/>
  <c r="AF57" i="29"/>
  <c r="AA72" i="29"/>
  <c r="AH20" i="29"/>
  <c r="AA39" i="29"/>
  <c r="AG122" i="29"/>
  <c r="U72" i="29"/>
  <c r="AF124" i="29"/>
  <c r="AA79" i="29"/>
  <c r="W127" i="29"/>
  <c r="T33" i="29"/>
  <c r="U76" i="29"/>
  <c r="Z109" i="29"/>
  <c r="AB98" i="29"/>
  <c r="Z66" i="29"/>
  <c r="AC96" i="29"/>
  <c r="U121" i="29"/>
  <c r="AC28" i="29"/>
  <c r="AE106" i="29"/>
  <c r="Z18" i="29"/>
  <c r="AC97" i="29"/>
  <c r="AB88" i="29"/>
  <c r="AF44" i="29"/>
  <c r="AH74" i="29"/>
  <c r="AC91" i="29"/>
  <c r="U82" i="29"/>
  <c r="T91" i="29"/>
  <c r="AH79" i="29"/>
  <c r="T31" i="29"/>
  <c r="Y45" i="29"/>
  <c r="V94" i="29"/>
  <c r="AB103" i="29"/>
  <c r="X126" i="29"/>
  <c r="Y59" i="29"/>
  <c r="AC128" i="29"/>
  <c r="AB81" i="29"/>
  <c r="AF105" i="29"/>
  <c r="AH85" i="29"/>
  <c r="V86" i="21"/>
  <c r="Y118" i="21"/>
  <c r="Y35" i="21"/>
  <c r="U76" i="21"/>
  <c r="W119" i="21"/>
  <c r="S17" i="21"/>
  <c r="W91" i="21"/>
  <c r="V54" i="21"/>
  <c r="AH81" i="21"/>
  <c r="AG55" i="21"/>
  <c r="T103" i="21"/>
  <c r="X99" i="21"/>
  <c r="S82" i="21"/>
  <c r="V15" i="21"/>
  <c r="AF109" i="21"/>
  <c r="U107" i="21"/>
  <c r="V96" i="21"/>
  <c r="AG121" i="21"/>
  <c r="S84" i="21"/>
  <c r="X30" i="21"/>
  <c r="Y100" i="21"/>
  <c r="X63" i="21"/>
  <c r="T34" i="21"/>
  <c r="V107" i="21"/>
  <c r="V126" i="21"/>
  <c r="S60" i="21"/>
  <c r="Y71" i="21"/>
  <c r="W12" i="21"/>
  <c r="X72" i="21"/>
  <c r="S39" i="21"/>
  <c r="W83" i="21"/>
  <c r="AG57" i="21"/>
  <c r="U124" i="21"/>
  <c r="AH56" i="21"/>
  <c r="W118" i="21"/>
  <c r="AF36" i="29"/>
  <c r="T26" i="29"/>
  <c r="S70" i="29"/>
  <c r="Y92" i="29"/>
  <c r="W64" i="29"/>
  <c r="AF23" i="29"/>
  <c r="AF104" i="29"/>
  <c r="AH86" i="29"/>
  <c r="AB112" i="29"/>
  <c r="W109" i="29"/>
  <c r="Y49" i="29"/>
  <c r="S39" i="29"/>
  <c r="X42" i="29"/>
  <c r="AC81" i="29"/>
  <c r="AA80" i="29"/>
  <c r="AB20" i="29"/>
  <c r="Z83" i="29"/>
  <c r="T28" i="29"/>
  <c r="S86" i="29"/>
  <c r="AE88" i="29"/>
  <c r="U26" i="29"/>
  <c r="AA74" i="29"/>
  <c r="S48" i="29"/>
  <c r="AE85" i="29"/>
  <c r="Z70" i="29"/>
  <c r="AG33" i="29"/>
  <c r="AB119" i="29"/>
  <c r="V117" i="29"/>
  <c r="Y54" i="29"/>
  <c r="S69" i="29"/>
  <c r="AB91" i="29"/>
  <c r="X116" i="29"/>
  <c r="V99" i="29"/>
  <c r="AA32" i="29"/>
  <c r="AE15" i="29"/>
  <c r="AE23" i="29"/>
  <c r="Y44" i="29"/>
  <c r="X55" i="29"/>
  <c r="AF19" i="29"/>
  <c r="AB10" i="29"/>
  <c r="AA108" i="29"/>
  <c r="T58" i="29"/>
  <c r="AA67" i="29"/>
  <c r="AG109" i="29"/>
  <c r="Z108" i="29"/>
  <c r="X77" i="29"/>
  <c r="Z85" i="29"/>
  <c r="X102" i="29"/>
  <c r="AA113" i="29"/>
  <c r="U109" i="29"/>
  <c r="AF71" i="29"/>
  <c r="U45" i="29"/>
  <c r="AB89" i="29"/>
  <c r="AE66" i="29"/>
  <c r="T50" i="29"/>
  <c r="X40" i="29"/>
  <c r="AB121" i="29"/>
  <c r="Z110" i="29"/>
  <c r="AF37" i="29"/>
  <c r="T80" i="29"/>
  <c r="AG60" i="29"/>
  <c r="V29" i="29"/>
  <c r="AB94" i="29"/>
  <c r="U116" i="29"/>
  <c r="Y109" i="29"/>
  <c r="V52" i="29"/>
  <c r="AG128" i="29"/>
  <c r="AA55" i="29"/>
  <c r="Z24" i="29"/>
  <c r="AA16" i="29"/>
  <c r="S67" i="29"/>
  <c r="AA85" i="29"/>
  <c r="AE42" i="29"/>
  <c r="U59" i="29"/>
  <c r="AG66" i="29"/>
  <c r="AA69" i="29"/>
  <c r="AH58" i="29"/>
  <c r="AG97" i="29"/>
  <c r="X33" i="29"/>
  <c r="AB25" i="29"/>
  <c r="Y114" i="21"/>
  <c r="AF11" i="21"/>
  <c r="T124" i="21"/>
  <c r="U98" i="21"/>
  <c r="AH29" i="21"/>
  <c r="V63" i="21"/>
  <c r="AH25" i="21"/>
  <c r="Y105" i="21"/>
  <c r="AG30" i="21"/>
  <c r="T109" i="21"/>
  <c r="S108" i="21"/>
  <c r="V47" i="21"/>
  <c r="AF50" i="21"/>
  <c r="Z78" i="29"/>
  <c r="AC12" i="29"/>
  <c r="S114" i="29"/>
  <c r="S24" i="29"/>
  <c r="U65" i="29"/>
  <c r="AG34" i="29"/>
  <c r="U118" i="29"/>
  <c r="Z87" i="29"/>
  <c r="AF125" i="29"/>
  <c r="AE105" i="29"/>
  <c r="W128" i="29"/>
  <c r="Z19" i="29"/>
  <c r="V120" i="29"/>
  <c r="AC64" i="29"/>
  <c r="AC54" i="29"/>
  <c r="S54" i="29"/>
  <c r="V87" i="29"/>
  <c r="AH21" i="29"/>
  <c r="T109" i="29"/>
  <c r="AF92" i="29"/>
  <c r="T27" i="29"/>
  <c r="X73" i="29"/>
  <c r="X64" i="29"/>
  <c r="X47" i="29"/>
  <c r="AF83" i="29"/>
  <c r="AH43" i="29"/>
  <c r="V48" i="29"/>
  <c r="S103" i="21"/>
  <c r="T126" i="21"/>
  <c r="X65" i="21"/>
  <c r="AH64" i="21"/>
  <c r="T25" i="21"/>
  <c r="V112" i="21"/>
  <c r="AF29" i="21"/>
  <c r="AG33" i="21"/>
  <c r="AH49" i="21"/>
  <c r="AE127" i="29"/>
  <c r="V49" i="29"/>
  <c r="AA19" i="29"/>
  <c r="S30" i="29"/>
  <c r="T124" i="29"/>
  <c r="AA98" i="29"/>
  <c r="S53" i="29"/>
  <c r="X91" i="29"/>
  <c r="AA107" i="29"/>
  <c r="X65" i="29"/>
  <c r="T102" i="29"/>
  <c r="S105" i="29"/>
  <c r="X110" i="29"/>
  <c r="Z21" i="29"/>
  <c r="Y64" i="29"/>
  <c r="AE21" i="29"/>
  <c r="AG42" i="29"/>
  <c r="V103" i="29"/>
  <c r="Y69" i="29"/>
  <c r="X54" i="29"/>
  <c r="Z111" i="29"/>
  <c r="V47" i="29"/>
  <c r="AB127" i="29"/>
  <c r="AF112" i="29"/>
  <c r="T85" i="29"/>
  <c r="U89" i="29"/>
  <c r="T97" i="21"/>
  <c r="U102" i="21"/>
  <c r="AF65" i="21"/>
  <c r="AF56" i="21"/>
  <c r="AG37" i="21"/>
  <c r="Y50" i="21"/>
  <c r="AH77" i="21"/>
  <c r="AG119" i="21"/>
  <c r="AG68" i="21"/>
  <c r="Y91" i="29"/>
  <c r="AA21" i="29"/>
  <c r="AF59" i="29"/>
  <c r="AF114" i="29"/>
  <c r="V96" i="29"/>
  <c r="AE65" i="29"/>
  <c r="AG119" i="29"/>
  <c r="S33" i="29"/>
  <c r="U126" i="29"/>
  <c r="V121" i="29"/>
  <c r="AG89" i="29"/>
  <c r="AF90" i="29"/>
  <c r="AC107" i="29"/>
  <c r="X92" i="29"/>
  <c r="U99" i="29"/>
  <c r="AB49" i="29"/>
  <c r="Y38" i="29"/>
  <c r="Z86" i="29"/>
  <c r="AF103" i="29"/>
  <c r="AA54" i="29"/>
  <c r="X89" i="29"/>
  <c r="AH28" i="29"/>
  <c r="Z33" i="29"/>
  <c r="U32" i="29"/>
  <c r="AC40" i="29"/>
  <c r="X123" i="29"/>
  <c r="L30" i="29" l="1"/>
  <c r="Q39" i="29"/>
  <c r="Q44" i="29"/>
  <c r="Q42" i="29"/>
  <c r="Q43" i="29"/>
  <c r="Q38" i="29"/>
  <c r="Q40" i="29"/>
  <c r="Q41" i="29"/>
  <c r="M18" i="29"/>
  <c r="M23" i="29"/>
  <c r="M21" i="29"/>
  <c r="M19" i="29"/>
  <c r="M20" i="29"/>
  <c r="M22" i="29"/>
  <c r="M17" i="29"/>
  <c r="I45" i="29"/>
  <c r="I50" i="29"/>
  <c r="I48" i="29"/>
  <c r="I49" i="29"/>
  <c r="I51" i="29"/>
  <c r="I46" i="29"/>
  <c r="I47" i="29"/>
  <c r="L27" i="29"/>
  <c r="L29" i="29"/>
  <c r="L24" i="29"/>
  <c r="L25" i="29"/>
  <c r="L28" i="29"/>
  <c r="L26" i="29"/>
  <c r="J48" i="29"/>
  <c r="J51" i="29"/>
  <c r="J45" i="29"/>
  <c r="J50" i="29"/>
  <c r="J46" i="29"/>
  <c r="J47" i="29"/>
  <c r="J49" i="29"/>
  <c r="E34" i="29"/>
  <c r="E32" i="29"/>
  <c r="E31" i="29"/>
  <c r="E33" i="29"/>
  <c r="E36" i="29"/>
  <c r="E35" i="29"/>
  <c r="E37" i="29"/>
  <c r="H35" i="29"/>
  <c r="H32" i="29"/>
  <c r="H31" i="29"/>
  <c r="H37" i="29"/>
  <c r="H36" i="29"/>
  <c r="H34" i="29"/>
  <c r="H33" i="29"/>
  <c r="G111" i="29"/>
  <c r="G109" i="29"/>
  <c r="G110" i="29"/>
  <c r="G112" i="29"/>
  <c r="G114" i="29"/>
  <c r="G108" i="29"/>
  <c r="G113" i="29"/>
  <c r="D85" i="29"/>
  <c r="D83" i="29"/>
  <c r="D86" i="29"/>
  <c r="D82" i="29"/>
  <c r="D84" i="29"/>
  <c r="D81" i="29"/>
  <c r="D80" i="29"/>
  <c r="K55" i="29"/>
  <c r="K52" i="29"/>
  <c r="K58" i="29"/>
  <c r="K57" i="29"/>
  <c r="K54" i="29"/>
  <c r="K56" i="29"/>
  <c r="K53" i="29"/>
  <c r="O17" i="29"/>
  <c r="O23" i="29"/>
  <c r="O20" i="29"/>
  <c r="O22" i="29"/>
  <c r="O19" i="29"/>
  <c r="O21" i="29"/>
  <c r="O18" i="29"/>
  <c r="L16" i="29"/>
  <c r="L12" i="29"/>
  <c r="L13" i="29"/>
  <c r="L15" i="29"/>
  <c r="L14" i="29"/>
  <c r="L10" i="29"/>
  <c r="L11" i="29"/>
  <c r="G36" i="29"/>
  <c r="G31" i="29"/>
  <c r="G33" i="29"/>
  <c r="G32" i="29"/>
  <c r="G34" i="29"/>
  <c r="G37" i="29"/>
  <c r="G35" i="29"/>
  <c r="Q58" i="29"/>
  <c r="Q53" i="29"/>
  <c r="Q54" i="29"/>
  <c r="Q52" i="29"/>
  <c r="Q57" i="29"/>
  <c r="Q55" i="29"/>
  <c r="Q56" i="29"/>
  <c r="C85" i="29"/>
  <c r="C81" i="29"/>
  <c r="C82" i="29"/>
  <c r="C86" i="29"/>
  <c r="C83" i="29"/>
  <c r="C80" i="29"/>
  <c r="C84" i="29"/>
  <c r="D91" i="29"/>
  <c r="D88" i="29"/>
  <c r="D87" i="29"/>
  <c r="D89" i="29"/>
  <c r="D90" i="29"/>
  <c r="D92" i="29"/>
  <c r="D93" i="29"/>
  <c r="I81" i="29"/>
  <c r="I86" i="29"/>
  <c r="I84" i="29"/>
  <c r="I82" i="29"/>
  <c r="I83" i="29"/>
  <c r="I85" i="29"/>
  <c r="I80" i="29"/>
  <c r="I32" i="29"/>
  <c r="I31" i="29"/>
  <c r="I35" i="29"/>
  <c r="I33" i="29"/>
  <c r="I36" i="29"/>
  <c r="I34" i="29"/>
  <c r="I37" i="29"/>
  <c r="M24" i="29"/>
  <c r="M25" i="29"/>
  <c r="M30" i="29"/>
  <c r="M28" i="29"/>
  <c r="M26" i="29"/>
  <c r="M29" i="29"/>
  <c r="M27" i="29"/>
  <c r="K72" i="29"/>
  <c r="K69" i="29"/>
  <c r="K66" i="29"/>
  <c r="K70" i="29"/>
  <c r="K71" i="29"/>
  <c r="K67" i="29"/>
  <c r="K68" i="29"/>
  <c r="L92" i="29"/>
  <c r="L93" i="29"/>
  <c r="L90" i="29"/>
  <c r="L91" i="29"/>
  <c r="L87" i="29"/>
  <c r="L89" i="29"/>
  <c r="L88" i="29"/>
  <c r="P50" i="29"/>
  <c r="P45" i="29"/>
  <c r="P48" i="29"/>
  <c r="P51" i="29"/>
  <c r="P49" i="29"/>
  <c r="P46" i="29"/>
  <c r="P47" i="29"/>
  <c r="K109" i="29"/>
  <c r="K111" i="29"/>
  <c r="K108" i="29"/>
  <c r="K114" i="29"/>
  <c r="K112" i="29"/>
  <c r="K110" i="29"/>
  <c r="K113" i="29"/>
  <c r="L56" i="29"/>
  <c r="L57" i="29"/>
  <c r="L55" i="29"/>
  <c r="L53" i="29"/>
  <c r="L58" i="29"/>
  <c r="L52" i="29"/>
  <c r="L54" i="29"/>
  <c r="Q32" i="29"/>
  <c r="Q37" i="29"/>
  <c r="Q31" i="29"/>
  <c r="Q35" i="29"/>
  <c r="Q33" i="29"/>
  <c r="Q36" i="29"/>
  <c r="Q34" i="29"/>
  <c r="E39" i="29"/>
  <c r="E43" i="29"/>
  <c r="E44" i="29"/>
  <c r="E42" i="29"/>
  <c r="E40" i="29"/>
  <c r="E41" i="29"/>
  <c r="E38" i="29"/>
  <c r="O60" i="29"/>
  <c r="O61" i="29"/>
  <c r="O63" i="29"/>
  <c r="O59" i="29"/>
  <c r="O62" i="29"/>
  <c r="O64" i="29"/>
  <c r="O65" i="29"/>
  <c r="H114" i="29"/>
  <c r="H108" i="29"/>
  <c r="H113" i="29"/>
  <c r="H111" i="29"/>
  <c r="H109" i="29"/>
  <c r="H110" i="29"/>
  <c r="H112" i="29"/>
  <c r="J31" i="29"/>
  <c r="J36" i="29"/>
  <c r="J34" i="29"/>
  <c r="J35" i="29"/>
  <c r="J37" i="29"/>
  <c r="J32" i="29"/>
  <c r="J33" i="29"/>
  <c r="J25" i="29"/>
  <c r="J26" i="29"/>
  <c r="J24" i="29"/>
  <c r="J29" i="29"/>
  <c r="J27" i="29"/>
  <c r="J28" i="29"/>
  <c r="J30" i="29"/>
  <c r="M82" i="29"/>
  <c r="M81" i="29"/>
  <c r="M83" i="29"/>
  <c r="M84" i="29"/>
  <c r="M80" i="29"/>
  <c r="M86" i="29"/>
  <c r="M85" i="29"/>
  <c r="F64" i="29"/>
  <c r="F59" i="29"/>
  <c r="F63" i="29"/>
  <c r="F65" i="29"/>
  <c r="F61" i="29"/>
  <c r="F60" i="29"/>
  <c r="F62" i="29"/>
  <c r="Q50" i="29"/>
  <c r="Q48" i="29"/>
  <c r="Q47" i="29"/>
  <c r="Q45" i="29"/>
  <c r="Q46" i="29"/>
  <c r="Q51" i="29"/>
  <c r="Q49" i="29"/>
  <c r="P115" i="29"/>
  <c r="P117" i="29"/>
  <c r="P119" i="29"/>
  <c r="P120" i="29"/>
  <c r="P118" i="29"/>
  <c r="P116" i="29"/>
  <c r="P121" i="29"/>
  <c r="E84" i="29"/>
  <c r="E81" i="29"/>
  <c r="E82" i="29"/>
  <c r="E86" i="29"/>
  <c r="E83" i="29"/>
  <c r="E85" i="29"/>
  <c r="E80" i="29"/>
  <c r="H93" i="29"/>
  <c r="H87" i="29"/>
  <c r="H89" i="29"/>
  <c r="H91" i="29"/>
  <c r="H92" i="29"/>
  <c r="H90" i="29"/>
  <c r="H88" i="29"/>
  <c r="K34" i="29"/>
  <c r="K31" i="29"/>
  <c r="K32" i="29"/>
  <c r="K37" i="29"/>
  <c r="K35" i="29"/>
  <c r="K33" i="29"/>
  <c r="K36" i="29"/>
  <c r="F30" i="29"/>
  <c r="F25" i="29"/>
  <c r="F27" i="29"/>
  <c r="F28" i="29"/>
  <c r="F26" i="29"/>
  <c r="F24" i="29"/>
  <c r="F29" i="29"/>
  <c r="P53" i="29"/>
  <c r="P54" i="29"/>
  <c r="P58" i="29"/>
  <c r="P55" i="29"/>
  <c r="P57" i="29"/>
  <c r="P52" i="29"/>
  <c r="P56" i="29"/>
  <c r="M42" i="29"/>
  <c r="M39" i="29"/>
  <c r="M40" i="29"/>
  <c r="M44" i="29"/>
  <c r="M41" i="29"/>
  <c r="M43" i="29"/>
  <c r="M38" i="29"/>
  <c r="O26" i="29"/>
  <c r="O28" i="29"/>
  <c r="O29" i="29"/>
  <c r="O27" i="29"/>
  <c r="O24" i="29"/>
  <c r="O25" i="29"/>
  <c r="O30" i="29"/>
  <c r="O42" i="29"/>
  <c r="O41" i="29"/>
  <c r="O38" i="29"/>
  <c r="O43" i="29"/>
  <c r="O39" i="29"/>
  <c r="O40" i="29"/>
  <c r="O44" i="29"/>
  <c r="J65" i="29"/>
  <c r="J62" i="29"/>
  <c r="J60" i="29"/>
  <c r="J59" i="29"/>
  <c r="J64" i="29"/>
  <c r="J63" i="29"/>
  <c r="J61" i="29"/>
  <c r="O31" i="29"/>
  <c r="O37" i="29"/>
  <c r="O36" i="29"/>
  <c r="O34" i="29"/>
  <c r="O33" i="29"/>
  <c r="O35" i="29"/>
  <c r="O32" i="29"/>
  <c r="H40" i="29"/>
  <c r="H38" i="29"/>
  <c r="H43" i="29"/>
  <c r="H44" i="29"/>
  <c r="H39" i="29"/>
  <c r="H41" i="29"/>
  <c r="H42" i="29"/>
  <c r="J73" i="29"/>
  <c r="J77" i="29"/>
  <c r="J76" i="29"/>
  <c r="J74" i="29"/>
  <c r="J79" i="29"/>
  <c r="J75" i="29"/>
  <c r="J78" i="29"/>
  <c r="H54" i="29"/>
  <c r="H55" i="29"/>
  <c r="H56" i="29"/>
  <c r="H52" i="29"/>
  <c r="H58" i="29"/>
  <c r="H57" i="29"/>
  <c r="H53" i="29"/>
  <c r="C40" i="29"/>
  <c r="C41" i="29"/>
  <c r="C39" i="29"/>
  <c r="C44" i="29"/>
  <c r="C42" i="29"/>
  <c r="C43" i="29"/>
  <c r="C38" i="29"/>
  <c r="P80" i="29"/>
  <c r="P82" i="29"/>
  <c r="P85" i="29"/>
  <c r="P81" i="29"/>
  <c r="P84" i="29"/>
  <c r="P83" i="29"/>
  <c r="P86" i="29"/>
  <c r="C50" i="29"/>
  <c r="C47" i="29"/>
  <c r="C49" i="29"/>
  <c r="C46" i="29"/>
  <c r="C45" i="29"/>
  <c r="C51" i="29"/>
  <c r="C48" i="29"/>
  <c r="K79" i="29"/>
  <c r="K73" i="29"/>
  <c r="K75" i="29"/>
  <c r="K74" i="29"/>
  <c r="K76" i="29"/>
  <c r="K78" i="29"/>
  <c r="K77" i="29"/>
  <c r="I111" i="29"/>
  <c r="I109" i="29"/>
  <c r="I114" i="29"/>
  <c r="I112" i="29"/>
  <c r="I113" i="29"/>
  <c r="I108" i="29"/>
  <c r="I110" i="29"/>
  <c r="N12" i="29"/>
  <c r="N14" i="29"/>
  <c r="N15" i="29"/>
  <c r="N13" i="29"/>
  <c r="N11" i="29"/>
  <c r="N16" i="29"/>
  <c r="N10" i="29"/>
  <c r="Q69" i="29"/>
  <c r="Q71" i="29"/>
  <c r="Q68" i="29"/>
  <c r="Q66" i="29"/>
  <c r="Q72" i="29"/>
  <c r="Q70" i="29"/>
  <c r="Q67" i="29"/>
  <c r="I41" i="29"/>
  <c r="I39" i="29"/>
  <c r="I40" i="29"/>
  <c r="I42" i="29"/>
  <c r="I44" i="29"/>
  <c r="I38" i="29"/>
  <c r="I43" i="29"/>
  <c r="Q82" i="29"/>
  <c r="Q83" i="29"/>
  <c r="Q86" i="29"/>
  <c r="Q80" i="29"/>
  <c r="Q85" i="29"/>
  <c r="Q84" i="29"/>
  <c r="Q81" i="29"/>
  <c r="Q29" i="29"/>
  <c r="Q27" i="29"/>
  <c r="Q30" i="29"/>
  <c r="Q28" i="29"/>
  <c r="Q26" i="29"/>
  <c r="Q25" i="29"/>
  <c r="Q24" i="29"/>
  <c r="P62" i="29"/>
  <c r="P59" i="29"/>
  <c r="P65" i="29"/>
  <c r="P64" i="29"/>
  <c r="P60" i="29"/>
  <c r="P61" i="29"/>
  <c r="P63" i="29"/>
  <c r="L50" i="29"/>
  <c r="L49" i="29"/>
  <c r="L48" i="29"/>
  <c r="L51" i="29"/>
  <c r="L46" i="29"/>
  <c r="L45" i="29"/>
  <c r="L47" i="29"/>
  <c r="D54" i="29"/>
  <c r="D55" i="29"/>
  <c r="D57" i="29"/>
  <c r="D52" i="29"/>
  <c r="D53" i="29"/>
  <c r="D58" i="29"/>
  <c r="D56" i="29"/>
  <c r="N117" i="29"/>
  <c r="N118" i="29"/>
  <c r="N116" i="29"/>
  <c r="N121" i="29"/>
  <c r="N119" i="29"/>
  <c r="N120" i="29"/>
  <c r="N115" i="29"/>
  <c r="N50" i="29"/>
  <c r="N48" i="29"/>
  <c r="N49" i="29"/>
  <c r="N51" i="29"/>
  <c r="N45" i="29"/>
  <c r="N47" i="29"/>
  <c r="N46" i="29"/>
  <c r="D40" i="29"/>
  <c r="D39" i="29"/>
  <c r="D44" i="29"/>
  <c r="D41" i="29"/>
  <c r="D43" i="29"/>
  <c r="D38" i="29"/>
  <c r="D42" i="29"/>
  <c r="D36" i="29"/>
  <c r="D34" i="29"/>
  <c r="D31" i="29"/>
  <c r="D37" i="29"/>
  <c r="D35" i="29"/>
  <c r="D33" i="29"/>
  <c r="D32" i="29"/>
  <c r="G55" i="29"/>
  <c r="G52" i="29"/>
  <c r="G56" i="29"/>
  <c r="G57" i="29"/>
  <c r="G53" i="29"/>
  <c r="G54" i="29"/>
  <c r="G58" i="29"/>
  <c r="M60" i="29"/>
  <c r="M62" i="29"/>
  <c r="M65" i="29"/>
  <c r="M59" i="29"/>
  <c r="M61" i="29"/>
  <c r="M63" i="29"/>
  <c r="M64" i="29"/>
  <c r="I67" i="29"/>
  <c r="I70" i="29"/>
  <c r="I69" i="29"/>
  <c r="I72" i="29"/>
  <c r="I71" i="29"/>
  <c r="I68" i="29"/>
  <c r="I66" i="29"/>
  <c r="M96" i="29"/>
  <c r="M98" i="29"/>
  <c r="M99" i="29"/>
  <c r="M97" i="29"/>
  <c r="M95" i="29"/>
  <c r="M100" i="29"/>
  <c r="M94" i="29"/>
  <c r="N21" i="29"/>
  <c r="N20" i="29"/>
  <c r="N18" i="29"/>
  <c r="N19" i="29"/>
  <c r="N17" i="29"/>
  <c r="N23" i="29"/>
  <c r="N22" i="29"/>
  <c r="F33" i="29"/>
  <c r="F31" i="29"/>
  <c r="F36" i="29"/>
  <c r="F37" i="29"/>
  <c r="F32" i="29"/>
  <c r="F34" i="29"/>
  <c r="F35" i="29"/>
  <c r="D77" i="29"/>
  <c r="D78" i="29"/>
  <c r="D76" i="29"/>
  <c r="D74" i="29"/>
  <c r="D73" i="29"/>
  <c r="D75" i="29"/>
  <c r="D79" i="29"/>
  <c r="K23" i="29"/>
  <c r="K17" i="29"/>
  <c r="K21" i="29"/>
  <c r="K18" i="29"/>
  <c r="K19" i="29"/>
  <c r="K22" i="29"/>
  <c r="K20" i="29"/>
  <c r="N52" i="29"/>
  <c r="N54" i="29"/>
  <c r="N56" i="29"/>
  <c r="N55" i="29"/>
  <c r="N57" i="29"/>
  <c r="N53" i="29"/>
  <c r="N58" i="29"/>
  <c r="E24" i="29"/>
  <c r="E29" i="29"/>
  <c r="E30" i="29"/>
  <c r="E25" i="29"/>
  <c r="E28" i="29"/>
  <c r="E27" i="29"/>
  <c r="E26" i="29"/>
  <c r="N34" i="29"/>
  <c r="N31" i="29"/>
  <c r="N37" i="29"/>
  <c r="N32" i="29"/>
  <c r="N36" i="29"/>
  <c r="N35" i="29"/>
  <c r="N33" i="29"/>
  <c r="N40" i="29"/>
  <c r="N39" i="29"/>
  <c r="N43" i="29"/>
  <c r="N44" i="29"/>
  <c r="N41" i="29"/>
  <c r="N38" i="29"/>
  <c r="N42" i="29"/>
  <c r="G45" i="29"/>
  <c r="G51" i="29"/>
  <c r="G46" i="29"/>
  <c r="G50" i="29"/>
  <c r="G47" i="29"/>
  <c r="G49" i="29"/>
  <c r="G48" i="29"/>
  <c r="H51" i="29"/>
  <c r="H50" i="29"/>
  <c r="H45" i="29"/>
  <c r="H48" i="29"/>
  <c r="H46" i="29"/>
  <c r="H47" i="29"/>
  <c r="H49" i="29"/>
  <c r="L38" i="29"/>
  <c r="L43" i="29"/>
  <c r="L41" i="29"/>
  <c r="L40" i="29"/>
  <c r="L39" i="29"/>
  <c r="L44" i="29"/>
  <c r="L42" i="29"/>
  <c r="F110" i="29"/>
  <c r="F112" i="29"/>
  <c r="F114" i="29"/>
  <c r="F113" i="29"/>
  <c r="F109" i="29"/>
  <c r="F108" i="29"/>
  <c r="F111" i="29"/>
  <c r="G30" i="29"/>
  <c r="G27" i="29"/>
  <c r="G26" i="29"/>
  <c r="G24" i="29"/>
  <c r="G29" i="29"/>
  <c r="G25" i="29"/>
  <c r="G28" i="29"/>
  <c r="M112" i="29"/>
  <c r="M110" i="29"/>
  <c r="M108" i="29"/>
  <c r="M113" i="29"/>
  <c r="M111" i="29"/>
  <c r="M109" i="29"/>
  <c r="M114" i="29"/>
  <c r="L80" i="29"/>
  <c r="L82" i="29"/>
  <c r="L83" i="29"/>
  <c r="L81" i="29"/>
  <c r="L86" i="29"/>
  <c r="L84" i="29"/>
  <c r="L85" i="29"/>
  <c r="J18" i="29"/>
  <c r="J22" i="29"/>
  <c r="J20" i="29"/>
  <c r="J17" i="29"/>
  <c r="J23" i="29"/>
  <c r="J21" i="29"/>
  <c r="J19" i="29"/>
  <c r="O52" i="29"/>
  <c r="O56" i="29"/>
  <c r="O58" i="29"/>
  <c r="O57" i="29"/>
  <c r="O54" i="29"/>
  <c r="O55" i="29"/>
  <c r="O53" i="29"/>
  <c r="G81" i="29"/>
  <c r="G83" i="29"/>
  <c r="G80" i="29"/>
  <c r="G85" i="29"/>
  <c r="G84" i="29"/>
  <c r="G86" i="29"/>
  <c r="G82" i="29"/>
  <c r="N70" i="29"/>
  <c r="N68" i="29"/>
  <c r="N66" i="29"/>
  <c r="N69" i="29"/>
  <c r="N67" i="29"/>
  <c r="N71" i="29"/>
  <c r="N72" i="29"/>
  <c r="K11" i="29"/>
  <c r="K13" i="29"/>
  <c r="K10" i="29"/>
  <c r="K16" i="29"/>
  <c r="K15" i="29"/>
  <c r="K12" i="29"/>
  <c r="K14" i="29"/>
  <c r="L117" i="29"/>
  <c r="L119" i="29"/>
  <c r="L120" i="29"/>
  <c r="L118" i="29"/>
  <c r="L116" i="29"/>
  <c r="L121" i="29"/>
  <c r="L115" i="29"/>
  <c r="E90" i="29"/>
  <c r="E87" i="29"/>
  <c r="E93" i="29"/>
  <c r="E89" i="29"/>
  <c r="E92" i="29"/>
  <c r="E91" i="29"/>
  <c r="E88" i="29"/>
  <c r="C126" i="29"/>
  <c r="C122" i="29"/>
  <c r="C128" i="29"/>
  <c r="C127" i="29"/>
  <c r="C125" i="29"/>
  <c r="C123" i="29"/>
  <c r="C124" i="29"/>
  <c r="G124" i="29"/>
  <c r="G126" i="29"/>
  <c r="G127" i="29"/>
  <c r="G125" i="29"/>
  <c r="G123" i="29"/>
  <c r="G128" i="29"/>
  <c r="G122" i="29"/>
  <c r="L19" i="21"/>
  <c r="L20" i="21"/>
  <c r="L24" i="21"/>
  <c r="L21" i="21"/>
  <c r="L22" i="21"/>
  <c r="L18" i="21"/>
  <c r="L23" i="21"/>
  <c r="J14" i="29"/>
  <c r="J10" i="29"/>
  <c r="J15" i="29"/>
  <c r="J12" i="29"/>
  <c r="J13" i="29"/>
  <c r="J11" i="29"/>
  <c r="J16" i="29"/>
  <c r="N78" i="29"/>
  <c r="N73" i="29"/>
  <c r="N75" i="29"/>
  <c r="N76" i="29"/>
  <c r="N74" i="29"/>
  <c r="N79" i="29"/>
  <c r="N77" i="29"/>
  <c r="J108" i="29"/>
  <c r="J114" i="29"/>
  <c r="J109" i="29"/>
  <c r="J110" i="29"/>
  <c r="J113" i="29"/>
  <c r="J112" i="29"/>
  <c r="J111" i="29"/>
  <c r="H75" i="29"/>
  <c r="H74" i="29"/>
  <c r="H76" i="29"/>
  <c r="H77" i="29"/>
  <c r="H78" i="29"/>
  <c r="H73" i="29"/>
  <c r="H79" i="29"/>
  <c r="Q95" i="29"/>
  <c r="Q97" i="29"/>
  <c r="Q94" i="29"/>
  <c r="Q99" i="29"/>
  <c r="Q98" i="29"/>
  <c r="Q100" i="29"/>
  <c r="Q96" i="29"/>
  <c r="F101" i="29"/>
  <c r="F103" i="29"/>
  <c r="F105" i="29"/>
  <c r="F106" i="29"/>
  <c r="F102" i="29"/>
  <c r="F104" i="29"/>
  <c r="F107" i="29"/>
  <c r="C29" i="29"/>
  <c r="C26" i="29"/>
  <c r="C30" i="29"/>
  <c r="C24" i="29"/>
  <c r="C27" i="29"/>
  <c r="C28" i="29"/>
  <c r="C25" i="29"/>
  <c r="E55" i="29"/>
  <c r="E54" i="29"/>
  <c r="E58" i="29"/>
  <c r="E53" i="29"/>
  <c r="E56" i="29"/>
  <c r="E57" i="29"/>
  <c r="E52" i="29"/>
  <c r="D60" i="29"/>
  <c r="D59" i="29"/>
  <c r="D62" i="29"/>
  <c r="D65" i="29"/>
  <c r="D61" i="29"/>
  <c r="D64" i="29"/>
  <c r="D63" i="29"/>
  <c r="I29" i="29"/>
  <c r="I27" i="29"/>
  <c r="I25" i="29"/>
  <c r="I28" i="29"/>
  <c r="I24" i="29"/>
  <c r="I30" i="29"/>
  <c r="I26" i="29"/>
  <c r="M45" i="29"/>
  <c r="M49" i="29"/>
  <c r="M51" i="29"/>
  <c r="M47" i="29"/>
  <c r="M48" i="29"/>
  <c r="M50" i="29"/>
  <c r="M46" i="29"/>
  <c r="K38" i="29"/>
  <c r="K44" i="29"/>
  <c r="K41" i="29"/>
  <c r="K43" i="29"/>
  <c r="K40" i="29"/>
  <c r="K42" i="29"/>
  <c r="K39" i="29"/>
  <c r="O81" i="29"/>
  <c r="O86" i="29"/>
  <c r="O84" i="29"/>
  <c r="O82" i="29"/>
  <c r="O83" i="29"/>
  <c r="O80" i="29"/>
  <c r="O85" i="29"/>
  <c r="K105" i="29"/>
  <c r="K107" i="29"/>
  <c r="K101" i="29"/>
  <c r="K106" i="29"/>
  <c r="K102" i="29"/>
  <c r="K104" i="29"/>
  <c r="K103" i="29"/>
  <c r="M16" i="29"/>
  <c r="M11" i="29"/>
  <c r="M12" i="29"/>
  <c r="M10" i="29"/>
  <c r="M13" i="29"/>
  <c r="M15" i="29"/>
  <c r="M14" i="29"/>
  <c r="L22" i="29"/>
  <c r="L20" i="29"/>
  <c r="L21" i="29"/>
  <c r="L23" i="29"/>
  <c r="L19" i="29"/>
  <c r="L17" i="29"/>
  <c r="L18" i="29"/>
  <c r="C106" i="29"/>
  <c r="C107" i="29"/>
  <c r="C105" i="29"/>
  <c r="C103" i="29"/>
  <c r="C102" i="29"/>
  <c r="C101" i="29"/>
  <c r="C104" i="29"/>
  <c r="F72" i="29"/>
  <c r="F66" i="29"/>
  <c r="F71" i="29"/>
  <c r="F67" i="29"/>
  <c r="F70" i="29"/>
  <c r="F69" i="29"/>
  <c r="F68" i="29"/>
  <c r="M101" i="29"/>
  <c r="M106" i="29"/>
  <c r="M107" i="29"/>
  <c r="M102" i="29"/>
  <c r="M105" i="29"/>
  <c r="M104" i="29"/>
  <c r="M103" i="29"/>
  <c r="O107" i="29"/>
  <c r="O104" i="29"/>
  <c r="O106" i="29"/>
  <c r="O103" i="29"/>
  <c r="O105" i="29"/>
  <c r="O101" i="29"/>
  <c r="O102" i="29"/>
  <c r="O81" i="21"/>
  <c r="O84" i="21"/>
  <c r="O82" i="21"/>
  <c r="O87" i="21"/>
  <c r="O86" i="21"/>
  <c r="O83" i="21"/>
  <c r="O85" i="21"/>
  <c r="D83" i="21"/>
  <c r="D82" i="21"/>
  <c r="D86" i="21"/>
  <c r="D81" i="21"/>
  <c r="D85" i="21"/>
  <c r="D87" i="21"/>
  <c r="D84" i="21"/>
  <c r="P118" i="21"/>
  <c r="P119" i="21"/>
  <c r="P121" i="21"/>
  <c r="P117" i="21"/>
  <c r="P122" i="21"/>
  <c r="P116" i="21"/>
  <c r="P120" i="21"/>
  <c r="E67" i="21"/>
  <c r="E72" i="21"/>
  <c r="E70" i="21"/>
  <c r="E68" i="21"/>
  <c r="E73" i="21"/>
  <c r="E71" i="21"/>
  <c r="E69" i="21"/>
  <c r="P23" i="29"/>
  <c r="P20" i="29"/>
  <c r="P22" i="29"/>
  <c r="P21" i="29"/>
  <c r="P19" i="29"/>
  <c r="P18" i="29"/>
  <c r="P17" i="29"/>
  <c r="L78" i="29"/>
  <c r="L79" i="29"/>
  <c r="L73" i="29"/>
  <c r="L77" i="29"/>
  <c r="L75" i="29"/>
  <c r="L76" i="29"/>
  <c r="L74" i="29"/>
  <c r="P68" i="29"/>
  <c r="P71" i="29"/>
  <c r="P67" i="29"/>
  <c r="P70" i="29"/>
  <c r="P66" i="29"/>
  <c r="P72" i="29"/>
  <c r="P69" i="29"/>
  <c r="K121" i="29"/>
  <c r="K115" i="29"/>
  <c r="K117" i="29"/>
  <c r="K119" i="29"/>
  <c r="K120" i="29"/>
  <c r="K118" i="29"/>
  <c r="K116" i="29"/>
  <c r="F82" i="29"/>
  <c r="F80" i="29"/>
  <c r="F85" i="29"/>
  <c r="F86" i="29"/>
  <c r="F81" i="29"/>
  <c r="F83" i="29"/>
  <c r="F84" i="29"/>
  <c r="P79" i="29"/>
  <c r="P78" i="29"/>
  <c r="P75" i="29"/>
  <c r="P77" i="29"/>
  <c r="P74" i="29"/>
  <c r="P76" i="29"/>
  <c r="P73" i="29"/>
  <c r="D72" i="29"/>
  <c r="D66" i="29"/>
  <c r="D68" i="29"/>
  <c r="D70" i="29"/>
  <c r="D71" i="29"/>
  <c r="D69" i="29"/>
  <c r="D67" i="29"/>
  <c r="F125" i="29"/>
  <c r="F123" i="29"/>
  <c r="F128" i="29"/>
  <c r="F126" i="29"/>
  <c r="F124" i="29"/>
  <c r="F122" i="29"/>
  <c r="F127" i="29"/>
  <c r="L78" i="21"/>
  <c r="L75" i="21"/>
  <c r="L74" i="21"/>
  <c r="L79" i="21"/>
  <c r="L76" i="21"/>
  <c r="L77" i="21"/>
  <c r="L80" i="21"/>
  <c r="O50" i="21"/>
  <c r="O48" i="21"/>
  <c r="O52" i="21"/>
  <c r="O46" i="21"/>
  <c r="O47" i="21"/>
  <c r="O51" i="21"/>
  <c r="O49" i="21"/>
  <c r="P29" i="29"/>
  <c r="P26" i="29"/>
  <c r="P28" i="29"/>
  <c r="P27" i="29"/>
  <c r="P25" i="29"/>
  <c r="P30" i="29"/>
  <c r="P24" i="29"/>
  <c r="O74" i="29"/>
  <c r="O79" i="29"/>
  <c r="O73" i="29"/>
  <c r="O78" i="29"/>
  <c r="O76" i="29"/>
  <c r="O75" i="29"/>
  <c r="O77" i="29"/>
  <c r="K63" i="29"/>
  <c r="K62" i="29"/>
  <c r="K64" i="29"/>
  <c r="K61" i="29"/>
  <c r="K60" i="29"/>
  <c r="K59" i="29"/>
  <c r="K65" i="29"/>
  <c r="N88" i="29"/>
  <c r="N87" i="29"/>
  <c r="N93" i="29"/>
  <c r="N90" i="29"/>
  <c r="N92" i="29"/>
  <c r="N89" i="29"/>
  <c r="N91" i="29"/>
  <c r="M76" i="29"/>
  <c r="M74" i="29"/>
  <c r="M75" i="29"/>
  <c r="M77" i="29"/>
  <c r="M79" i="29"/>
  <c r="M73" i="29"/>
  <c r="M78" i="29"/>
  <c r="L114" i="29"/>
  <c r="L112" i="29"/>
  <c r="L110" i="29"/>
  <c r="L111" i="29"/>
  <c r="L113" i="29"/>
  <c r="L108" i="29"/>
  <c r="L109" i="29"/>
  <c r="Q76" i="29"/>
  <c r="Q78" i="29"/>
  <c r="Q73" i="29"/>
  <c r="Q74" i="29"/>
  <c r="Q79" i="29"/>
  <c r="Q77" i="29"/>
  <c r="Q75" i="29"/>
  <c r="G38" i="29"/>
  <c r="G41" i="29"/>
  <c r="G44" i="29"/>
  <c r="G40" i="29"/>
  <c r="G43" i="29"/>
  <c r="G39" i="29"/>
  <c r="G42" i="29"/>
  <c r="F39" i="29"/>
  <c r="F40" i="29"/>
  <c r="F38" i="29"/>
  <c r="F43" i="29"/>
  <c r="F41" i="29"/>
  <c r="F44" i="29"/>
  <c r="F42" i="29"/>
  <c r="C67" i="29"/>
  <c r="C69" i="29"/>
  <c r="C71" i="29"/>
  <c r="C66" i="29"/>
  <c r="C68" i="29"/>
  <c r="C70" i="29"/>
  <c r="C72" i="29"/>
  <c r="H64" i="29"/>
  <c r="H61" i="29"/>
  <c r="H63" i="29"/>
  <c r="H62" i="29"/>
  <c r="H59" i="29"/>
  <c r="H65" i="29"/>
  <c r="H60" i="29"/>
  <c r="Q116" i="29"/>
  <c r="Q121" i="29"/>
  <c r="Q119" i="29"/>
  <c r="Q117" i="29"/>
  <c r="Q118" i="29"/>
  <c r="Q120" i="29"/>
  <c r="Q115" i="29"/>
  <c r="I74" i="29"/>
  <c r="I75" i="29"/>
  <c r="I73" i="29"/>
  <c r="I78" i="29"/>
  <c r="I76" i="29"/>
  <c r="I77" i="29"/>
  <c r="I79" i="29"/>
  <c r="H66" i="29"/>
  <c r="H68" i="29"/>
  <c r="H69" i="29"/>
  <c r="H67" i="29"/>
  <c r="H72" i="29"/>
  <c r="H70" i="29"/>
  <c r="H71" i="29"/>
  <c r="D99" i="29"/>
  <c r="D94" i="29"/>
  <c r="D95" i="29"/>
  <c r="D100" i="29"/>
  <c r="D98" i="29"/>
  <c r="D96" i="29"/>
  <c r="D97" i="29"/>
  <c r="L96" i="29"/>
  <c r="L99" i="29"/>
  <c r="L95" i="29"/>
  <c r="L100" i="29"/>
  <c r="L94" i="29"/>
  <c r="L98" i="29"/>
  <c r="L97" i="29"/>
  <c r="J30" i="21"/>
  <c r="J26" i="21"/>
  <c r="J29" i="21"/>
  <c r="J25" i="21"/>
  <c r="J28" i="21"/>
  <c r="J27" i="21"/>
  <c r="J31" i="21"/>
  <c r="C77" i="29"/>
  <c r="C73" i="29"/>
  <c r="C74" i="29"/>
  <c r="C79" i="29"/>
  <c r="C78" i="29"/>
  <c r="C75" i="29"/>
  <c r="C76" i="29"/>
  <c r="G70" i="29"/>
  <c r="G68" i="29"/>
  <c r="G66" i="29"/>
  <c r="G67" i="29"/>
  <c r="G71" i="29"/>
  <c r="G69" i="29"/>
  <c r="G72" i="29"/>
  <c r="Q19" i="29"/>
  <c r="Q21" i="29"/>
  <c r="Q20" i="29"/>
  <c r="Q18" i="29"/>
  <c r="Q23" i="29"/>
  <c r="Q17" i="29"/>
  <c r="Q22" i="29"/>
  <c r="N106" i="29"/>
  <c r="N104" i="29"/>
  <c r="N102" i="29"/>
  <c r="N107" i="29"/>
  <c r="N101" i="29"/>
  <c r="N103" i="29"/>
  <c r="N105" i="29"/>
  <c r="J55" i="29"/>
  <c r="J56" i="29"/>
  <c r="J54" i="29"/>
  <c r="J52" i="29"/>
  <c r="J57" i="29"/>
  <c r="J58" i="29"/>
  <c r="J53" i="29"/>
  <c r="M117" i="29"/>
  <c r="M119" i="29"/>
  <c r="M121" i="29"/>
  <c r="M115" i="29"/>
  <c r="M120" i="29"/>
  <c r="M118" i="29"/>
  <c r="M116" i="29"/>
  <c r="L31" i="29"/>
  <c r="L35" i="29"/>
  <c r="L32" i="29"/>
  <c r="L36" i="29"/>
  <c r="L37" i="29"/>
  <c r="L33" i="29"/>
  <c r="L34" i="29"/>
  <c r="J68" i="29"/>
  <c r="J69" i="29"/>
  <c r="J72" i="29"/>
  <c r="J71" i="29"/>
  <c r="J70" i="29"/>
  <c r="J66" i="29"/>
  <c r="J67" i="29"/>
  <c r="O45" i="29"/>
  <c r="O51" i="29"/>
  <c r="O46" i="29"/>
  <c r="O49" i="29"/>
  <c r="O47" i="29"/>
  <c r="O50" i="29"/>
  <c r="O48" i="29"/>
  <c r="K81" i="29"/>
  <c r="K85" i="29"/>
  <c r="K86" i="29"/>
  <c r="K80" i="29"/>
  <c r="K83" i="29"/>
  <c r="K84" i="29"/>
  <c r="K82" i="29"/>
  <c r="O71" i="29"/>
  <c r="O68" i="29"/>
  <c r="O70" i="29"/>
  <c r="O67" i="29"/>
  <c r="O66" i="29"/>
  <c r="O72" i="29"/>
  <c r="O69" i="29"/>
  <c r="J104" i="29"/>
  <c r="J102" i="29"/>
  <c r="J107" i="29"/>
  <c r="J106" i="29"/>
  <c r="J103" i="29"/>
  <c r="J105" i="29"/>
  <c r="J101" i="29"/>
  <c r="D51" i="29"/>
  <c r="D49" i="29"/>
  <c r="D45" i="29"/>
  <c r="D47" i="29"/>
  <c r="D50" i="29"/>
  <c r="D48" i="29"/>
  <c r="D46" i="29"/>
  <c r="I92" i="29"/>
  <c r="I93" i="29"/>
  <c r="I88" i="29"/>
  <c r="I90" i="29"/>
  <c r="I91" i="29"/>
  <c r="I89" i="29"/>
  <c r="I87" i="29"/>
  <c r="H85" i="29"/>
  <c r="H83" i="29"/>
  <c r="H81" i="29"/>
  <c r="H86" i="29"/>
  <c r="H80" i="29"/>
  <c r="H82" i="29"/>
  <c r="H84" i="29"/>
  <c r="L45" i="21"/>
  <c r="L42" i="21"/>
  <c r="L41" i="21"/>
  <c r="L43" i="21"/>
  <c r="L40" i="21"/>
  <c r="L44" i="21"/>
  <c r="L39" i="21"/>
  <c r="M34" i="29"/>
  <c r="M31" i="29"/>
  <c r="M33" i="29"/>
  <c r="M36" i="29"/>
  <c r="M35" i="29"/>
  <c r="M37" i="29"/>
  <c r="M32" i="29"/>
  <c r="F78" i="29"/>
  <c r="F75" i="29"/>
  <c r="F74" i="29"/>
  <c r="F76" i="29"/>
  <c r="F79" i="29"/>
  <c r="F77" i="29"/>
  <c r="F73" i="29"/>
  <c r="J89" i="29"/>
  <c r="J92" i="29"/>
  <c r="J90" i="29"/>
  <c r="J93" i="29"/>
  <c r="J87" i="29"/>
  <c r="J91" i="29"/>
  <c r="J88" i="29"/>
  <c r="C114" i="29"/>
  <c r="C109" i="29"/>
  <c r="C110" i="29"/>
  <c r="C108" i="29"/>
  <c r="C113" i="29"/>
  <c r="C111" i="29"/>
  <c r="C112" i="29"/>
  <c r="I97" i="29"/>
  <c r="I98" i="29"/>
  <c r="I100" i="29"/>
  <c r="I95" i="29"/>
  <c r="I96" i="29"/>
  <c r="I94" i="29"/>
  <c r="I99" i="29"/>
  <c r="N27" i="29"/>
  <c r="N28" i="29"/>
  <c r="N30" i="29"/>
  <c r="N25" i="29"/>
  <c r="N26" i="29"/>
  <c r="N24" i="29"/>
  <c r="N29" i="29"/>
  <c r="D113" i="29"/>
  <c r="D112" i="29"/>
  <c r="D109" i="29"/>
  <c r="D114" i="29"/>
  <c r="D111" i="29"/>
  <c r="D110" i="29"/>
  <c r="D108" i="29"/>
  <c r="E123" i="29"/>
  <c r="E128" i="29"/>
  <c r="E126" i="29"/>
  <c r="E124" i="29"/>
  <c r="E125" i="29"/>
  <c r="E127" i="29"/>
  <c r="E122" i="29"/>
  <c r="E77" i="29"/>
  <c r="E75" i="29"/>
  <c r="E73" i="29"/>
  <c r="E78" i="29"/>
  <c r="E79" i="29"/>
  <c r="E74" i="29"/>
  <c r="E76" i="29"/>
  <c r="O115" i="29"/>
  <c r="O117" i="29"/>
  <c r="O118" i="29"/>
  <c r="O121" i="29"/>
  <c r="O120" i="29"/>
  <c r="O116" i="29"/>
  <c r="O119" i="29"/>
  <c r="O93" i="29"/>
  <c r="O91" i="29"/>
  <c r="O89" i="29"/>
  <c r="O90" i="29"/>
  <c r="O92" i="29"/>
  <c r="O87" i="29"/>
  <c r="O88" i="29"/>
  <c r="K90" i="29"/>
  <c r="K92" i="29"/>
  <c r="K87" i="29"/>
  <c r="K88" i="29"/>
  <c r="K93" i="29"/>
  <c r="K89" i="29"/>
  <c r="K91" i="29"/>
  <c r="G65" i="29"/>
  <c r="G59" i="29"/>
  <c r="G61" i="29"/>
  <c r="G64" i="29"/>
  <c r="G60" i="29"/>
  <c r="G63" i="29"/>
  <c r="G62" i="29"/>
  <c r="Q89" i="29"/>
  <c r="Q91" i="29"/>
  <c r="Q92" i="29"/>
  <c r="Q90" i="29"/>
  <c r="Q93" i="29"/>
  <c r="Q88" i="29"/>
  <c r="Q87" i="29"/>
  <c r="G95" i="29"/>
  <c r="G100" i="29"/>
  <c r="G94" i="29"/>
  <c r="G96" i="29"/>
  <c r="G98" i="29"/>
  <c r="G97" i="29"/>
  <c r="G99" i="29"/>
  <c r="J23" i="21"/>
  <c r="J19" i="21"/>
  <c r="J22" i="21"/>
  <c r="J21" i="21"/>
  <c r="J20" i="21"/>
  <c r="J18" i="21"/>
  <c r="J24" i="21"/>
  <c r="D24" i="29"/>
  <c r="D26" i="29"/>
  <c r="D28" i="29"/>
  <c r="D30" i="29"/>
  <c r="D29" i="29"/>
  <c r="D25" i="29"/>
  <c r="D27" i="29"/>
  <c r="C56" i="29"/>
  <c r="C58" i="29"/>
  <c r="C53" i="29"/>
  <c r="C54" i="29"/>
  <c r="C57" i="29"/>
  <c r="C52" i="29"/>
  <c r="C55" i="29"/>
  <c r="E112" i="29"/>
  <c r="E113" i="29"/>
  <c r="E111" i="29"/>
  <c r="E109" i="29"/>
  <c r="E114" i="29"/>
  <c r="E110" i="29"/>
  <c r="E108" i="29"/>
  <c r="J83" i="29"/>
  <c r="J84" i="29"/>
  <c r="J86" i="29"/>
  <c r="J81" i="29"/>
  <c r="J80" i="29"/>
  <c r="J82" i="29"/>
  <c r="J85" i="29"/>
  <c r="Q129" i="21"/>
  <c r="Q128" i="21"/>
  <c r="Q124" i="21"/>
  <c r="Q125" i="21"/>
  <c r="Q127" i="21"/>
  <c r="Q123" i="21"/>
  <c r="Q126" i="21"/>
  <c r="Q36" i="21"/>
  <c r="Q35" i="21"/>
  <c r="Q32" i="21"/>
  <c r="Q38" i="21"/>
  <c r="Q37" i="21"/>
  <c r="Q34" i="21"/>
  <c r="Q33" i="21"/>
  <c r="P35" i="29"/>
  <c r="P32" i="29"/>
  <c r="P34" i="29"/>
  <c r="P31" i="29"/>
  <c r="P37" i="29"/>
  <c r="P33" i="29"/>
  <c r="P36" i="29"/>
  <c r="J41" i="29"/>
  <c r="J39" i="29"/>
  <c r="J40" i="29"/>
  <c r="J42" i="29"/>
  <c r="J44" i="29"/>
  <c r="J38" i="29"/>
  <c r="J43" i="29"/>
  <c r="E98" i="29"/>
  <c r="E95" i="29"/>
  <c r="E94" i="29"/>
  <c r="E100" i="29"/>
  <c r="E97" i="29"/>
  <c r="E99" i="29"/>
  <c r="E96" i="29"/>
  <c r="G89" i="29"/>
  <c r="G90" i="29"/>
  <c r="G88" i="29"/>
  <c r="G93" i="29"/>
  <c r="G91" i="29"/>
  <c r="G92" i="29"/>
  <c r="G87" i="29"/>
  <c r="D68" i="21"/>
  <c r="D72" i="21"/>
  <c r="D67" i="21"/>
  <c r="D69" i="21"/>
  <c r="D70" i="21"/>
  <c r="D71" i="21"/>
  <c r="D73" i="21"/>
  <c r="E106" i="21"/>
  <c r="E107" i="21"/>
  <c r="E102" i="21"/>
  <c r="E104" i="21"/>
  <c r="E105" i="21"/>
  <c r="E103" i="21"/>
  <c r="E108" i="21"/>
  <c r="M70" i="21"/>
  <c r="M69" i="21"/>
  <c r="M72" i="21"/>
  <c r="M68" i="21"/>
  <c r="M73" i="21"/>
  <c r="M67" i="21"/>
  <c r="M71" i="21"/>
  <c r="P42" i="29"/>
  <c r="P43" i="29"/>
  <c r="P38" i="29"/>
  <c r="P40" i="29"/>
  <c r="P44" i="29"/>
  <c r="P39" i="29"/>
  <c r="P41" i="29"/>
  <c r="F90" i="29"/>
  <c r="F91" i="29"/>
  <c r="F93" i="29"/>
  <c r="F88" i="29"/>
  <c r="F87" i="29"/>
  <c r="F89" i="29"/>
  <c r="F92" i="29"/>
  <c r="M67" i="29"/>
  <c r="M72" i="29"/>
  <c r="M66" i="29"/>
  <c r="M69" i="29"/>
  <c r="M68" i="29"/>
  <c r="M71" i="29"/>
  <c r="M70" i="29"/>
  <c r="C37" i="29"/>
  <c r="C31" i="29"/>
  <c r="C33" i="29"/>
  <c r="C35" i="29"/>
  <c r="C34" i="29"/>
  <c r="C36" i="29"/>
  <c r="C32" i="29"/>
  <c r="K25" i="29"/>
  <c r="K29" i="29"/>
  <c r="K27" i="29"/>
  <c r="K26" i="29"/>
  <c r="K24" i="29"/>
  <c r="K28" i="29"/>
  <c r="K30" i="29"/>
  <c r="K51" i="29"/>
  <c r="K48" i="29"/>
  <c r="K50" i="29"/>
  <c r="K47" i="29"/>
  <c r="K49" i="29"/>
  <c r="K46" i="29"/>
  <c r="K45" i="29"/>
  <c r="D103" i="29"/>
  <c r="D105" i="29"/>
  <c r="D106" i="29"/>
  <c r="D104" i="29"/>
  <c r="D102" i="29"/>
  <c r="D107" i="29"/>
  <c r="D101" i="29"/>
  <c r="D125" i="29"/>
  <c r="D127" i="29"/>
  <c r="D124" i="29"/>
  <c r="D126" i="29"/>
  <c r="D123" i="29"/>
  <c r="D122" i="29"/>
  <c r="D128" i="29"/>
  <c r="E47" i="29"/>
  <c r="E49" i="29"/>
  <c r="E46" i="29"/>
  <c r="E45" i="29"/>
  <c r="E48" i="29"/>
  <c r="E51" i="29"/>
  <c r="E50" i="29"/>
  <c r="O96" i="29"/>
  <c r="O97" i="29"/>
  <c r="O95" i="29"/>
  <c r="O100" i="29"/>
  <c r="O98" i="29"/>
  <c r="O99" i="29"/>
  <c r="O94" i="29"/>
  <c r="E67" i="29"/>
  <c r="E72" i="29"/>
  <c r="E66" i="29"/>
  <c r="E69" i="29"/>
  <c r="E68" i="29"/>
  <c r="E71" i="29"/>
  <c r="E70" i="29"/>
  <c r="F46" i="29"/>
  <c r="F47" i="29"/>
  <c r="F51" i="29"/>
  <c r="F49" i="29"/>
  <c r="F48" i="29"/>
  <c r="F45" i="29"/>
  <c r="F50" i="29"/>
  <c r="H24" i="29"/>
  <c r="H25" i="29"/>
  <c r="H30" i="29"/>
  <c r="H28" i="29"/>
  <c r="H26" i="29"/>
  <c r="H27" i="29"/>
  <c r="H29" i="29"/>
  <c r="L64" i="29"/>
  <c r="L62" i="29"/>
  <c r="L60" i="29"/>
  <c r="L65" i="29"/>
  <c r="L59" i="29"/>
  <c r="L61" i="29"/>
  <c r="L63" i="29"/>
  <c r="I58" i="29"/>
  <c r="I55" i="29"/>
  <c r="I57" i="29"/>
  <c r="I54" i="29"/>
  <c r="I52" i="29"/>
  <c r="I56" i="29"/>
  <c r="I53" i="29"/>
  <c r="I63" i="29"/>
  <c r="I60" i="29"/>
  <c r="I61" i="29"/>
  <c r="I62" i="29"/>
  <c r="I65" i="29"/>
  <c r="I64" i="29"/>
  <c r="I59" i="29"/>
  <c r="M56" i="29"/>
  <c r="M52" i="29"/>
  <c r="M58" i="29"/>
  <c r="M54" i="29"/>
  <c r="M55" i="29"/>
  <c r="M57" i="29"/>
  <c r="M53" i="29"/>
  <c r="P91" i="29"/>
  <c r="P93" i="29"/>
  <c r="P87" i="29"/>
  <c r="P92" i="29"/>
  <c r="P90" i="29"/>
  <c r="P88" i="29"/>
  <c r="P89" i="29"/>
  <c r="F100" i="29"/>
  <c r="F99" i="29"/>
  <c r="F96" i="29"/>
  <c r="F98" i="29"/>
  <c r="F95" i="29"/>
  <c r="F97" i="29"/>
  <c r="F94" i="29"/>
  <c r="N100" i="29"/>
  <c r="N96" i="29"/>
  <c r="N97" i="29"/>
  <c r="N99" i="29"/>
  <c r="N94" i="29"/>
  <c r="N95" i="29"/>
  <c r="N98" i="29"/>
  <c r="G101" i="21"/>
  <c r="G95" i="21"/>
  <c r="G100" i="21"/>
  <c r="G98" i="21"/>
  <c r="G96" i="21"/>
  <c r="G97" i="21"/>
  <c r="G99" i="21"/>
  <c r="F107" i="21"/>
  <c r="F105" i="21"/>
  <c r="F103" i="21"/>
  <c r="F108" i="21"/>
  <c r="F106" i="21"/>
  <c r="F104" i="21"/>
  <c r="F102" i="21"/>
  <c r="N81" i="29"/>
  <c r="N86" i="29"/>
  <c r="N80" i="29"/>
  <c r="N82" i="29"/>
  <c r="N84" i="29"/>
  <c r="N85" i="29"/>
  <c r="N83" i="29"/>
  <c r="E61" i="29"/>
  <c r="E63" i="29"/>
  <c r="E65" i="29"/>
  <c r="E59" i="29"/>
  <c r="E64" i="29"/>
  <c r="E62" i="29"/>
  <c r="E60" i="29"/>
  <c r="M89" i="29"/>
  <c r="M87" i="29"/>
  <c r="M92" i="29"/>
  <c r="M90" i="29"/>
  <c r="M91" i="29"/>
  <c r="M93" i="29"/>
  <c r="M88" i="29"/>
  <c r="I105" i="29"/>
  <c r="I102" i="29"/>
  <c r="I104" i="29"/>
  <c r="I101" i="29"/>
  <c r="I107" i="29"/>
  <c r="I106" i="29"/>
  <c r="I103" i="29"/>
  <c r="G78" i="29"/>
  <c r="G75" i="29"/>
  <c r="G77" i="29"/>
  <c r="G74" i="29"/>
  <c r="G73" i="29"/>
  <c r="G79" i="29"/>
  <c r="G76" i="29"/>
  <c r="H46" i="21"/>
  <c r="H47" i="21"/>
  <c r="H52" i="21"/>
  <c r="H50" i="21"/>
  <c r="H48" i="21"/>
  <c r="H49" i="21"/>
  <c r="H51" i="21"/>
  <c r="L90" i="21"/>
  <c r="L88" i="21"/>
  <c r="L89" i="21"/>
  <c r="L91" i="21"/>
  <c r="L94" i="21"/>
  <c r="L93" i="21"/>
  <c r="L92" i="21"/>
  <c r="F75" i="21"/>
  <c r="F77" i="21"/>
  <c r="F80" i="21"/>
  <c r="F78" i="21"/>
  <c r="F74" i="21"/>
  <c r="F76" i="21"/>
  <c r="F79" i="21"/>
  <c r="Q67" i="21"/>
  <c r="Q69" i="21"/>
  <c r="Q73" i="21"/>
  <c r="Q72" i="21"/>
  <c r="Q70" i="21"/>
  <c r="Q68" i="21"/>
  <c r="Q71" i="21"/>
  <c r="D66" i="21"/>
  <c r="D62" i="21"/>
  <c r="D65" i="21"/>
  <c r="D64" i="21"/>
  <c r="D61" i="21"/>
  <c r="D60" i="21"/>
  <c r="D63" i="21"/>
  <c r="F37" i="21"/>
  <c r="F32" i="21"/>
  <c r="F35" i="21"/>
  <c r="F33" i="21"/>
  <c r="F34" i="21"/>
  <c r="F38" i="21"/>
  <c r="F36" i="21"/>
  <c r="I113" i="21"/>
  <c r="I115" i="21"/>
  <c r="I109" i="21"/>
  <c r="I111" i="21"/>
  <c r="I112" i="21"/>
  <c r="I110" i="21"/>
  <c r="I114" i="21"/>
  <c r="L72" i="21"/>
  <c r="L68" i="21"/>
  <c r="L69" i="21"/>
  <c r="L73" i="21"/>
  <c r="L70" i="21"/>
  <c r="L71" i="21"/>
  <c r="L67" i="21"/>
  <c r="N112" i="21"/>
  <c r="N110" i="21"/>
  <c r="N113" i="21"/>
  <c r="N109" i="21"/>
  <c r="N115" i="21"/>
  <c r="N114" i="21"/>
  <c r="N111" i="21"/>
  <c r="I56" i="21"/>
  <c r="I59" i="21"/>
  <c r="I54" i="21"/>
  <c r="I58" i="21"/>
  <c r="I55" i="21"/>
  <c r="I57" i="21"/>
  <c r="I53" i="21"/>
  <c r="J102" i="21"/>
  <c r="J105" i="21"/>
  <c r="J104" i="21"/>
  <c r="J107" i="21"/>
  <c r="J108" i="21"/>
  <c r="J103" i="21"/>
  <c r="J106" i="21"/>
  <c r="N26" i="21"/>
  <c r="N29" i="21"/>
  <c r="N31" i="21"/>
  <c r="N28" i="21"/>
  <c r="N25" i="21"/>
  <c r="N27" i="21"/>
  <c r="N30" i="21"/>
  <c r="M107" i="21"/>
  <c r="M102" i="21"/>
  <c r="M104" i="21"/>
  <c r="M105" i="21"/>
  <c r="M103" i="21"/>
  <c r="M108" i="21"/>
  <c r="M106" i="21"/>
  <c r="E126" i="21"/>
  <c r="E123" i="21"/>
  <c r="E124" i="21"/>
  <c r="E127" i="21"/>
  <c r="E125" i="21"/>
  <c r="E128" i="21"/>
  <c r="E129" i="21"/>
  <c r="H97" i="21"/>
  <c r="H95" i="21"/>
  <c r="H100" i="21"/>
  <c r="H98" i="21"/>
  <c r="H96" i="21"/>
  <c r="H99" i="21"/>
  <c r="H101" i="21"/>
  <c r="H13" i="21"/>
  <c r="H15" i="21"/>
  <c r="H11" i="21"/>
  <c r="H12" i="21"/>
  <c r="H14" i="21"/>
  <c r="H16" i="21"/>
  <c r="H17" i="21"/>
  <c r="I125" i="29"/>
  <c r="I127" i="29"/>
  <c r="I124" i="29"/>
  <c r="I126" i="29"/>
  <c r="I123" i="29"/>
  <c r="I122" i="29"/>
  <c r="I128" i="29"/>
  <c r="H94" i="29"/>
  <c r="H100" i="29"/>
  <c r="H97" i="29"/>
  <c r="H99" i="29"/>
  <c r="H96" i="29"/>
  <c r="H98" i="29"/>
  <c r="H95" i="29"/>
  <c r="N110" i="29"/>
  <c r="N108" i="29"/>
  <c r="N113" i="29"/>
  <c r="N114" i="29"/>
  <c r="N109" i="29"/>
  <c r="N111" i="29"/>
  <c r="N112" i="29"/>
  <c r="O44" i="21"/>
  <c r="O39" i="21"/>
  <c r="O40" i="21"/>
  <c r="O42" i="21"/>
  <c r="O41" i="21"/>
  <c r="O43" i="21"/>
  <c r="O45" i="21"/>
  <c r="F83" i="21"/>
  <c r="F81" i="21"/>
  <c r="F82" i="21"/>
  <c r="F84" i="21"/>
  <c r="F86" i="21"/>
  <c r="F87" i="21"/>
  <c r="F85" i="21"/>
  <c r="Q11" i="21"/>
  <c r="Q13" i="21"/>
  <c r="Q15" i="21"/>
  <c r="Q17" i="21"/>
  <c r="Q12" i="21"/>
  <c r="Q14" i="21"/>
  <c r="Q16" i="21"/>
  <c r="H41" i="21"/>
  <c r="H45" i="21"/>
  <c r="H39" i="21"/>
  <c r="H40" i="21"/>
  <c r="H44" i="21"/>
  <c r="H42" i="21"/>
  <c r="H43" i="21"/>
  <c r="Q118" i="21"/>
  <c r="Q120" i="21"/>
  <c r="Q117" i="21"/>
  <c r="Q122" i="21"/>
  <c r="Q116" i="21"/>
  <c r="Q121" i="21"/>
  <c r="Q119" i="21"/>
  <c r="G104" i="21"/>
  <c r="G102" i="21"/>
  <c r="G107" i="21"/>
  <c r="G106" i="21"/>
  <c r="G103" i="21"/>
  <c r="G105" i="21"/>
  <c r="G108" i="21"/>
  <c r="I120" i="21"/>
  <c r="I116" i="21"/>
  <c r="I118" i="21"/>
  <c r="I122" i="21"/>
  <c r="I121" i="21"/>
  <c r="I117" i="21"/>
  <c r="I119" i="21"/>
  <c r="C52" i="21"/>
  <c r="C50" i="21"/>
  <c r="C46" i="21"/>
  <c r="C48" i="21"/>
  <c r="C51" i="21"/>
  <c r="C47" i="21"/>
  <c r="C49" i="21"/>
  <c r="E110" i="21"/>
  <c r="E109" i="21"/>
  <c r="E111" i="21"/>
  <c r="E114" i="21"/>
  <c r="E113" i="21"/>
  <c r="E112" i="21"/>
  <c r="E115" i="21"/>
  <c r="L125" i="29"/>
  <c r="L123" i="29"/>
  <c r="L128" i="29"/>
  <c r="L127" i="29"/>
  <c r="L124" i="29"/>
  <c r="L126" i="29"/>
  <c r="L122" i="29"/>
  <c r="M29" i="21"/>
  <c r="M31" i="21"/>
  <c r="M26" i="21"/>
  <c r="M25" i="21"/>
  <c r="M30" i="21"/>
  <c r="M28" i="21"/>
  <c r="M27" i="21"/>
  <c r="N41" i="21"/>
  <c r="N44" i="21"/>
  <c r="N40" i="21"/>
  <c r="N43" i="21"/>
  <c r="N39" i="21"/>
  <c r="N45" i="21"/>
  <c r="N42" i="21"/>
  <c r="N57" i="21"/>
  <c r="N53" i="21"/>
  <c r="N56" i="21"/>
  <c r="N55" i="21"/>
  <c r="N59" i="21"/>
  <c r="N54" i="21"/>
  <c r="N58" i="21"/>
  <c r="H75" i="21"/>
  <c r="H80" i="21"/>
  <c r="H78" i="21"/>
  <c r="H77" i="21"/>
  <c r="H74" i="21"/>
  <c r="H76" i="21"/>
  <c r="H79" i="21"/>
  <c r="C31" i="21"/>
  <c r="C26" i="21"/>
  <c r="C29" i="21"/>
  <c r="C25" i="21"/>
  <c r="C28" i="21"/>
  <c r="C30" i="21"/>
  <c r="C27" i="21"/>
  <c r="E115" i="29"/>
  <c r="E120" i="29"/>
  <c r="E117" i="29"/>
  <c r="E116" i="29"/>
  <c r="E121" i="29"/>
  <c r="E119" i="29"/>
  <c r="E118" i="29"/>
  <c r="P115" i="21"/>
  <c r="P111" i="21"/>
  <c r="P109" i="21"/>
  <c r="P113" i="21"/>
  <c r="P112" i="21"/>
  <c r="P114" i="21"/>
  <c r="P110" i="21"/>
  <c r="J76" i="21"/>
  <c r="J77" i="21"/>
  <c r="J78" i="21"/>
  <c r="J80" i="21"/>
  <c r="J79" i="21"/>
  <c r="J74" i="21"/>
  <c r="J75" i="21"/>
  <c r="C80" i="21"/>
  <c r="C77" i="21"/>
  <c r="C78" i="21"/>
  <c r="C75" i="21"/>
  <c r="C76" i="21"/>
  <c r="C74" i="21"/>
  <c r="C79" i="21"/>
  <c r="J117" i="21"/>
  <c r="J119" i="21"/>
  <c r="J116" i="21"/>
  <c r="J118" i="21"/>
  <c r="J120" i="21"/>
  <c r="J121" i="21"/>
  <c r="J122" i="21"/>
  <c r="K109" i="21"/>
  <c r="K115" i="21"/>
  <c r="K112" i="21"/>
  <c r="K111" i="21"/>
  <c r="K114" i="21"/>
  <c r="K110" i="21"/>
  <c r="K113" i="21"/>
  <c r="D15" i="21"/>
  <c r="D17" i="21"/>
  <c r="D14" i="21"/>
  <c r="D13" i="21"/>
  <c r="D11" i="21"/>
  <c r="D16" i="21"/>
  <c r="D12" i="21"/>
  <c r="N61" i="29"/>
  <c r="N64" i="29"/>
  <c r="N62" i="29"/>
  <c r="N60" i="29"/>
  <c r="N65" i="29"/>
  <c r="N59" i="29"/>
  <c r="N63" i="29"/>
  <c r="L102" i="29"/>
  <c r="L107" i="29"/>
  <c r="L105" i="29"/>
  <c r="L103" i="29"/>
  <c r="L104" i="29"/>
  <c r="L106" i="29"/>
  <c r="L101" i="29"/>
  <c r="H121" i="29"/>
  <c r="H118" i="29"/>
  <c r="H120" i="29"/>
  <c r="H117" i="29"/>
  <c r="H119" i="29"/>
  <c r="H116" i="29"/>
  <c r="H115" i="29"/>
  <c r="J120" i="29"/>
  <c r="J119" i="29"/>
  <c r="J118" i="29"/>
  <c r="J121" i="29"/>
  <c r="J116" i="29"/>
  <c r="J115" i="29"/>
  <c r="J117" i="29"/>
  <c r="I63" i="21"/>
  <c r="I62" i="21"/>
  <c r="I60" i="21"/>
  <c r="I65" i="21"/>
  <c r="I61" i="21"/>
  <c r="I64" i="21"/>
  <c r="I66" i="21"/>
  <c r="Q27" i="21"/>
  <c r="Q28" i="21"/>
  <c r="Q30" i="21"/>
  <c r="Q26" i="21"/>
  <c r="Q29" i="21"/>
  <c r="Q25" i="21"/>
  <c r="Q31" i="21"/>
  <c r="L105" i="21"/>
  <c r="L103" i="21"/>
  <c r="L102" i="21"/>
  <c r="L108" i="21"/>
  <c r="L107" i="21"/>
  <c r="L104" i="21"/>
  <c r="L106" i="21"/>
  <c r="Q76" i="21"/>
  <c r="Q78" i="21"/>
  <c r="Q74" i="21"/>
  <c r="Q79" i="21"/>
  <c r="Q75" i="21"/>
  <c r="Q80" i="21"/>
  <c r="Q77" i="21"/>
  <c r="L28" i="21"/>
  <c r="L26" i="21"/>
  <c r="L25" i="21"/>
  <c r="L31" i="21"/>
  <c r="L27" i="21"/>
  <c r="L29" i="21"/>
  <c r="L30" i="21"/>
  <c r="I75" i="21"/>
  <c r="I79" i="21"/>
  <c r="I78" i="21"/>
  <c r="I80" i="21"/>
  <c r="I74" i="21"/>
  <c r="I76" i="21"/>
  <c r="I77" i="21"/>
  <c r="K17" i="21"/>
  <c r="K15" i="21"/>
  <c r="K14" i="21"/>
  <c r="K16" i="21"/>
  <c r="K11" i="21"/>
  <c r="K13" i="21"/>
  <c r="K12" i="21"/>
  <c r="D52" i="21"/>
  <c r="D50" i="21"/>
  <c r="D48" i="21"/>
  <c r="D46" i="21"/>
  <c r="D51" i="21"/>
  <c r="D49" i="21"/>
  <c r="D47" i="21"/>
  <c r="I83" i="21"/>
  <c r="I84" i="21"/>
  <c r="I85" i="21"/>
  <c r="I86" i="21"/>
  <c r="I82" i="21"/>
  <c r="I81" i="21"/>
  <c r="I87" i="21"/>
  <c r="C87" i="29"/>
  <c r="C89" i="29"/>
  <c r="C91" i="29"/>
  <c r="C92" i="29"/>
  <c r="C90" i="29"/>
  <c r="C88" i="29"/>
  <c r="C93" i="29"/>
  <c r="H105" i="29"/>
  <c r="H101" i="29"/>
  <c r="H104" i="29"/>
  <c r="H107" i="29"/>
  <c r="H106" i="29"/>
  <c r="H103" i="29"/>
  <c r="H102" i="29"/>
  <c r="L69" i="29"/>
  <c r="L71" i="29"/>
  <c r="L66" i="29"/>
  <c r="L67" i="29"/>
  <c r="L72" i="29"/>
  <c r="L70" i="29"/>
  <c r="L68" i="29"/>
  <c r="G15" i="21"/>
  <c r="G13" i="21"/>
  <c r="G16" i="21"/>
  <c r="G17" i="21"/>
  <c r="G11" i="21"/>
  <c r="G14" i="21"/>
  <c r="G12" i="21"/>
  <c r="E101" i="21"/>
  <c r="E98" i="21"/>
  <c r="E100" i="21"/>
  <c r="E99" i="21"/>
  <c r="E96" i="21"/>
  <c r="E97" i="21"/>
  <c r="E95" i="21"/>
  <c r="K68" i="21"/>
  <c r="K73" i="21"/>
  <c r="K71" i="21"/>
  <c r="K69" i="21"/>
  <c r="K67" i="21"/>
  <c r="K72" i="21"/>
  <c r="K70" i="21"/>
  <c r="N62" i="21"/>
  <c r="N66" i="21"/>
  <c r="N61" i="21"/>
  <c r="N64" i="21"/>
  <c r="N65" i="21"/>
  <c r="N60" i="21"/>
  <c r="N63" i="21"/>
  <c r="P57" i="21"/>
  <c r="P54" i="21"/>
  <c r="P55" i="21"/>
  <c r="P56" i="21"/>
  <c r="P53" i="21"/>
  <c r="P58" i="21"/>
  <c r="P59" i="21"/>
  <c r="I25" i="21"/>
  <c r="I26" i="21"/>
  <c r="I28" i="21"/>
  <c r="I31" i="21"/>
  <c r="I27" i="21"/>
  <c r="I30" i="21"/>
  <c r="I29" i="21"/>
  <c r="I108" i="21"/>
  <c r="I102" i="21"/>
  <c r="I105" i="21"/>
  <c r="I103" i="21"/>
  <c r="I106" i="21"/>
  <c r="I107" i="21"/>
  <c r="I104" i="21"/>
  <c r="C59" i="21"/>
  <c r="C55" i="21"/>
  <c r="C58" i="21"/>
  <c r="C54" i="21"/>
  <c r="C57" i="21"/>
  <c r="C53" i="21"/>
  <c r="C56" i="21"/>
  <c r="M37" i="21"/>
  <c r="M33" i="21"/>
  <c r="M38" i="21"/>
  <c r="M34" i="21"/>
  <c r="M36" i="21"/>
  <c r="M35" i="21"/>
  <c r="M32" i="21"/>
  <c r="Q102" i="29"/>
  <c r="Q104" i="29"/>
  <c r="Q107" i="29"/>
  <c r="Q106" i="29"/>
  <c r="Q105" i="29"/>
  <c r="Q103" i="29"/>
  <c r="Q101" i="29"/>
  <c r="M125" i="29"/>
  <c r="M123" i="29"/>
  <c r="M128" i="29"/>
  <c r="M122" i="29"/>
  <c r="M124" i="29"/>
  <c r="M126" i="29"/>
  <c r="M127" i="29"/>
  <c r="P125" i="29"/>
  <c r="P123" i="29"/>
  <c r="P127" i="29"/>
  <c r="P128" i="29"/>
  <c r="P126" i="29"/>
  <c r="P122" i="29"/>
  <c r="P124" i="29"/>
  <c r="Q124" i="29"/>
  <c r="Q122" i="29"/>
  <c r="Q128" i="29"/>
  <c r="Q127" i="29"/>
  <c r="Q123" i="29"/>
  <c r="Q125" i="29"/>
  <c r="Q126" i="29"/>
  <c r="J41" i="21"/>
  <c r="J43" i="21"/>
  <c r="J44" i="21"/>
  <c r="J40" i="21"/>
  <c r="J45" i="21"/>
  <c r="J39" i="21"/>
  <c r="J42" i="21"/>
  <c r="P124" i="21"/>
  <c r="P125" i="21"/>
  <c r="P129" i="21"/>
  <c r="P123" i="21"/>
  <c r="P127" i="21"/>
  <c r="P126" i="21"/>
  <c r="P128" i="21"/>
  <c r="O108" i="21"/>
  <c r="O106" i="21"/>
  <c r="O105" i="21"/>
  <c r="O103" i="21"/>
  <c r="O107" i="21"/>
  <c r="O102" i="21"/>
  <c r="O104" i="21"/>
  <c r="J73" i="21"/>
  <c r="J71" i="21"/>
  <c r="J69" i="21"/>
  <c r="J67" i="21"/>
  <c r="J72" i="21"/>
  <c r="J70" i="21"/>
  <c r="J68" i="21"/>
  <c r="P98" i="29"/>
  <c r="P100" i="29"/>
  <c r="P94" i="29"/>
  <c r="P99" i="29"/>
  <c r="P97" i="29"/>
  <c r="P95" i="29"/>
  <c r="P96" i="29"/>
  <c r="C60" i="29"/>
  <c r="C59" i="29"/>
  <c r="C65" i="29"/>
  <c r="C62" i="29"/>
  <c r="C64" i="29"/>
  <c r="C61" i="29"/>
  <c r="C63" i="29"/>
  <c r="G44" i="21"/>
  <c r="G43" i="21"/>
  <c r="G39" i="21"/>
  <c r="G42" i="21"/>
  <c r="G45" i="21"/>
  <c r="G41" i="21"/>
  <c r="G40" i="21"/>
  <c r="P80" i="21"/>
  <c r="P75" i="21"/>
  <c r="P74" i="21"/>
  <c r="P77" i="21"/>
  <c r="P79" i="21"/>
  <c r="P76" i="21"/>
  <c r="P78" i="21"/>
  <c r="E64" i="21"/>
  <c r="E60" i="21"/>
  <c r="E63" i="21"/>
  <c r="E66" i="21"/>
  <c r="E62" i="21"/>
  <c r="E65" i="21"/>
  <c r="E61" i="21"/>
  <c r="P44" i="21"/>
  <c r="P40" i="21"/>
  <c r="P41" i="21"/>
  <c r="P39" i="21"/>
  <c r="P42" i="21"/>
  <c r="P45" i="21"/>
  <c r="P43" i="21"/>
  <c r="J93" i="21"/>
  <c r="J88" i="21"/>
  <c r="J94" i="21"/>
  <c r="J90" i="21"/>
  <c r="J91" i="21"/>
  <c r="J92" i="21"/>
  <c r="J89" i="21"/>
  <c r="N81" i="21"/>
  <c r="N83" i="21"/>
  <c r="N87" i="21"/>
  <c r="N85" i="21"/>
  <c r="N82" i="21"/>
  <c r="N84" i="21"/>
  <c r="N86" i="21"/>
  <c r="L118" i="21"/>
  <c r="L120" i="21"/>
  <c r="L119" i="21"/>
  <c r="L122" i="21"/>
  <c r="L116" i="21"/>
  <c r="L121" i="21"/>
  <c r="L117" i="21"/>
  <c r="K123" i="29"/>
  <c r="K125" i="29"/>
  <c r="K126" i="29"/>
  <c r="K124" i="29"/>
  <c r="K122" i="29"/>
  <c r="K127" i="29"/>
  <c r="K128" i="29"/>
  <c r="J94" i="29"/>
  <c r="J99" i="29"/>
  <c r="J96" i="29"/>
  <c r="J95" i="29"/>
  <c r="J100" i="29"/>
  <c r="J98" i="29"/>
  <c r="J97" i="29"/>
  <c r="P71" i="21"/>
  <c r="P73" i="21"/>
  <c r="P68" i="21"/>
  <c r="P69" i="21"/>
  <c r="P67" i="21"/>
  <c r="P70" i="21"/>
  <c r="P72" i="21"/>
  <c r="D56" i="21"/>
  <c r="D59" i="21"/>
  <c r="D55" i="21"/>
  <c r="D54" i="21"/>
  <c r="D53" i="21"/>
  <c r="D58" i="21"/>
  <c r="D57" i="21"/>
  <c r="K108" i="21"/>
  <c r="K103" i="21"/>
  <c r="K102" i="21"/>
  <c r="K107" i="21"/>
  <c r="K106" i="21"/>
  <c r="K105" i="21"/>
  <c r="K104" i="21"/>
  <c r="I35" i="21"/>
  <c r="I37" i="21"/>
  <c r="I38" i="21"/>
  <c r="I34" i="21"/>
  <c r="I36" i="21"/>
  <c r="I33" i="21"/>
  <c r="I32" i="21"/>
  <c r="C36" i="21"/>
  <c r="C37" i="21"/>
  <c r="C38" i="21"/>
  <c r="C34" i="21"/>
  <c r="C35" i="21"/>
  <c r="C32" i="21"/>
  <c r="C33" i="21"/>
  <c r="M89" i="21"/>
  <c r="M92" i="21"/>
  <c r="M88" i="21"/>
  <c r="M91" i="21"/>
  <c r="M90" i="21"/>
  <c r="M93" i="21"/>
  <c r="M94" i="21"/>
  <c r="Q60" i="29"/>
  <c r="Q62" i="29"/>
  <c r="Q59" i="29"/>
  <c r="Q65" i="29"/>
  <c r="Q63" i="29"/>
  <c r="Q64" i="29"/>
  <c r="Q61" i="29"/>
  <c r="F55" i="29"/>
  <c r="F52" i="29"/>
  <c r="F58" i="29"/>
  <c r="F57" i="29"/>
  <c r="F54" i="29"/>
  <c r="F53" i="29"/>
  <c r="F56" i="29"/>
  <c r="E57" i="21"/>
  <c r="E53" i="21"/>
  <c r="E56" i="21"/>
  <c r="E59" i="21"/>
  <c r="E58" i="21"/>
  <c r="E55" i="21"/>
  <c r="E54" i="21"/>
  <c r="N97" i="21"/>
  <c r="N100" i="21"/>
  <c r="N99" i="21"/>
  <c r="N98" i="21"/>
  <c r="N101" i="21"/>
  <c r="N96" i="21"/>
  <c r="N95" i="21"/>
  <c r="M55" i="21"/>
  <c r="M58" i="21"/>
  <c r="M56" i="21"/>
  <c r="M54" i="21"/>
  <c r="M57" i="21"/>
  <c r="M53" i="21"/>
  <c r="M59" i="21"/>
  <c r="G47" i="21"/>
  <c r="G49" i="21"/>
  <c r="G51" i="21"/>
  <c r="G52" i="21"/>
  <c r="G50" i="21"/>
  <c r="G48" i="21"/>
  <c r="G46" i="21"/>
  <c r="Q89" i="21"/>
  <c r="Q90" i="21"/>
  <c r="Q91" i="21"/>
  <c r="Q93" i="21"/>
  <c r="Q88" i="21"/>
  <c r="Q94" i="21"/>
  <c r="Q92" i="21"/>
  <c r="J124" i="29"/>
  <c r="J123" i="29"/>
  <c r="J125" i="29"/>
  <c r="J127" i="29"/>
  <c r="J126" i="29"/>
  <c r="J122" i="29"/>
  <c r="J128" i="29"/>
  <c r="J11" i="21"/>
  <c r="J12" i="21"/>
  <c r="J14" i="21"/>
  <c r="J16" i="21"/>
  <c r="J17" i="21"/>
  <c r="J13" i="21"/>
  <c r="J15" i="21"/>
  <c r="C116" i="29"/>
  <c r="C121" i="29"/>
  <c r="C119" i="29"/>
  <c r="C117" i="29"/>
  <c r="C118" i="29"/>
  <c r="C120" i="29"/>
  <c r="C115" i="29"/>
  <c r="K34" i="21"/>
  <c r="K36" i="21"/>
  <c r="K35" i="21"/>
  <c r="K32" i="21"/>
  <c r="K38" i="21"/>
  <c r="K37" i="21"/>
  <c r="K33" i="21"/>
  <c r="P38" i="21"/>
  <c r="P36" i="21"/>
  <c r="P34" i="21"/>
  <c r="P32" i="21"/>
  <c r="P37" i="21"/>
  <c r="P35" i="21"/>
  <c r="P33" i="21"/>
  <c r="G109" i="21"/>
  <c r="G115" i="21"/>
  <c r="G113" i="21"/>
  <c r="G114" i="21"/>
  <c r="G112" i="21"/>
  <c r="G110" i="21"/>
  <c r="G111" i="21"/>
  <c r="G116" i="21"/>
  <c r="G120" i="21"/>
  <c r="G122" i="21"/>
  <c r="G117" i="21"/>
  <c r="G121" i="21"/>
  <c r="G118" i="21"/>
  <c r="G119" i="21"/>
  <c r="G83" i="21"/>
  <c r="G86" i="21"/>
  <c r="G84" i="21"/>
  <c r="G81" i="21"/>
  <c r="G85" i="21"/>
  <c r="G82" i="21"/>
  <c r="G87" i="21"/>
  <c r="K86" i="21"/>
  <c r="K82" i="21"/>
  <c r="K85" i="21"/>
  <c r="K83" i="21"/>
  <c r="K81" i="21"/>
  <c r="K84" i="21"/>
  <c r="K87" i="21"/>
  <c r="N38" i="21"/>
  <c r="N36" i="21"/>
  <c r="N34" i="21"/>
  <c r="N35" i="21"/>
  <c r="N33" i="21"/>
  <c r="N32" i="21"/>
  <c r="N37" i="21"/>
  <c r="N125" i="29"/>
  <c r="N127" i="29"/>
  <c r="N128" i="29"/>
  <c r="N126" i="29"/>
  <c r="N124" i="29"/>
  <c r="N122" i="29"/>
  <c r="N123" i="29"/>
  <c r="G118" i="29"/>
  <c r="G117" i="29"/>
  <c r="G120" i="29"/>
  <c r="G119" i="29"/>
  <c r="G116" i="29"/>
  <c r="G115" i="29"/>
  <c r="G121" i="29"/>
  <c r="I121" i="29"/>
  <c r="I117" i="29"/>
  <c r="I119" i="29"/>
  <c r="I116" i="29"/>
  <c r="I115" i="29"/>
  <c r="I118" i="29"/>
  <c r="I120" i="29"/>
  <c r="K45" i="21"/>
  <c r="K42" i="21"/>
  <c r="K40" i="21"/>
  <c r="K43" i="21"/>
  <c r="K44" i="21"/>
  <c r="K39" i="21"/>
  <c r="K41" i="21"/>
  <c r="D78" i="21"/>
  <c r="D80" i="21"/>
  <c r="D76" i="21"/>
  <c r="D74" i="21"/>
  <c r="D75" i="21"/>
  <c r="D79" i="21"/>
  <c r="D77" i="21"/>
  <c r="E43" i="21"/>
  <c r="E40" i="21"/>
  <c r="E41" i="21"/>
  <c r="E39" i="21"/>
  <c r="E45" i="21"/>
  <c r="E42" i="21"/>
  <c r="E44" i="21"/>
  <c r="H88" i="21"/>
  <c r="H94" i="21"/>
  <c r="H92" i="21"/>
  <c r="H89" i="21"/>
  <c r="H90" i="21"/>
  <c r="H91" i="21"/>
  <c r="H93" i="21"/>
  <c r="L66" i="21"/>
  <c r="L64" i="21"/>
  <c r="L61" i="21"/>
  <c r="L65" i="21"/>
  <c r="L60" i="21"/>
  <c r="L62" i="21"/>
  <c r="L63" i="21"/>
  <c r="P93" i="21"/>
  <c r="P92" i="21"/>
  <c r="P89" i="21"/>
  <c r="P91" i="21"/>
  <c r="P88" i="21"/>
  <c r="P90" i="21"/>
  <c r="P94" i="21"/>
  <c r="M49" i="21"/>
  <c r="M51" i="21"/>
  <c r="M52" i="21"/>
  <c r="M50" i="21"/>
  <c r="M48" i="21"/>
  <c r="M46" i="21"/>
  <c r="M47" i="21"/>
  <c r="F71" i="21"/>
  <c r="F69" i="21"/>
  <c r="F67" i="21"/>
  <c r="F72" i="21"/>
  <c r="F70" i="21"/>
  <c r="F68" i="21"/>
  <c r="F73" i="21"/>
  <c r="H128" i="29"/>
  <c r="H122" i="29"/>
  <c r="H124" i="29"/>
  <c r="H126" i="29"/>
  <c r="H127" i="29"/>
  <c r="H125" i="29"/>
  <c r="H123" i="29"/>
  <c r="K95" i="29"/>
  <c r="K96" i="29"/>
  <c r="K94" i="29"/>
  <c r="K99" i="29"/>
  <c r="K97" i="29"/>
  <c r="K98" i="29"/>
  <c r="K100" i="29"/>
  <c r="G106" i="29"/>
  <c r="G102" i="29"/>
  <c r="G107" i="29"/>
  <c r="G105" i="29"/>
  <c r="G101" i="29"/>
  <c r="G104" i="29"/>
  <c r="G103" i="29"/>
  <c r="C97" i="29"/>
  <c r="C94" i="29"/>
  <c r="C100" i="29"/>
  <c r="C99" i="29"/>
  <c r="C96" i="29"/>
  <c r="C98" i="29"/>
  <c r="C95" i="29"/>
  <c r="D102" i="21"/>
  <c r="D103" i="21"/>
  <c r="D105" i="21"/>
  <c r="D104" i="21"/>
  <c r="D108" i="21"/>
  <c r="D106" i="21"/>
  <c r="D107" i="21"/>
  <c r="O12" i="21"/>
  <c r="O15" i="21"/>
  <c r="O17" i="21"/>
  <c r="O13" i="21"/>
  <c r="O11" i="21"/>
  <c r="O16" i="21"/>
  <c r="O14" i="21"/>
  <c r="E50" i="21"/>
  <c r="E51" i="21"/>
  <c r="E46" i="21"/>
  <c r="E48" i="21"/>
  <c r="E49" i="21"/>
  <c r="E47" i="21"/>
  <c r="E52" i="21"/>
  <c r="H103" i="21"/>
  <c r="H106" i="21"/>
  <c r="H105" i="21"/>
  <c r="H102" i="21"/>
  <c r="H108" i="21"/>
  <c r="H107" i="21"/>
  <c r="H104" i="21"/>
  <c r="F50" i="21"/>
  <c r="F46" i="21"/>
  <c r="F49" i="21"/>
  <c r="F51" i="21"/>
  <c r="F48" i="21"/>
  <c r="F47" i="21"/>
  <c r="F52" i="21"/>
  <c r="P105" i="29"/>
  <c r="P107" i="29"/>
  <c r="P102" i="29"/>
  <c r="P103" i="29"/>
  <c r="P101" i="29"/>
  <c r="P106" i="29"/>
  <c r="P104" i="29"/>
  <c r="O122" i="29"/>
  <c r="O125" i="29"/>
  <c r="O128" i="29"/>
  <c r="O126" i="29"/>
  <c r="O127" i="29"/>
  <c r="O124" i="29"/>
  <c r="O123" i="29"/>
  <c r="Q58" i="21"/>
  <c r="Q54" i="21"/>
  <c r="Q55" i="21"/>
  <c r="Q59" i="21"/>
  <c r="Q56" i="21"/>
  <c r="Q57" i="21"/>
  <c r="Q53" i="21"/>
  <c r="H81" i="21"/>
  <c r="H84" i="21"/>
  <c r="H83" i="21"/>
  <c r="H82" i="21"/>
  <c r="H85" i="21"/>
  <c r="H87" i="21"/>
  <c r="H86" i="21"/>
  <c r="L81" i="21"/>
  <c r="L86" i="21"/>
  <c r="L84" i="21"/>
  <c r="L82" i="21"/>
  <c r="L87" i="21"/>
  <c r="L83" i="21"/>
  <c r="L85" i="21"/>
  <c r="H38" i="21"/>
  <c r="H34" i="21"/>
  <c r="H36" i="21"/>
  <c r="H32" i="21"/>
  <c r="H37" i="21"/>
  <c r="H35" i="21"/>
  <c r="H33" i="21"/>
  <c r="F115" i="21"/>
  <c r="F111" i="21"/>
  <c r="F110" i="21"/>
  <c r="F113" i="21"/>
  <c r="F109" i="21"/>
  <c r="F114" i="21"/>
  <c r="F112" i="21"/>
  <c r="P102" i="21"/>
  <c r="P105" i="21"/>
  <c r="P103" i="21"/>
  <c r="P107" i="21"/>
  <c r="P108" i="21"/>
  <c r="P106" i="21"/>
  <c r="P104" i="21"/>
  <c r="P111" i="29"/>
  <c r="P113" i="29"/>
  <c r="P112" i="29"/>
  <c r="P110" i="29"/>
  <c r="P109" i="29"/>
  <c r="P108" i="29"/>
  <c r="P114" i="29"/>
  <c r="Q109" i="29"/>
  <c r="Q110" i="29"/>
  <c r="Q108" i="29"/>
  <c r="Q113" i="29"/>
  <c r="Q111" i="29"/>
  <c r="Q112" i="29"/>
  <c r="Q114" i="29"/>
  <c r="F121" i="29"/>
  <c r="F116" i="29"/>
  <c r="F118" i="29"/>
  <c r="F119" i="29"/>
  <c r="F117" i="29"/>
  <c r="F115" i="29"/>
  <c r="F120" i="29"/>
  <c r="L127" i="21"/>
  <c r="L124" i="21"/>
  <c r="L126" i="21"/>
  <c r="L129" i="21"/>
  <c r="L128" i="21"/>
  <c r="L125" i="21"/>
  <c r="L123" i="21"/>
  <c r="L33" i="21"/>
  <c r="L38" i="21"/>
  <c r="L34" i="21"/>
  <c r="L36" i="21"/>
  <c r="L35" i="21"/>
  <c r="L37" i="21"/>
  <c r="L32" i="21"/>
  <c r="E106" i="29"/>
  <c r="E104" i="29"/>
  <c r="E102" i="29"/>
  <c r="E103" i="29"/>
  <c r="E107" i="29"/>
  <c r="E105" i="29"/>
  <c r="E101" i="29"/>
  <c r="O112" i="29"/>
  <c r="O110" i="29"/>
  <c r="O108" i="29"/>
  <c r="O109" i="29"/>
  <c r="O113" i="29"/>
  <c r="O111" i="29"/>
  <c r="O114" i="29"/>
  <c r="L111" i="21"/>
  <c r="L109" i="21"/>
  <c r="L114" i="21"/>
  <c r="L113" i="21"/>
  <c r="L110" i="21"/>
  <c r="L115" i="21"/>
  <c r="L112" i="21"/>
  <c r="D117" i="29"/>
  <c r="D118" i="29"/>
  <c r="D120" i="29"/>
  <c r="D115" i="29"/>
  <c r="D116" i="29"/>
  <c r="D121" i="29"/>
  <c r="D119" i="29"/>
  <c r="E31" i="21"/>
  <c r="E26" i="21"/>
  <c r="E30" i="21"/>
  <c r="E28" i="21"/>
  <c r="E25" i="21"/>
  <c r="E29" i="21"/>
  <c r="E27" i="21"/>
  <c r="N116" i="21"/>
  <c r="N120" i="21"/>
  <c r="N118" i="21"/>
  <c r="N122" i="21"/>
  <c r="N119" i="21"/>
  <c r="N121" i="21"/>
  <c r="N117" i="21"/>
  <c r="I17" i="21"/>
  <c r="I12" i="21"/>
  <c r="I11" i="21"/>
  <c r="I13" i="21"/>
  <c r="I14" i="21"/>
  <c r="I16" i="21"/>
  <c r="I15" i="21"/>
  <c r="J114" i="21"/>
  <c r="J115" i="21"/>
  <c r="J112" i="21"/>
  <c r="J110" i="21"/>
  <c r="J109" i="21"/>
  <c r="J111" i="21"/>
  <c r="J113" i="21"/>
  <c r="K58" i="21"/>
  <c r="K55" i="21"/>
  <c r="K54" i="21"/>
  <c r="K56" i="21"/>
  <c r="K59" i="21"/>
  <c r="K57" i="21"/>
  <c r="K53" i="21"/>
  <c r="Q65" i="21"/>
  <c r="Q61" i="21"/>
  <c r="Q62" i="21"/>
  <c r="Q66" i="21"/>
  <c r="Q63" i="21"/>
  <c r="Q64" i="21"/>
  <c r="Q60" i="21"/>
  <c r="F62" i="21"/>
  <c r="F66" i="21"/>
  <c r="F60" i="21"/>
  <c r="F64" i="21"/>
  <c r="F65" i="21"/>
  <c r="F63" i="21"/>
  <c r="F61" i="21"/>
  <c r="D30" i="21"/>
  <c r="D26" i="21"/>
  <c r="D31" i="21"/>
  <c r="D27" i="21"/>
  <c r="D28" i="21"/>
  <c r="D25" i="21"/>
  <c r="D29" i="21"/>
  <c r="C90" i="21"/>
  <c r="C91" i="21"/>
  <c r="C93" i="21"/>
  <c r="C89" i="21"/>
  <c r="C94" i="21"/>
  <c r="C92" i="21"/>
  <c r="C88" i="21"/>
  <c r="C101" i="21"/>
  <c r="C98" i="21"/>
  <c r="C96" i="21"/>
  <c r="C97" i="21"/>
  <c r="C100" i="21"/>
  <c r="C99" i="21"/>
  <c r="C95" i="21"/>
  <c r="C17" i="21"/>
  <c r="C15" i="21"/>
  <c r="C13" i="21"/>
  <c r="C12" i="21"/>
  <c r="C16" i="21"/>
  <c r="C11" i="21"/>
  <c r="C14" i="21"/>
  <c r="O124" i="21"/>
  <c r="O128" i="21"/>
  <c r="O123" i="21"/>
  <c r="O129" i="21"/>
  <c r="O126" i="21"/>
  <c r="O127" i="21"/>
  <c r="O125" i="21"/>
  <c r="I47" i="21"/>
  <c r="I51" i="21"/>
  <c r="I52" i="21"/>
  <c r="I48" i="21"/>
  <c r="I50" i="21"/>
  <c r="I46" i="21"/>
  <c r="I49" i="21"/>
  <c r="F88" i="21"/>
  <c r="F92" i="21"/>
  <c r="F94" i="21"/>
  <c r="F90" i="21"/>
  <c r="F89" i="21"/>
  <c r="F91" i="21"/>
  <c r="F93" i="21"/>
  <c r="M80" i="21"/>
  <c r="M77" i="21"/>
  <c r="M75" i="21"/>
  <c r="M76" i="21"/>
  <c r="M79" i="21"/>
  <c r="M74" i="21"/>
  <c r="M78" i="21"/>
  <c r="G73" i="21"/>
  <c r="G70" i="21"/>
  <c r="G71" i="21"/>
  <c r="G69" i="21"/>
  <c r="G68" i="21"/>
  <c r="G72" i="21"/>
  <c r="G67" i="21"/>
  <c r="M16" i="21"/>
  <c r="M11" i="21"/>
  <c r="M13" i="21"/>
  <c r="M15" i="21"/>
  <c r="M14" i="21"/>
  <c r="M12" i="21"/>
  <c r="M17" i="21"/>
  <c r="O100" i="21"/>
  <c r="O95" i="21"/>
  <c r="O99" i="21"/>
  <c r="O96" i="21"/>
  <c r="O97" i="21"/>
  <c r="O98" i="21"/>
  <c r="O101" i="21"/>
  <c r="H110" i="21"/>
  <c r="H112" i="21"/>
  <c r="H114" i="21"/>
  <c r="H113" i="21"/>
  <c r="H111" i="21"/>
  <c r="H109" i="21"/>
  <c r="H115" i="21"/>
  <c r="F54" i="21"/>
  <c r="F57" i="21"/>
  <c r="F59" i="21"/>
  <c r="F56" i="21"/>
  <c r="F53" i="21"/>
  <c r="F55" i="21"/>
  <c r="F58" i="21"/>
  <c r="Q42" i="21"/>
  <c r="Q43" i="21"/>
  <c r="Q39" i="21"/>
  <c r="Q44" i="21"/>
  <c r="Q40" i="21"/>
  <c r="Q45" i="21"/>
  <c r="Q41" i="21"/>
  <c r="K23" i="21"/>
  <c r="K24" i="21"/>
  <c r="K20" i="21"/>
  <c r="K22" i="21"/>
  <c r="K21" i="21"/>
  <c r="K18" i="21"/>
  <c r="K19" i="21"/>
  <c r="H127" i="21"/>
  <c r="H125" i="21"/>
  <c r="H126" i="21"/>
  <c r="H128" i="21"/>
  <c r="H129" i="21"/>
  <c r="H123" i="21"/>
  <c r="H124" i="21"/>
  <c r="C65" i="21"/>
  <c r="C62" i="21"/>
  <c r="C66" i="21"/>
  <c r="C64" i="21"/>
  <c r="C60" i="21"/>
  <c r="C61" i="21"/>
  <c r="C63" i="21"/>
  <c r="M18" i="21"/>
  <c r="M20" i="21"/>
  <c r="M19" i="21"/>
  <c r="M23" i="21"/>
  <c r="M24" i="21"/>
  <c r="M21" i="21"/>
  <c r="M22" i="21"/>
  <c r="P87" i="21"/>
  <c r="P82" i="21"/>
  <c r="P84" i="21"/>
  <c r="P86" i="21"/>
  <c r="P85" i="21"/>
  <c r="P83" i="21"/>
  <c r="P81" i="21"/>
  <c r="O65" i="21"/>
  <c r="O64" i="21"/>
  <c r="O60" i="21"/>
  <c r="O63" i="21"/>
  <c r="O62" i="21"/>
  <c r="O61" i="21"/>
  <c r="O66" i="21"/>
  <c r="F41" i="21"/>
  <c r="F39" i="21"/>
  <c r="F43" i="21"/>
  <c r="F42" i="21"/>
  <c r="F45" i="21"/>
  <c r="F40" i="21"/>
  <c r="F44" i="21"/>
  <c r="K25" i="21"/>
  <c r="K30" i="21"/>
  <c r="K31" i="21"/>
  <c r="K27" i="21"/>
  <c r="K26" i="21"/>
  <c r="K29" i="21"/>
  <c r="K28" i="21"/>
  <c r="J60" i="21"/>
  <c r="J65" i="21"/>
  <c r="J61" i="21"/>
  <c r="J62" i="21"/>
  <c r="J66" i="21"/>
  <c r="J63" i="21"/>
  <c r="J64" i="21"/>
  <c r="G58" i="21"/>
  <c r="G54" i="21"/>
  <c r="G59" i="21"/>
  <c r="G55" i="21"/>
  <c r="G56" i="21"/>
  <c r="G57" i="21"/>
  <c r="G53" i="21"/>
  <c r="G35" i="21"/>
  <c r="G33" i="21"/>
  <c r="G37" i="21"/>
  <c r="G34" i="21"/>
  <c r="G36" i="21"/>
  <c r="G38" i="21"/>
  <c r="G32" i="21"/>
  <c r="I94" i="21"/>
  <c r="I92" i="21"/>
  <c r="I88" i="21"/>
  <c r="I90" i="21"/>
  <c r="I93" i="21"/>
  <c r="I91" i="21"/>
  <c r="I89" i="21"/>
  <c r="E117" i="21"/>
  <c r="E118" i="21"/>
  <c r="E122" i="21"/>
  <c r="E121" i="21"/>
  <c r="E116" i="21"/>
  <c r="E120" i="21"/>
  <c r="E119" i="21"/>
  <c r="I123" i="21"/>
  <c r="I125" i="21"/>
  <c r="I126" i="21"/>
  <c r="I127" i="21"/>
  <c r="I129" i="21"/>
  <c r="I128" i="21"/>
  <c r="I124" i="21"/>
  <c r="P17" i="21"/>
  <c r="P13" i="21"/>
  <c r="P16" i="21"/>
  <c r="P11" i="21"/>
  <c r="P15" i="21"/>
  <c r="P14" i="21"/>
  <c r="P12" i="21"/>
  <c r="N71" i="21"/>
  <c r="N69" i="21"/>
  <c r="N70" i="21"/>
  <c r="N73" i="21"/>
  <c r="N67" i="21"/>
  <c r="N68" i="21"/>
  <c r="N72" i="21"/>
  <c r="I69" i="21"/>
  <c r="I73" i="21"/>
  <c r="I71" i="21"/>
  <c r="I68" i="21"/>
  <c r="I67" i="21"/>
  <c r="I72" i="21"/>
  <c r="I70" i="21"/>
  <c r="G30" i="21"/>
  <c r="G26" i="21"/>
  <c r="G25" i="21"/>
  <c r="G29" i="21"/>
  <c r="G31" i="21"/>
  <c r="G28" i="21"/>
  <c r="G27" i="21"/>
  <c r="G123" i="21"/>
  <c r="G126" i="21"/>
  <c r="G125" i="21"/>
  <c r="G128" i="21"/>
  <c r="G127" i="21"/>
  <c r="G124" i="21"/>
  <c r="G129" i="21"/>
  <c r="H63" i="21"/>
  <c r="H61" i="21"/>
  <c r="H62" i="21"/>
  <c r="H66" i="21"/>
  <c r="H60" i="21"/>
  <c r="H64" i="21"/>
  <c r="H65" i="21"/>
  <c r="C102" i="21"/>
  <c r="C105" i="21"/>
  <c r="C106" i="21"/>
  <c r="C104" i="21"/>
  <c r="C108" i="21"/>
  <c r="C103" i="21"/>
  <c r="C107" i="21"/>
  <c r="D97" i="21"/>
  <c r="D95" i="21"/>
  <c r="D96" i="21"/>
  <c r="D98" i="21"/>
  <c r="D99" i="21"/>
  <c r="D101" i="21"/>
  <c r="D100" i="21"/>
  <c r="J46" i="21"/>
  <c r="J48" i="21"/>
  <c r="J51" i="21"/>
  <c r="J52" i="21"/>
  <c r="J49" i="21"/>
  <c r="J47" i="21"/>
  <c r="J50" i="21"/>
  <c r="O31" i="21"/>
  <c r="O27" i="21"/>
  <c r="O29" i="21"/>
  <c r="O26" i="21"/>
  <c r="O25" i="21"/>
  <c r="O30" i="21"/>
  <c r="O28" i="21"/>
  <c r="F16" i="21"/>
  <c r="F11" i="21"/>
  <c r="F15" i="21"/>
  <c r="F17" i="21"/>
  <c r="F12" i="21"/>
  <c r="F14" i="21"/>
  <c r="F13" i="21"/>
  <c r="K101" i="21"/>
  <c r="K97" i="21"/>
  <c r="K99" i="21"/>
  <c r="K98" i="21"/>
  <c r="K100" i="21"/>
  <c r="K95" i="21"/>
  <c r="K96" i="21"/>
  <c r="O68" i="21"/>
  <c r="O69" i="21"/>
  <c r="O72" i="21"/>
  <c r="O67" i="21"/>
  <c r="O71" i="21"/>
  <c r="O73" i="21"/>
  <c r="O70" i="21"/>
  <c r="D41" i="21"/>
  <c r="D44" i="21"/>
  <c r="D45" i="21"/>
  <c r="D42" i="21"/>
  <c r="D39" i="21"/>
  <c r="D40" i="21"/>
  <c r="D43" i="21"/>
  <c r="Q112" i="21"/>
  <c r="Q114" i="21"/>
  <c r="Q113" i="21"/>
  <c r="Q115" i="21"/>
  <c r="Q110" i="21"/>
  <c r="Q109" i="21"/>
  <c r="Q111" i="21"/>
  <c r="P100" i="21"/>
  <c r="P96" i="21"/>
  <c r="P98" i="21"/>
  <c r="P95" i="21"/>
  <c r="P99" i="21"/>
  <c r="P101" i="21"/>
  <c r="P97" i="21"/>
  <c r="J37" i="21"/>
  <c r="J34" i="21"/>
  <c r="J32" i="21"/>
  <c r="J36" i="21"/>
  <c r="J33" i="21"/>
  <c r="J35" i="21"/>
  <c r="J38" i="21"/>
  <c r="E16" i="21"/>
  <c r="E12" i="21"/>
  <c r="E17" i="21"/>
  <c r="E13" i="21"/>
  <c r="E14" i="21"/>
  <c r="E15" i="21"/>
  <c r="E11" i="21"/>
  <c r="Q50" i="21"/>
  <c r="Q52" i="21"/>
  <c r="Q47" i="21"/>
  <c r="Q49" i="21"/>
  <c r="Q51" i="21"/>
  <c r="Q48" i="21"/>
  <c r="Q46" i="21"/>
  <c r="M43" i="21"/>
  <c r="M44" i="21"/>
  <c r="M40" i="21"/>
  <c r="M39" i="21"/>
  <c r="M42" i="21"/>
  <c r="M45" i="21"/>
  <c r="M41" i="21"/>
  <c r="Q81" i="21"/>
  <c r="Q83" i="21"/>
  <c r="Q86" i="21"/>
  <c r="Q85" i="21"/>
  <c r="Q87" i="21"/>
  <c r="Q84" i="21"/>
  <c r="Q82" i="21"/>
  <c r="D37" i="21"/>
  <c r="D35" i="21"/>
  <c r="D38" i="21"/>
  <c r="D36" i="21"/>
  <c r="D34" i="21"/>
  <c r="D32" i="21"/>
  <c r="D33" i="21"/>
  <c r="L52" i="21"/>
  <c r="L47" i="21"/>
  <c r="L51" i="21"/>
  <c r="L46" i="21"/>
  <c r="L50" i="21"/>
  <c r="L49" i="21"/>
  <c r="L48" i="21"/>
  <c r="J129" i="21"/>
  <c r="J124" i="21"/>
  <c r="J126" i="21"/>
  <c r="J125" i="21"/>
  <c r="J128" i="21"/>
  <c r="J123" i="21"/>
  <c r="J127" i="21"/>
  <c r="I45" i="21"/>
  <c r="I41" i="21"/>
  <c r="I44" i="21"/>
  <c r="I39" i="21"/>
  <c r="I40" i="21"/>
  <c r="I43" i="21"/>
  <c r="I42" i="21"/>
  <c r="O89" i="21"/>
  <c r="O93" i="21"/>
  <c r="O90" i="21"/>
  <c r="O91" i="21"/>
  <c r="O92" i="21"/>
  <c r="O88" i="21"/>
  <c r="O94" i="21"/>
  <c r="K89" i="21"/>
  <c r="K93" i="21"/>
  <c r="K88" i="21"/>
  <c r="K90" i="21"/>
  <c r="K92" i="21"/>
  <c r="K91" i="21"/>
  <c r="K94" i="21"/>
  <c r="H27" i="21"/>
  <c r="H28" i="21"/>
  <c r="H25" i="21"/>
  <c r="H30" i="21"/>
  <c r="H31" i="21"/>
  <c r="H29" i="21"/>
  <c r="H26" i="21"/>
  <c r="D119" i="21"/>
  <c r="D122" i="21"/>
  <c r="D121" i="21"/>
  <c r="D120" i="21"/>
  <c r="D116" i="21"/>
  <c r="D118" i="21"/>
  <c r="D117" i="21"/>
  <c r="L101" i="21"/>
  <c r="L95" i="21"/>
  <c r="L99" i="21"/>
  <c r="L100" i="21"/>
  <c r="L98" i="21"/>
  <c r="L96" i="21"/>
  <c r="L97" i="21"/>
  <c r="M83" i="21"/>
  <c r="M84" i="21"/>
  <c r="M82" i="21"/>
  <c r="M81" i="21"/>
  <c r="M86" i="21"/>
  <c r="M85" i="21"/>
  <c r="M87" i="21"/>
  <c r="I97" i="21"/>
  <c r="I95" i="21"/>
  <c r="I96" i="21"/>
  <c r="I101" i="21"/>
  <c r="I100" i="21"/>
  <c r="I98" i="21"/>
  <c r="I99" i="21"/>
  <c r="D124" i="21"/>
  <c r="D126" i="21"/>
  <c r="D123" i="21"/>
  <c r="D128" i="21"/>
  <c r="D127" i="21"/>
  <c r="D125" i="21"/>
  <c r="D129" i="21"/>
  <c r="F122" i="21"/>
  <c r="F116" i="21"/>
  <c r="F121" i="21"/>
  <c r="F119" i="21"/>
  <c r="F120" i="21"/>
  <c r="F117" i="21"/>
  <c r="F118" i="21"/>
  <c r="E86" i="21"/>
  <c r="E83" i="21"/>
  <c r="E84" i="21"/>
  <c r="E87" i="21"/>
  <c r="E85" i="21"/>
  <c r="E81" i="21"/>
  <c r="E82" i="21"/>
  <c r="M116" i="21"/>
  <c r="M118" i="21"/>
  <c r="M122" i="21"/>
  <c r="M117" i="21"/>
  <c r="M120" i="21"/>
  <c r="M119" i="21"/>
  <c r="M121" i="21"/>
  <c r="P62" i="21"/>
  <c r="P66" i="21"/>
  <c r="P63" i="21"/>
  <c r="P64" i="21"/>
  <c r="P60" i="21"/>
  <c r="P65" i="21"/>
  <c r="P61" i="21"/>
  <c r="K64" i="21"/>
  <c r="K60" i="21"/>
  <c r="K63" i="21"/>
  <c r="K61" i="21"/>
  <c r="K62" i="21"/>
  <c r="K66" i="21"/>
  <c r="K65" i="21"/>
  <c r="H70" i="21"/>
  <c r="H71" i="21"/>
  <c r="H67" i="21"/>
  <c r="H73" i="21"/>
  <c r="H68" i="21"/>
  <c r="H69" i="21"/>
  <c r="H72" i="21"/>
  <c r="D115" i="21"/>
  <c r="D112" i="21"/>
  <c r="D111" i="21"/>
  <c r="D113" i="21"/>
  <c r="D110" i="21"/>
  <c r="D114" i="21"/>
  <c r="D109" i="21"/>
  <c r="N93" i="21"/>
  <c r="N89" i="21"/>
  <c r="N91" i="21"/>
  <c r="N94" i="21"/>
  <c r="N90" i="21"/>
  <c r="N92" i="21"/>
  <c r="N88" i="21"/>
  <c r="G90" i="21"/>
  <c r="G94" i="21"/>
  <c r="G93" i="21"/>
  <c r="G88" i="21"/>
  <c r="G89" i="21"/>
  <c r="G92" i="21"/>
  <c r="G91" i="21"/>
  <c r="O58" i="21"/>
  <c r="O57" i="21"/>
  <c r="O59" i="21"/>
  <c r="O56" i="21"/>
  <c r="O54" i="21"/>
  <c r="O53" i="21"/>
  <c r="O55" i="21"/>
  <c r="F124" i="21"/>
  <c r="F129" i="21"/>
  <c r="F126" i="21"/>
  <c r="F125" i="21"/>
  <c r="F123" i="21"/>
  <c r="F127" i="21"/>
  <c r="F128" i="21"/>
  <c r="H121" i="21"/>
  <c r="H118" i="21"/>
  <c r="H117" i="21"/>
  <c r="H122" i="21"/>
  <c r="H119" i="21"/>
  <c r="H120" i="21"/>
  <c r="H116" i="21"/>
  <c r="N51" i="21"/>
  <c r="N47" i="21"/>
  <c r="N52" i="21"/>
  <c r="N49" i="21"/>
  <c r="N48" i="21"/>
  <c r="N46" i="21"/>
  <c r="N50" i="21"/>
  <c r="N127" i="21"/>
  <c r="N125" i="21"/>
  <c r="N123" i="21"/>
  <c r="N126" i="21"/>
  <c r="N128" i="21"/>
  <c r="N129" i="21"/>
  <c r="N124" i="21"/>
  <c r="C112" i="21"/>
  <c r="C109" i="21"/>
  <c r="C110" i="21"/>
  <c r="C115" i="21"/>
  <c r="C113" i="21"/>
  <c r="C111" i="21"/>
  <c r="C114" i="21"/>
  <c r="J58" i="21"/>
  <c r="J54" i="21"/>
  <c r="J57" i="21"/>
  <c r="J55" i="21"/>
  <c r="J56" i="21"/>
  <c r="J59" i="21"/>
  <c r="J53" i="21"/>
  <c r="C84" i="21"/>
  <c r="C81" i="21"/>
  <c r="C82" i="21"/>
  <c r="C85" i="21"/>
  <c r="C83" i="21"/>
  <c r="C86" i="21"/>
  <c r="C87" i="21"/>
  <c r="N79" i="21"/>
  <c r="N80" i="21"/>
  <c r="N75" i="21"/>
  <c r="N76" i="21"/>
  <c r="N77" i="21"/>
  <c r="N74" i="21"/>
  <c r="N78" i="21"/>
  <c r="G77" i="21"/>
  <c r="G79" i="21"/>
  <c r="G76" i="21"/>
  <c r="G78" i="21"/>
  <c r="G74" i="21"/>
  <c r="G75" i="21"/>
  <c r="G80" i="21"/>
  <c r="P27" i="21"/>
  <c r="P28" i="21"/>
  <c r="P26" i="21"/>
  <c r="P25" i="21"/>
  <c r="P30" i="21"/>
  <c r="P31" i="21"/>
  <c r="P29" i="21"/>
  <c r="N11" i="21"/>
  <c r="N13" i="21"/>
  <c r="N14" i="21"/>
  <c r="N15" i="21"/>
  <c r="N17" i="21"/>
  <c r="N12" i="21"/>
  <c r="N16" i="21"/>
  <c r="M124" i="21"/>
  <c r="M129" i="21"/>
  <c r="M128" i="21"/>
  <c r="M127" i="21"/>
  <c r="M123" i="21"/>
  <c r="M125" i="21"/>
  <c r="M126" i="21"/>
  <c r="Q107" i="21"/>
  <c r="Q102" i="21"/>
  <c r="Q106" i="21"/>
  <c r="Q108" i="21"/>
  <c r="Q103" i="21"/>
  <c r="Q104" i="21"/>
  <c r="Q105" i="21"/>
  <c r="E80" i="21"/>
  <c r="E78" i="21"/>
  <c r="E79" i="21"/>
  <c r="E75" i="21"/>
  <c r="E76" i="21"/>
  <c r="E74" i="21"/>
  <c r="E77" i="21"/>
  <c r="K48" i="21"/>
  <c r="K50" i="21"/>
  <c r="K46" i="21"/>
  <c r="K52" i="21"/>
  <c r="K49" i="21"/>
  <c r="K47" i="21"/>
  <c r="K51" i="21"/>
  <c r="C67" i="21"/>
  <c r="C71" i="21"/>
  <c r="C73" i="21"/>
  <c r="C68" i="21"/>
  <c r="C72" i="21"/>
  <c r="C70" i="21"/>
  <c r="C69" i="21"/>
  <c r="D91" i="21"/>
  <c r="D90" i="21"/>
  <c r="D94" i="21"/>
  <c r="D89" i="21"/>
  <c r="D88" i="21"/>
  <c r="D92" i="21"/>
  <c r="D93" i="21"/>
  <c r="M96" i="21"/>
  <c r="M97" i="21"/>
  <c r="M98" i="21"/>
  <c r="M101" i="21"/>
  <c r="M100" i="21"/>
  <c r="M95" i="21"/>
  <c r="M99" i="21"/>
  <c r="M60" i="21"/>
  <c r="M63" i="21"/>
  <c r="M65" i="21"/>
  <c r="M62" i="21"/>
  <c r="M66" i="21"/>
  <c r="M61" i="21"/>
  <c r="M64" i="21"/>
  <c r="E90" i="21"/>
  <c r="E89" i="21"/>
  <c r="E91" i="21"/>
  <c r="E94" i="21"/>
  <c r="E93" i="21"/>
  <c r="E88" i="21"/>
  <c r="E92" i="21"/>
  <c r="M113" i="21"/>
  <c r="M115" i="21"/>
  <c r="M110" i="21"/>
  <c r="M112" i="21"/>
  <c r="M111" i="21"/>
  <c r="M109" i="21"/>
  <c r="M114" i="21"/>
  <c r="K127" i="21"/>
  <c r="K126" i="21"/>
  <c r="K128" i="21"/>
  <c r="K125" i="21"/>
  <c r="K123" i="21"/>
  <c r="K129" i="21"/>
  <c r="K124" i="21"/>
  <c r="N20" i="21"/>
  <c r="N24" i="21"/>
  <c r="N21" i="21"/>
  <c r="N22" i="21"/>
  <c r="N19" i="21"/>
  <c r="N23" i="21"/>
  <c r="N18" i="21"/>
  <c r="G63" i="21"/>
  <c r="G64" i="21"/>
  <c r="G65" i="21"/>
  <c r="G66" i="21"/>
  <c r="G62" i="21"/>
  <c r="G60" i="21"/>
  <c r="G61" i="21"/>
  <c r="O78" i="21"/>
  <c r="O79" i="21"/>
  <c r="O74" i="21"/>
  <c r="O75" i="21"/>
  <c r="O76" i="21"/>
  <c r="O80" i="21"/>
  <c r="O77" i="21"/>
  <c r="E34" i="21"/>
  <c r="E32" i="21"/>
  <c r="E37" i="21"/>
  <c r="E33" i="21"/>
  <c r="E38" i="21"/>
  <c r="E36" i="21"/>
  <c r="E35" i="21"/>
  <c r="L59" i="21"/>
  <c r="L56" i="21"/>
  <c r="L55" i="21"/>
  <c r="L54" i="21"/>
  <c r="L58" i="21"/>
  <c r="L57" i="21"/>
  <c r="L53" i="21"/>
  <c r="O33" i="21"/>
  <c r="O38" i="21"/>
  <c r="O37" i="21"/>
  <c r="O34" i="21"/>
  <c r="O32" i="21"/>
  <c r="O36" i="21"/>
  <c r="O35" i="21"/>
  <c r="J87" i="21"/>
  <c r="J85" i="21"/>
  <c r="J84" i="21"/>
  <c r="J82" i="21"/>
  <c r="J86" i="21"/>
  <c r="J81" i="21"/>
  <c r="J83" i="21"/>
  <c r="K122" i="21"/>
  <c r="K117" i="21"/>
  <c r="K119" i="21"/>
  <c r="K116" i="21"/>
  <c r="K121" i="21"/>
  <c r="K120" i="21"/>
  <c r="K118" i="21"/>
  <c r="C124" i="21"/>
  <c r="C123" i="21"/>
  <c r="C129" i="21"/>
  <c r="C126" i="21"/>
  <c r="C127" i="21"/>
  <c r="C125" i="21"/>
  <c r="C128" i="21"/>
  <c r="F31" i="21"/>
  <c r="F27" i="21"/>
  <c r="F28" i="21"/>
  <c r="F26" i="21"/>
  <c r="F29" i="21"/>
  <c r="F25" i="21"/>
  <c r="F30" i="21"/>
  <c r="N102" i="21"/>
  <c r="N107" i="21"/>
  <c r="N104" i="21"/>
  <c r="N103" i="21"/>
  <c r="N108" i="21"/>
  <c r="N106" i="21"/>
  <c r="N105" i="21"/>
  <c r="O116" i="21"/>
  <c r="O119" i="21"/>
  <c r="O120" i="21"/>
  <c r="O118" i="21"/>
  <c r="O117" i="21"/>
  <c r="O121" i="21"/>
  <c r="O122" i="21"/>
  <c r="C116" i="21"/>
  <c r="C120" i="21"/>
  <c r="C118" i="21"/>
  <c r="C121" i="21"/>
  <c r="C122" i="21"/>
  <c r="C119" i="21"/>
  <c r="C117" i="21"/>
  <c r="Q97" i="21"/>
  <c r="Q101" i="21"/>
  <c r="Q99" i="21"/>
  <c r="Q98" i="21"/>
  <c r="Q96" i="21"/>
  <c r="Q95" i="21"/>
  <c r="Q100" i="21"/>
  <c r="O112" i="21"/>
  <c r="O109" i="21"/>
  <c r="O113" i="21"/>
  <c r="O114" i="21"/>
  <c r="O110" i="21"/>
  <c r="O115" i="21"/>
  <c r="O111" i="21"/>
  <c r="L11" i="21"/>
  <c r="L13" i="21"/>
  <c r="L15" i="21"/>
  <c r="L17" i="21"/>
  <c r="L12" i="21"/>
  <c r="L14" i="21"/>
  <c r="L16" i="21"/>
  <c r="C42" i="21"/>
  <c r="C45" i="21"/>
  <c r="C41" i="21"/>
  <c r="C40" i="21"/>
  <c r="C39" i="21"/>
  <c r="C44" i="21"/>
  <c r="C43" i="21"/>
  <c r="J95" i="21"/>
  <c r="J100" i="21"/>
  <c r="J96" i="21"/>
  <c r="J97" i="21"/>
  <c r="J101" i="21"/>
  <c r="J98" i="21"/>
  <c r="J99" i="21"/>
  <c r="K77" i="21"/>
  <c r="K75" i="21"/>
  <c r="K76" i="21"/>
  <c r="K78" i="21"/>
  <c r="K80" i="21"/>
  <c r="K79" i="21"/>
  <c r="K74" i="21"/>
  <c r="F97" i="21"/>
  <c r="F96" i="21"/>
  <c r="F100" i="21"/>
  <c r="F95" i="21"/>
  <c r="F98" i="21"/>
  <c r="F101" i="21"/>
  <c r="F99" i="21"/>
  <c r="H58" i="21"/>
  <c r="H54" i="21"/>
  <c r="H55" i="21"/>
  <c r="H57" i="21"/>
  <c r="H56" i="21"/>
  <c r="H59" i="21"/>
  <c r="H53" i="21"/>
  <c r="P51" i="21"/>
  <c r="P47" i="21"/>
  <c r="P50" i="21"/>
  <c r="P52" i="21"/>
  <c r="P46" i="21"/>
  <c r="P48" i="21"/>
  <c r="P49" i="21"/>
  <c r="E491" i="18" l="1"/>
  <c r="O490" i="18"/>
  <c r="E495" i="18"/>
  <c r="G568" i="18"/>
  <c r="E75" i="18"/>
  <c r="E496" i="18"/>
  <c r="C493" i="18"/>
  <c r="M520" i="18"/>
  <c r="C76" i="18"/>
  <c r="K530" i="18"/>
  <c r="C520" i="18"/>
  <c r="I491" i="28"/>
  <c r="G75" i="28"/>
  <c r="G505" i="28"/>
  <c r="E493" i="28"/>
  <c r="K503" i="18"/>
  <c r="M557" i="18"/>
  <c r="I568" i="18"/>
  <c r="O562" i="18"/>
  <c r="G533" i="18"/>
  <c r="I526" i="18"/>
  <c r="I522" i="18"/>
  <c r="C505" i="18"/>
  <c r="O557" i="18"/>
  <c r="I561" i="18"/>
  <c r="M553" i="18"/>
  <c r="O523" i="18"/>
  <c r="M493" i="18"/>
  <c r="G530" i="18"/>
  <c r="I552" i="18"/>
  <c r="E555" i="18"/>
  <c r="M562" i="18"/>
  <c r="M503" i="18"/>
  <c r="O495" i="18"/>
  <c r="C557" i="18"/>
  <c r="G81" i="18"/>
  <c r="E567" i="18"/>
  <c r="M563" i="18"/>
  <c r="G491" i="18"/>
  <c r="O536" i="18"/>
  <c r="C503" i="18"/>
  <c r="K563" i="18"/>
  <c r="K568" i="18"/>
  <c r="I563" i="18"/>
  <c r="G78" i="28"/>
  <c r="O491" i="18"/>
  <c r="O538" i="18"/>
  <c r="E520" i="18"/>
  <c r="M552" i="18"/>
  <c r="G521" i="28"/>
  <c r="K523" i="28"/>
  <c r="K492" i="28"/>
  <c r="O503" i="28"/>
  <c r="I566" i="28"/>
  <c r="I527" i="28"/>
  <c r="E553" i="18"/>
  <c r="K551" i="28"/>
  <c r="I508" i="28"/>
  <c r="E522" i="18"/>
  <c r="M538" i="18"/>
  <c r="E506" i="18"/>
  <c r="K566" i="18"/>
  <c r="E83" i="28"/>
  <c r="G86" i="18"/>
  <c r="M491" i="18"/>
  <c r="C521" i="18"/>
  <c r="E551" i="18"/>
  <c r="G77" i="18"/>
  <c r="G563" i="18"/>
  <c r="K526" i="18"/>
  <c r="G551" i="18"/>
  <c r="K531" i="18"/>
  <c r="I502" i="18"/>
  <c r="K538" i="18"/>
  <c r="O531" i="28"/>
  <c r="K531" i="28"/>
  <c r="E492" i="28"/>
  <c r="I557" i="28"/>
  <c r="E78" i="28"/>
  <c r="K558" i="28"/>
  <c r="K535" i="28"/>
  <c r="E496" i="28"/>
  <c r="I555" i="28"/>
  <c r="G552" i="28"/>
  <c r="E85" i="28"/>
  <c r="E71" i="28"/>
  <c r="C495" i="28"/>
  <c r="C531" i="28"/>
  <c r="I522" i="28"/>
  <c r="C523" i="18"/>
  <c r="G72" i="18"/>
  <c r="M498" i="18"/>
  <c r="K498" i="18"/>
  <c r="G83" i="18"/>
  <c r="O553" i="18"/>
  <c r="O493" i="18"/>
  <c r="G527" i="18"/>
  <c r="C496" i="18"/>
  <c r="O530" i="18"/>
  <c r="O507" i="18"/>
  <c r="M561" i="18"/>
  <c r="M526" i="18"/>
  <c r="M521" i="18"/>
  <c r="K500" i="18"/>
  <c r="G500" i="18"/>
  <c r="K533" i="18"/>
  <c r="I553" i="18"/>
  <c r="E490" i="18"/>
  <c r="M560" i="18"/>
  <c r="G567" i="18"/>
  <c r="C87" i="28"/>
  <c r="G522" i="18"/>
  <c r="E556" i="18"/>
  <c r="E532" i="18"/>
  <c r="K550" i="18"/>
  <c r="O520" i="18"/>
  <c r="K562" i="18"/>
  <c r="I520" i="18"/>
  <c r="K555" i="18"/>
  <c r="M522" i="28"/>
  <c r="G563" i="28"/>
  <c r="C533" i="28"/>
  <c r="O525" i="28"/>
  <c r="C72" i="28"/>
  <c r="G533" i="28"/>
  <c r="C491" i="28"/>
  <c r="C558" i="28"/>
  <c r="K527" i="28"/>
  <c r="G536" i="28"/>
  <c r="G520" i="18"/>
  <c r="E530" i="18"/>
  <c r="K502" i="18"/>
  <c r="M531" i="18"/>
  <c r="O551" i="18"/>
  <c r="E501" i="18"/>
  <c r="O555" i="18"/>
  <c r="G506" i="18"/>
  <c r="E555" i="28"/>
  <c r="K562" i="28"/>
  <c r="G521" i="18"/>
  <c r="M501" i="28"/>
  <c r="C558" i="18"/>
  <c r="O566" i="18"/>
  <c r="O525" i="18"/>
  <c r="G88" i="18"/>
  <c r="G73" i="18"/>
  <c r="G503" i="18"/>
  <c r="I551" i="18"/>
  <c r="O508" i="18"/>
  <c r="E80" i="18"/>
  <c r="E88" i="18"/>
  <c r="E526" i="18"/>
  <c r="E76" i="28"/>
  <c r="E557" i="28"/>
  <c r="I535" i="28"/>
  <c r="G76" i="18"/>
  <c r="M507" i="18"/>
  <c r="M527" i="18"/>
  <c r="O565" i="18"/>
  <c r="G556" i="18"/>
  <c r="E566" i="18"/>
  <c r="G85" i="18"/>
  <c r="M536" i="18"/>
  <c r="I500" i="28"/>
  <c r="I557" i="18"/>
  <c r="O535" i="18"/>
  <c r="M532" i="28"/>
  <c r="M521" i="28"/>
  <c r="C552" i="28"/>
  <c r="K495" i="28"/>
  <c r="E71" i="18"/>
  <c r="K523" i="18"/>
  <c r="E70" i="18"/>
  <c r="G525" i="18"/>
  <c r="O501" i="18"/>
  <c r="I492" i="18"/>
  <c r="C538" i="18"/>
  <c r="C501" i="18"/>
  <c r="M558" i="18"/>
  <c r="C87" i="18"/>
  <c r="G505" i="18"/>
  <c r="M567" i="18"/>
  <c r="E535" i="18"/>
  <c r="G553" i="18"/>
  <c r="M502" i="18"/>
  <c r="M568" i="18"/>
  <c r="G565" i="18"/>
  <c r="O502" i="18"/>
  <c r="I506" i="18"/>
  <c r="M523" i="18"/>
  <c r="O505" i="18"/>
  <c r="M551" i="18"/>
  <c r="O521" i="18"/>
  <c r="K536" i="18"/>
  <c r="E528" i="18"/>
  <c r="E493" i="18"/>
  <c r="G501" i="18"/>
  <c r="O561" i="18"/>
  <c r="M528" i="18"/>
  <c r="O536" i="28"/>
  <c r="K553" i="28"/>
  <c r="C75" i="28"/>
  <c r="C492" i="28"/>
  <c r="I496" i="28"/>
  <c r="I568" i="28"/>
  <c r="O553" i="28"/>
  <c r="G491" i="28"/>
  <c r="E523" i="18"/>
  <c r="G566" i="18"/>
  <c r="I525" i="18"/>
  <c r="G558" i="18"/>
  <c r="M497" i="18"/>
  <c r="I505" i="18"/>
  <c r="O497" i="18"/>
  <c r="E561" i="18"/>
  <c r="E83" i="18"/>
  <c r="M523" i="28"/>
  <c r="K505" i="28"/>
  <c r="O530" i="28"/>
  <c r="C530" i="18"/>
  <c r="E492" i="18"/>
  <c r="G493" i="18"/>
  <c r="C566" i="18"/>
  <c r="K495" i="18"/>
  <c r="C80" i="18"/>
  <c r="E76" i="18"/>
  <c r="G552" i="18"/>
  <c r="E503" i="18"/>
  <c r="E525" i="18"/>
  <c r="M533" i="28"/>
  <c r="C563" i="28"/>
  <c r="M500" i="18"/>
  <c r="G82" i="18"/>
  <c r="O552" i="18"/>
  <c r="K532" i="18"/>
  <c r="C552" i="18"/>
  <c r="I493" i="18"/>
  <c r="E562" i="18"/>
  <c r="E527" i="18"/>
  <c r="O526" i="18"/>
  <c r="E537" i="18"/>
  <c r="E563" i="18"/>
  <c r="C77" i="18"/>
  <c r="O492" i="18"/>
  <c r="M535" i="18"/>
  <c r="K493" i="28"/>
  <c r="K558" i="18"/>
  <c r="E521" i="28"/>
  <c r="G503" i="28"/>
  <c r="G526" i="18"/>
  <c r="I565" i="18"/>
  <c r="M565" i="18"/>
  <c r="M556" i="18"/>
  <c r="C71" i="18"/>
  <c r="M550" i="18"/>
  <c r="C75" i="18"/>
  <c r="I527" i="18"/>
  <c r="C568" i="18"/>
  <c r="K491" i="18"/>
  <c r="G555" i="18"/>
  <c r="M506" i="18"/>
  <c r="I558" i="18"/>
  <c r="E558" i="18"/>
  <c r="E507" i="18"/>
  <c r="E552" i="18"/>
  <c r="C81" i="18"/>
  <c r="E557" i="18"/>
  <c r="E81" i="28"/>
  <c r="C78" i="18"/>
  <c r="E77" i="18"/>
  <c r="E88" i="28"/>
  <c r="E550" i="18"/>
  <c r="O537" i="18"/>
  <c r="M525" i="18"/>
  <c r="M502" i="28"/>
  <c r="M501" i="18"/>
  <c r="M567" i="28"/>
  <c r="O552" i="28"/>
  <c r="I558" i="28"/>
  <c r="E567" i="28"/>
  <c r="K490" i="18"/>
  <c r="M551" i="28"/>
  <c r="O495" i="28"/>
  <c r="E495" i="28"/>
  <c r="K566" i="28"/>
  <c r="E533" i="28"/>
  <c r="G526" i="28"/>
  <c r="M530" i="18"/>
  <c r="K520" i="28"/>
  <c r="C535" i="18"/>
  <c r="G566" i="28"/>
  <c r="C530" i="28"/>
  <c r="E531" i="28"/>
  <c r="G498" i="28"/>
  <c r="C527" i="28"/>
  <c r="C507" i="28"/>
  <c r="G88" i="28"/>
  <c r="E551" i="28"/>
  <c r="E73" i="18"/>
  <c r="G561" i="18"/>
  <c r="G75" i="18"/>
  <c r="O496" i="18"/>
  <c r="G508" i="18"/>
  <c r="O522" i="18"/>
  <c r="I535" i="18"/>
  <c r="O527" i="18"/>
  <c r="C82" i="18"/>
  <c r="I536" i="18"/>
  <c r="K557" i="18"/>
  <c r="I496" i="18"/>
  <c r="M533" i="18"/>
  <c r="C528" i="18"/>
  <c r="E85" i="18"/>
  <c r="E78" i="18"/>
  <c r="K527" i="18"/>
  <c r="I528" i="18"/>
  <c r="I532" i="18"/>
  <c r="I495" i="18"/>
  <c r="I555" i="18"/>
  <c r="C551" i="18"/>
  <c r="O568" i="18"/>
  <c r="C553" i="18"/>
  <c r="G70" i="18"/>
  <c r="G497" i="18"/>
  <c r="C533" i="18"/>
  <c r="C72" i="18"/>
  <c r="I498" i="18"/>
  <c r="G498" i="18"/>
  <c r="I531" i="18"/>
  <c r="C562" i="18"/>
  <c r="M566" i="18"/>
  <c r="E565" i="18"/>
  <c r="O531" i="18"/>
  <c r="C491" i="18"/>
  <c r="K505" i="18"/>
  <c r="K492" i="18"/>
  <c r="O560" i="18"/>
  <c r="K561" i="18"/>
  <c r="C490" i="18"/>
  <c r="I530" i="18"/>
  <c r="K556" i="18"/>
  <c r="G520" i="28"/>
  <c r="G71" i="18"/>
  <c r="E500" i="28"/>
  <c r="M498" i="28"/>
  <c r="I505" i="28"/>
  <c r="O506" i="28"/>
  <c r="O550" i="28"/>
  <c r="E566" i="28"/>
  <c r="G562" i="28"/>
  <c r="K497" i="28"/>
  <c r="O560" i="28"/>
  <c r="O523" i="28"/>
  <c r="G495" i="28"/>
  <c r="C501" i="28"/>
  <c r="E86" i="28"/>
  <c r="C73" i="28"/>
  <c r="I498" i="28"/>
  <c r="O503" i="18"/>
  <c r="O506" i="18"/>
  <c r="E87" i="28"/>
  <c r="G560" i="28"/>
  <c r="E80" i="28"/>
  <c r="I523" i="28"/>
  <c r="K521" i="28"/>
  <c r="E526" i="28"/>
  <c r="O537" i="28"/>
  <c r="G523" i="18"/>
  <c r="K496" i="18"/>
  <c r="O567" i="18"/>
  <c r="O500" i="18"/>
  <c r="I566" i="18"/>
  <c r="E498" i="18"/>
  <c r="C527" i="18"/>
  <c r="O563" i="18"/>
  <c r="C507" i="18"/>
  <c r="I500" i="18"/>
  <c r="C498" i="18"/>
  <c r="I501" i="18"/>
  <c r="I521" i="18"/>
  <c r="C536" i="18"/>
  <c r="M492" i="18"/>
  <c r="I491" i="18"/>
  <c r="C531" i="18"/>
  <c r="O528" i="18"/>
  <c r="C77" i="28"/>
  <c r="E497" i="18"/>
  <c r="E538" i="18"/>
  <c r="C563" i="18"/>
  <c r="O498" i="18"/>
  <c r="C526" i="18"/>
  <c r="E86" i="18"/>
  <c r="C502" i="18"/>
  <c r="E568" i="18"/>
  <c r="I560" i="18"/>
  <c r="O532" i="18"/>
  <c r="G531" i="18"/>
  <c r="I497" i="18"/>
  <c r="E533" i="18"/>
  <c r="G560" i="18"/>
  <c r="E491" i="28"/>
  <c r="G495" i="18"/>
  <c r="C81" i="28"/>
  <c r="G85" i="28"/>
  <c r="M496" i="18"/>
  <c r="I503" i="18"/>
  <c r="G490" i="28"/>
  <c r="G565" i="28"/>
  <c r="E560" i="28"/>
  <c r="M566" i="28"/>
  <c r="O538" i="28"/>
  <c r="K556" i="28"/>
  <c r="O508" i="28"/>
  <c r="M561" i="28"/>
  <c r="C70" i="28"/>
  <c r="M508" i="28"/>
  <c r="C88" i="28"/>
  <c r="M526" i="28"/>
  <c r="E502" i="28"/>
  <c r="I532" i="28"/>
  <c r="I553" i="28"/>
  <c r="G550" i="28"/>
  <c r="I552" i="28"/>
  <c r="I507" i="28"/>
  <c r="O502" i="28"/>
  <c r="K498" i="28"/>
  <c r="M527" i="28"/>
  <c r="C502" i="28"/>
  <c r="I550" i="28"/>
  <c r="I501" i="28"/>
  <c r="O566" i="28"/>
  <c r="C528" i="28"/>
  <c r="K491" i="28"/>
  <c r="I536" i="28"/>
  <c r="O493" i="28"/>
  <c r="E503" i="28"/>
  <c r="C88" i="18"/>
  <c r="K501" i="18"/>
  <c r="K565" i="18"/>
  <c r="C508" i="18"/>
  <c r="E521" i="18"/>
  <c r="C70" i="18"/>
  <c r="C555" i="18"/>
  <c r="O533" i="18"/>
  <c r="K507" i="18"/>
  <c r="C495" i="18"/>
  <c r="C492" i="18"/>
  <c r="G535" i="18"/>
  <c r="G492" i="18"/>
  <c r="K508" i="18"/>
  <c r="C506" i="18"/>
  <c r="E500" i="18"/>
  <c r="C85" i="28"/>
  <c r="I531" i="28"/>
  <c r="I523" i="18"/>
  <c r="M508" i="18"/>
  <c r="C76" i="28"/>
  <c r="K553" i="18"/>
  <c r="C83" i="18"/>
  <c r="O558" i="18"/>
  <c r="C561" i="18"/>
  <c r="C522" i="18"/>
  <c r="K552" i="18"/>
  <c r="G557" i="18"/>
  <c r="E87" i="18"/>
  <c r="G507" i="18"/>
  <c r="K497" i="18"/>
  <c r="E82" i="28"/>
  <c r="M490" i="18"/>
  <c r="K500" i="28"/>
  <c r="K502" i="28"/>
  <c r="C78" i="28"/>
  <c r="G83" i="28"/>
  <c r="G537" i="18"/>
  <c r="E508" i="18"/>
  <c r="I550" i="18"/>
  <c r="O556" i="28"/>
  <c r="G522" i="28"/>
  <c r="K568" i="28"/>
  <c r="M530" i="28"/>
  <c r="C535" i="28"/>
  <c r="E527" i="28"/>
  <c r="C568" i="28"/>
  <c r="G556" i="28"/>
  <c r="E522" i="28"/>
  <c r="E490" i="28"/>
  <c r="E81" i="18"/>
  <c r="K528" i="18"/>
  <c r="M556" i="28"/>
  <c r="M536" i="28"/>
  <c r="O561" i="28"/>
  <c r="O497" i="28"/>
  <c r="O532" i="28"/>
  <c r="G567" i="28"/>
  <c r="G557" i="28"/>
  <c r="I562" i="28"/>
  <c r="G537" i="28"/>
  <c r="I561" i="28"/>
  <c r="C500" i="18"/>
  <c r="E82" i="18"/>
  <c r="G528" i="18"/>
  <c r="E72" i="18"/>
  <c r="G550" i="18"/>
  <c r="E502" i="18"/>
  <c r="I508" i="18"/>
  <c r="G532" i="18"/>
  <c r="M555" i="18"/>
  <c r="M495" i="18"/>
  <c r="O550" i="18"/>
  <c r="G490" i="18"/>
  <c r="E505" i="18"/>
  <c r="K506" i="18"/>
  <c r="C86" i="18"/>
  <c r="C83" i="28"/>
  <c r="C537" i="18"/>
  <c r="I507" i="18"/>
  <c r="G562" i="18"/>
  <c r="K521" i="18"/>
  <c r="C550" i="18"/>
  <c r="C497" i="18"/>
  <c r="G80" i="18"/>
  <c r="M522" i="18"/>
  <c r="K520" i="18"/>
  <c r="M532" i="18"/>
  <c r="G73" i="28"/>
  <c r="G76" i="28"/>
  <c r="G87" i="28"/>
  <c r="M491" i="28"/>
  <c r="G496" i="18"/>
  <c r="M562" i="28"/>
  <c r="E536" i="18"/>
  <c r="I565" i="28"/>
  <c r="G81" i="28"/>
  <c r="I493" i="28"/>
  <c r="E556" i="28"/>
  <c r="M525" i="28"/>
  <c r="C538" i="28"/>
  <c r="O533" i="28"/>
  <c r="E505" i="28"/>
  <c r="K501" i="28"/>
  <c r="C506" i="28"/>
  <c r="E530" i="28"/>
  <c r="G523" i="28"/>
  <c r="G561" i="28"/>
  <c r="E568" i="28"/>
  <c r="M507" i="28"/>
  <c r="C561" i="28"/>
  <c r="C523" i="28"/>
  <c r="E553" i="28"/>
  <c r="K563" i="28"/>
  <c r="C566" i="28"/>
  <c r="G500" i="28"/>
  <c r="E562" i="28"/>
  <c r="G493" i="28"/>
  <c r="I562" i="18"/>
  <c r="G502" i="18"/>
  <c r="I490" i="18"/>
  <c r="K551" i="18"/>
  <c r="G536" i="18"/>
  <c r="C525" i="18"/>
  <c r="I506" i="28"/>
  <c r="G501" i="28"/>
  <c r="M538" i="28"/>
  <c r="I533" i="18"/>
  <c r="C80" i="28"/>
  <c r="G72" i="28"/>
  <c r="C71" i="28"/>
  <c r="I533" i="28"/>
  <c r="E561" i="28"/>
  <c r="K536" i="28"/>
  <c r="K565" i="28"/>
  <c r="O496" i="28"/>
  <c r="G538" i="28"/>
  <c r="E563" i="28"/>
  <c r="O551" i="28"/>
  <c r="G528" i="28"/>
  <c r="I520" i="28"/>
  <c r="G558" i="28"/>
  <c r="I525" i="28"/>
  <c r="C86" i="28"/>
  <c r="C567" i="28"/>
  <c r="C537" i="28"/>
  <c r="C500" i="28"/>
  <c r="M537" i="28"/>
  <c r="C565" i="18"/>
  <c r="M568" i="28"/>
  <c r="K537" i="28"/>
  <c r="E73" i="28"/>
  <c r="G525" i="28"/>
  <c r="M560" i="28"/>
  <c r="C503" i="28"/>
  <c r="E552" i="28"/>
  <c r="G527" i="28"/>
  <c r="K567" i="28"/>
  <c r="K560" i="28"/>
  <c r="I551" i="28"/>
  <c r="M497" i="28"/>
  <c r="E558" i="28"/>
  <c r="M506" i="28"/>
  <c r="K525" i="28"/>
  <c r="K506" i="28"/>
  <c r="O520" i="28"/>
  <c r="C550" i="28"/>
  <c r="C536" i="28"/>
  <c r="O565" i="28"/>
  <c r="G497" i="28"/>
  <c r="E538" i="28"/>
  <c r="E508" i="28"/>
  <c r="O563" i="28"/>
  <c r="M553" i="28"/>
  <c r="E70" i="28"/>
  <c r="C82" i="28"/>
  <c r="I521" i="28"/>
  <c r="O522" i="28"/>
  <c r="M537" i="18"/>
  <c r="K567" i="18"/>
  <c r="I538" i="18"/>
  <c r="G496" i="28"/>
  <c r="K557" i="28"/>
  <c r="C551" i="28"/>
  <c r="K526" i="28"/>
  <c r="M496" i="28"/>
  <c r="M535" i="28"/>
  <c r="O500" i="28"/>
  <c r="M495" i="28"/>
  <c r="O505" i="28"/>
  <c r="O491" i="28"/>
  <c r="E528" i="28"/>
  <c r="I492" i="28"/>
  <c r="C565" i="28"/>
  <c r="G553" i="28"/>
  <c r="E550" i="28"/>
  <c r="E536" i="28"/>
  <c r="O558" i="28"/>
  <c r="E75" i="28"/>
  <c r="E498" i="28"/>
  <c r="G502" i="28"/>
  <c r="C73" i="18"/>
  <c r="E531" i="18"/>
  <c r="I537" i="18"/>
  <c r="G568" i="28"/>
  <c r="G530" i="28"/>
  <c r="I563" i="28"/>
  <c r="I538" i="28"/>
  <c r="E506" i="28"/>
  <c r="E565" i="28"/>
  <c r="O535" i="28"/>
  <c r="M565" i="28"/>
  <c r="M493" i="28"/>
  <c r="K507" i="28"/>
  <c r="I502" i="28"/>
  <c r="C508" i="28"/>
  <c r="E537" i="28"/>
  <c r="C532" i="28"/>
  <c r="E532" i="28"/>
  <c r="K496" i="28"/>
  <c r="C526" i="28"/>
  <c r="C521" i="28"/>
  <c r="G555" i="28"/>
  <c r="M555" i="28"/>
  <c r="I526" i="28"/>
  <c r="C562" i="28"/>
  <c r="K537" i="18"/>
  <c r="C85" i="18"/>
  <c r="G77" i="28"/>
  <c r="G87" i="18"/>
  <c r="M503" i="28"/>
  <c r="G80" i="28"/>
  <c r="I537" i="28"/>
  <c r="O556" i="18"/>
  <c r="K560" i="18"/>
  <c r="K528" i="28"/>
  <c r="C497" i="28"/>
  <c r="M531" i="28"/>
  <c r="I503" i="28"/>
  <c r="K552" i="28"/>
  <c r="I567" i="28"/>
  <c r="M500" i="28"/>
  <c r="E525" i="28"/>
  <c r="E507" i="28"/>
  <c r="I556" i="28"/>
  <c r="M490" i="28"/>
  <c r="I495" i="28"/>
  <c r="M505" i="28"/>
  <c r="C522" i="28"/>
  <c r="I530" i="28"/>
  <c r="E497" i="28"/>
  <c r="K538" i="28"/>
  <c r="E560" i="18"/>
  <c r="K522" i="18"/>
  <c r="I556" i="18"/>
  <c r="C567" i="18"/>
  <c r="G538" i="18"/>
  <c r="C556" i="18"/>
  <c r="K490" i="28"/>
  <c r="M558" i="28"/>
  <c r="O490" i="28"/>
  <c r="O562" i="28"/>
  <c r="G535" i="28"/>
  <c r="K508" i="28"/>
  <c r="G531" i="28"/>
  <c r="O521" i="28"/>
  <c r="C493" i="28"/>
  <c r="O528" i="28"/>
  <c r="K561" i="28"/>
  <c r="I497" i="28"/>
  <c r="O557" i="28"/>
  <c r="E501" i="28"/>
  <c r="M528" i="28"/>
  <c r="C525" i="28"/>
  <c r="C490" i="28"/>
  <c r="K533" i="28"/>
  <c r="K525" i="18"/>
  <c r="K535" i="18"/>
  <c r="K493" i="18"/>
  <c r="M505" i="18"/>
  <c r="C560" i="18"/>
  <c r="O492" i="28"/>
  <c r="M557" i="28"/>
  <c r="C553" i="28"/>
  <c r="G78" i="18"/>
  <c r="E77" i="28"/>
  <c r="M520" i="28"/>
  <c r="C505" i="28"/>
  <c r="O526" i="28"/>
  <c r="O501" i="28"/>
  <c r="G506" i="28"/>
  <c r="O527" i="28"/>
  <c r="G70" i="28"/>
  <c r="C496" i="28"/>
  <c r="I490" i="28"/>
  <c r="I528" i="28"/>
  <c r="E520" i="28"/>
  <c r="M492" i="28"/>
  <c r="C498" i="28"/>
  <c r="I560" i="28"/>
  <c r="G551" i="28"/>
  <c r="K503" i="28"/>
  <c r="C557" i="28"/>
  <c r="O568" i="28"/>
  <c r="K550" i="28"/>
  <c r="E72" i="28"/>
  <c r="K555" i="28"/>
  <c r="I567" i="18"/>
  <c r="G492" i="28"/>
  <c r="C532" i="18"/>
  <c r="K532" i="28"/>
  <c r="E535" i="28"/>
  <c r="G82" i="28"/>
  <c r="O498" i="28"/>
  <c r="G507" i="28"/>
  <c r="C556" i="28"/>
  <c r="M550" i="28"/>
  <c r="G86" i="28"/>
  <c r="G508" i="28"/>
  <c r="C555" i="28"/>
  <c r="G532" i="28"/>
  <c r="K522" i="28"/>
  <c r="M552" i="28"/>
  <c r="K530" i="28"/>
  <c r="M563" i="28"/>
  <c r="O507" i="28"/>
  <c r="O555" i="28"/>
  <c r="C520" i="28"/>
  <c r="C560" i="28"/>
  <c r="O567" i="28"/>
  <c r="G71" i="28"/>
  <c r="E523" i="28"/>
  <c r="H26" i="28"/>
  <c r="B377" i="18"/>
  <c r="H221" i="18"/>
  <c r="F113" i="18"/>
  <c r="H315" i="18"/>
  <c r="F17" i="19"/>
  <c r="L407" i="18"/>
  <c r="N358" i="18"/>
  <c r="L295" i="28"/>
  <c r="N405" i="28"/>
  <c r="D222" i="28"/>
  <c r="H18" i="27"/>
  <c r="D116" i="28"/>
  <c r="B111" i="28"/>
  <c r="D46" i="18"/>
  <c r="J370" i="28"/>
  <c r="L22" i="18"/>
  <c r="F208" i="28"/>
  <c r="J311" i="28"/>
  <c r="B323" i="28"/>
  <c r="D166" i="18"/>
  <c r="L25" i="28"/>
  <c r="J55" i="18"/>
  <c r="D14" i="19"/>
  <c r="L128" i="18"/>
  <c r="D15" i="28"/>
  <c r="F262" i="18"/>
  <c r="J163" i="28"/>
  <c r="L145" i="18"/>
  <c r="D263" i="28"/>
  <c r="AH22" i="21"/>
  <c r="H357" i="18"/>
  <c r="J130" i="28"/>
  <c r="D42" i="28"/>
  <c r="D165" i="18"/>
  <c r="B347" i="18"/>
  <c r="B173" i="18"/>
  <c r="D148" i="18"/>
  <c r="L262" i="28"/>
  <c r="F266" i="18"/>
  <c r="L235" i="18"/>
  <c r="F387" i="18"/>
  <c r="B435" i="28"/>
  <c r="H207" i="28"/>
  <c r="H428" i="18"/>
  <c r="G19" i="27"/>
  <c r="H8" i="18"/>
  <c r="D433" i="18"/>
  <c r="L138" i="28"/>
  <c r="D325" i="28"/>
  <c r="N358" i="28"/>
  <c r="F170" i="18"/>
  <c r="H142" i="18"/>
  <c r="B415" i="28"/>
  <c r="L230" i="18"/>
  <c r="J222" i="18"/>
  <c r="N15" i="18"/>
  <c r="H321" i="18"/>
  <c r="H131" i="28"/>
  <c r="J315" i="28"/>
  <c r="E12" i="19"/>
  <c r="N441" i="18"/>
  <c r="D142" i="28"/>
  <c r="N385" i="28"/>
  <c r="L443" i="18"/>
  <c r="D415" i="18"/>
  <c r="H325" i="18"/>
  <c r="D137" i="28"/>
  <c r="L347" i="28"/>
  <c r="J338" i="28"/>
  <c r="J406" i="18"/>
  <c r="D321" i="28"/>
  <c r="L318" i="18"/>
  <c r="J195" i="18"/>
  <c r="J15" i="28"/>
  <c r="J207" i="18"/>
  <c r="F172" i="18"/>
  <c r="H161" i="28"/>
  <c r="D12" i="19"/>
  <c r="J225" i="18"/>
  <c r="D347" i="28"/>
  <c r="H142" i="28"/>
  <c r="D403" i="28"/>
  <c r="J52" i="28"/>
  <c r="F165" i="28"/>
  <c r="L285" i="18"/>
  <c r="B140" i="28"/>
  <c r="L130" i="28"/>
  <c r="S21" i="18"/>
  <c r="J21" i="28"/>
  <c r="F108" i="18"/>
  <c r="B111" i="18"/>
  <c r="N11" i="28"/>
  <c r="D295" i="18"/>
  <c r="J415" i="28"/>
  <c r="H431" i="28"/>
  <c r="N345" i="28"/>
  <c r="L195" i="28"/>
  <c r="B135" i="18"/>
  <c r="H52" i="28"/>
  <c r="J141" i="28"/>
  <c r="F188" i="18"/>
  <c r="H200" i="18"/>
  <c r="F118" i="28"/>
  <c r="L193" i="18"/>
  <c r="D282" i="18"/>
  <c r="L200" i="28"/>
  <c r="N13" i="28"/>
  <c r="H407" i="18"/>
  <c r="F387" i="28"/>
  <c r="L435" i="28"/>
  <c r="F112" i="18"/>
  <c r="F52" i="18"/>
  <c r="J328" i="18"/>
  <c r="J146" i="18"/>
  <c r="T18" i="21"/>
  <c r="J171" i="28"/>
  <c r="L343" i="18"/>
  <c r="D377" i="18"/>
  <c r="G9" i="19"/>
  <c r="L398" i="18"/>
  <c r="F248" i="28"/>
  <c r="F16" i="19"/>
  <c r="J356" i="28"/>
  <c r="F166" i="28"/>
  <c r="L355" i="28"/>
  <c r="B316" i="28"/>
  <c r="F17" i="18"/>
  <c r="B382" i="18"/>
  <c r="H432" i="18"/>
  <c r="J348" i="28"/>
  <c r="N315" i="28"/>
  <c r="B347" i="28"/>
  <c r="B205" i="18"/>
  <c r="D50" i="28"/>
  <c r="D322" i="18"/>
  <c r="H431" i="18"/>
  <c r="H343" i="18"/>
  <c r="J237" i="28"/>
  <c r="L382" i="28"/>
  <c r="L448" i="28"/>
  <c r="H256" i="18"/>
  <c r="H225" i="28"/>
  <c r="F441" i="18"/>
  <c r="J280" i="18"/>
  <c r="F143" i="18"/>
  <c r="J446" i="28"/>
  <c r="L411" i="28"/>
  <c r="F10" i="27"/>
  <c r="D166" i="28"/>
  <c r="L290" i="28"/>
  <c r="H195" i="18"/>
  <c r="L308" i="28"/>
  <c r="B262" i="18"/>
  <c r="D101" i="18"/>
  <c r="H143" i="28"/>
  <c r="D357" i="28"/>
  <c r="D28" i="28"/>
  <c r="D408" i="18"/>
  <c r="H411" i="28"/>
  <c r="B168" i="28"/>
  <c r="N316" i="18"/>
  <c r="F410" i="28"/>
  <c r="B138" i="28"/>
  <c r="F103" i="18"/>
  <c r="J21" i="18"/>
  <c r="L256" i="28"/>
  <c r="D16" i="28"/>
  <c r="D288" i="18"/>
  <c r="H10" i="18"/>
  <c r="U22" i="21"/>
  <c r="J256" i="18"/>
  <c r="D261" i="28"/>
  <c r="F8" i="19"/>
  <c r="J371" i="28"/>
  <c r="L298" i="18"/>
  <c r="F238" i="28"/>
  <c r="D255" i="18"/>
  <c r="H14" i="19"/>
  <c r="H135" i="28"/>
  <c r="B218" i="28"/>
  <c r="F407" i="18"/>
  <c r="B407" i="28"/>
  <c r="F442" i="18"/>
  <c r="J408" i="28"/>
  <c r="N317" i="18"/>
  <c r="B288" i="18"/>
  <c r="L436" i="28"/>
  <c r="J298" i="28"/>
  <c r="N317" i="28"/>
  <c r="D226" i="18"/>
  <c r="F316" i="18"/>
  <c r="L357" i="28"/>
  <c r="B132" i="28"/>
  <c r="H437" i="18"/>
  <c r="H208" i="18"/>
  <c r="L341" i="28"/>
  <c r="B351" i="28"/>
  <c r="F47" i="28"/>
  <c r="B401" i="28"/>
  <c r="B375" i="28"/>
  <c r="L196" i="28"/>
  <c r="B283" i="28"/>
  <c r="D370" i="28"/>
  <c r="D401" i="28"/>
  <c r="J140" i="28"/>
  <c r="B113" i="18"/>
  <c r="D413" i="18"/>
  <c r="D441" i="28"/>
  <c r="B268" i="28"/>
  <c r="F320" i="28"/>
  <c r="D387" i="18"/>
  <c r="C8" i="19"/>
  <c r="N342" i="18"/>
  <c r="B171" i="18"/>
  <c r="D19" i="19"/>
  <c r="J106" i="28"/>
  <c r="J223" i="18"/>
  <c r="J197" i="18"/>
  <c r="E17" i="19"/>
  <c r="H438" i="18"/>
  <c r="H238" i="28"/>
  <c r="L201" i="28"/>
  <c r="N347" i="28"/>
  <c r="H417" i="18"/>
  <c r="J431" i="28"/>
  <c r="D446" i="18"/>
  <c r="L356" i="18"/>
  <c r="H193" i="28"/>
  <c r="B165" i="18"/>
  <c r="N20" i="18"/>
  <c r="J117" i="18"/>
  <c r="D102" i="18"/>
  <c r="AH20" i="21"/>
  <c r="B41" i="18"/>
  <c r="S28" i="18"/>
  <c r="B443" i="18"/>
  <c r="F223" i="18"/>
  <c r="D318" i="28"/>
  <c r="L313" i="18"/>
  <c r="F385" i="18"/>
  <c r="H177" i="28"/>
  <c r="T21" i="21"/>
  <c r="J40" i="28"/>
  <c r="N447" i="28"/>
  <c r="B388" i="18"/>
  <c r="B108" i="18"/>
  <c r="L146" i="28"/>
  <c r="N368" i="28"/>
  <c r="H381" i="28"/>
  <c r="L401" i="28"/>
  <c r="B203" i="18"/>
  <c r="D218" i="18"/>
  <c r="H42" i="28"/>
  <c r="H238" i="18"/>
  <c r="F117" i="28"/>
  <c r="J107" i="28"/>
  <c r="H11" i="18"/>
  <c r="F431" i="18"/>
  <c r="B267" i="18"/>
  <c r="H137" i="18"/>
  <c r="N408" i="28"/>
  <c r="D192" i="28"/>
  <c r="F430" i="18"/>
  <c r="N370" i="28"/>
  <c r="D358" i="28"/>
  <c r="L358" i="28"/>
  <c r="F322" i="28"/>
  <c r="F377" i="18"/>
  <c r="L433" i="18"/>
  <c r="L267" i="28"/>
  <c r="D115" i="28"/>
  <c r="B137" i="18"/>
  <c r="D292" i="18"/>
  <c r="J355" i="28"/>
  <c r="H308" i="28"/>
  <c r="AF21" i="21"/>
  <c r="H257" i="28"/>
  <c r="N398" i="18"/>
  <c r="J46" i="28"/>
  <c r="D10" i="18"/>
  <c r="D218" i="28"/>
  <c r="D387" i="28"/>
  <c r="J26" i="28"/>
  <c r="J253" i="28"/>
  <c r="H106" i="18"/>
  <c r="L232" i="28"/>
  <c r="X23" i="21"/>
  <c r="D443" i="18"/>
  <c r="F315" i="28"/>
  <c r="H382" i="28"/>
  <c r="J402" i="18"/>
  <c r="F225" i="28"/>
  <c r="D257" i="18"/>
  <c r="AG18" i="21"/>
  <c r="F232" i="28"/>
  <c r="B13" i="27"/>
  <c r="H145" i="28"/>
  <c r="J208" i="18"/>
  <c r="L116" i="18"/>
  <c r="D445" i="18"/>
  <c r="N375" i="28"/>
  <c r="H295" i="18"/>
  <c r="J192" i="28"/>
  <c r="H342" i="28"/>
  <c r="J105" i="18"/>
  <c r="B177" i="28"/>
  <c r="N430" i="28"/>
  <c r="H20" i="19"/>
  <c r="D417" i="18"/>
  <c r="J27" i="28"/>
  <c r="T20" i="21"/>
  <c r="L172" i="18"/>
  <c r="H45" i="28"/>
  <c r="H13" i="28"/>
  <c r="B20" i="19"/>
  <c r="B358" i="18"/>
  <c r="D428" i="18"/>
  <c r="F326" i="28"/>
  <c r="H261" i="28"/>
  <c r="B133" i="18"/>
  <c r="F56" i="28"/>
  <c r="H237" i="18"/>
  <c r="H117" i="28"/>
  <c r="F382" i="28"/>
  <c r="J20" i="18"/>
  <c r="F28" i="28"/>
  <c r="H355" i="18"/>
  <c r="N343" i="28"/>
  <c r="D312" i="18"/>
  <c r="H102" i="28"/>
  <c r="F371" i="18"/>
  <c r="H398" i="28"/>
  <c r="F412" i="28"/>
  <c r="B116" i="28"/>
  <c r="F267" i="18"/>
  <c r="H315" i="28"/>
  <c r="H206" i="28"/>
  <c r="B195" i="18"/>
  <c r="D371" i="18"/>
  <c r="B142" i="18"/>
  <c r="D261" i="18"/>
  <c r="L191" i="28"/>
  <c r="F262" i="28"/>
  <c r="B432" i="18"/>
  <c r="L167" i="28"/>
  <c r="AH23" i="21"/>
  <c r="L148" i="18"/>
  <c r="B53" i="28"/>
  <c r="H430" i="28"/>
  <c r="J445" i="28"/>
  <c r="L250" i="18"/>
  <c r="F321" i="28"/>
  <c r="D177" i="28"/>
  <c r="J25" i="18"/>
  <c r="B430" i="18"/>
  <c r="F42" i="28"/>
  <c r="F232" i="18"/>
  <c r="D266" i="28"/>
  <c r="F326" i="18"/>
  <c r="B255" i="18"/>
  <c r="H325" i="28"/>
  <c r="D371" i="28"/>
  <c r="F178" i="28"/>
  <c r="J148" i="18"/>
  <c r="L220" i="28"/>
  <c r="D42" i="18"/>
  <c r="L108" i="28"/>
  <c r="L21" i="28"/>
  <c r="H406" i="18"/>
  <c r="B26" i="18"/>
  <c r="J233" i="28"/>
  <c r="L135" i="18"/>
  <c r="F11" i="27"/>
  <c r="L208" i="28"/>
  <c r="F351" i="28"/>
  <c r="L282" i="28"/>
  <c r="L410" i="28"/>
  <c r="H113" i="28"/>
  <c r="C13" i="19"/>
  <c r="H188" i="18"/>
  <c r="B8" i="28"/>
  <c r="F13" i="28"/>
  <c r="L448" i="18"/>
  <c r="B51" i="18"/>
  <c r="F161" i="18"/>
  <c r="H318" i="28"/>
  <c r="L322" i="28"/>
  <c r="L325" i="28"/>
  <c r="F202" i="18"/>
  <c r="B108" i="28"/>
  <c r="D287" i="28"/>
  <c r="J42" i="18"/>
  <c r="H377" i="28"/>
  <c r="B128" i="18"/>
  <c r="B175" i="18"/>
  <c r="D10" i="19"/>
  <c r="J351" i="18"/>
  <c r="H405" i="18"/>
  <c r="D132" i="28"/>
  <c r="N441" i="28"/>
  <c r="N315" i="18"/>
  <c r="F145" i="28"/>
  <c r="D346" i="28"/>
  <c r="B19" i="27"/>
  <c r="C20" i="27"/>
  <c r="N340" i="28"/>
  <c r="H416" i="18"/>
  <c r="F313" i="18"/>
  <c r="L385" i="18"/>
  <c r="F402" i="28"/>
  <c r="F447" i="28"/>
  <c r="H410" i="18"/>
  <c r="F342" i="18"/>
  <c r="B9" i="19"/>
  <c r="B311" i="18"/>
  <c r="F208" i="18"/>
  <c r="H138" i="28"/>
  <c r="G20" i="27"/>
  <c r="F438" i="18"/>
  <c r="J132" i="28"/>
  <c r="N432" i="18"/>
  <c r="J136" i="18"/>
  <c r="L176" i="28"/>
  <c r="B418" i="28"/>
  <c r="H253" i="28"/>
  <c r="V21" i="21"/>
  <c r="D168" i="28"/>
  <c r="D382" i="18"/>
  <c r="H387" i="28"/>
  <c r="J226" i="28"/>
  <c r="H298" i="28"/>
  <c r="F403" i="18"/>
  <c r="H405" i="28"/>
  <c r="L447" i="18"/>
  <c r="B411" i="18"/>
  <c r="D110" i="28"/>
  <c r="D222" i="18"/>
  <c r="J203" i="18"/>
  <c r="D206" i="18"/>
  <c r="F38" i="18"/>
  <c r="L351" i="28"/>
  <c r="H433" i="18"/>
  <c r="H291" i="18"/>
  <c r="F163" i="18"/>
  <c r="S25" i="18"/>
  <c r="D143" i="28"/>
  <c r="J231" i="28"/>
  <c r="F372" i="28"/>
  <c r="D232" i="18"/>
  <c r="B143" i="28"/>
  <c r="AH24" i="21"/>
  <c r="H316" i="28"/>
  <c r="J232" i="18"/>
  <c r="H165" i="28"/>
  <c r="H415" i="28"/>
  <c r="B297" i="28"/>
  <c r="H9" i="27"/>
  <c r="H388" i="18"/>
  <c r="F55" i="28"/>
  <c r="B145" i="28"/>
  <c r="J38" i="28"/>
  <c r="H446" i="18"/>
  <c r="D291" i="28"/>
  <c r="F130" i="18"/>
  <c r="N440" i="18"/>
  <c r="C10" i="19"/>
  <c r="F281" i="28"/>
  <c r="D130" i="28"/>
  <c r="F47" i="18"/>
  <c r="H133" i="18"/>
  <c r="D205" i="18"/>
  <c r="H53" i="28"/>
  <c r="D141" i="18"/>
  <c r="B177" i="18"/>
  <c r="J11" i="18"/>
  <c r="D438" i="28"/>
  <c r="H227" i="28"/>
  <c r="H25" i="18"/>
  <c r="J412" i="18"/>
  <c r="H132" i="18"/>
  <c r="L261" i="28"/>
  <c r="D170" i="28"/>
  <c r="B312" i="28"/>
  <c r="B408" i="28"/>
  <c r="D288" i="28"/>
  <c r="J192" i="18"/>
  <c r="F347" i="28"/>
  <c r="J11" i="28"/>
  <c r="V19" i="21"/>
  <c r="J176" i="18"/>
  <c r="D350" i="18"/>
  <c r="H436" i="18"/>
  <c r="L340" i="18"/>
  <c r="G12" i="19"/>
  <c r="B100" i="28"/>
  <c r="J220" i="28"/>
  <c r="D370" i="18"/>
  <c r="Y19" i="21"/>
  <c r="F312" i="28"/>
  <c r="H412" i="28"/>
  <c r="H341" i="28"/>
  <c r="B440" i="28"/>
  <c r="B178" i="18"/>
  <c r="F111" i="18"/>
  <c r="J352" i="28"/>
  <c r="L161" i="18"/>
  <c r="D260" i="28"/>
  <c r="L286" i="28"/>
  <c r="L256" i="18"/>
  <c r="J290" i="18"/>
  <c r="J358" i="18"/>
  <c r="F14" i="19"/>
  <c r="D207" i="28"/>
  <c r="B173" i="28"/>
  <c r="L400" i="28"/>
  <c r="N16" i="28"/>
  <c r="B253" i="28"/>
  <c r="B318" i="28"/>
  <c r="D380" i="28"/>
  <c r="L15" i="18"/>
  <c r="L323" i="18"/>
  <c r="F195" i="28"/>
  <c r="F297" i="18"/>
  <c r="L143" i="28"/>
  <c r="H355" i="28"/>
  <c r="B278" i="28"/>
  <c r="D412" i="28"/>
  <c r="B18" i="27"/>
  <c r="H410" i="28"/>
  <c r="L352" i="18"/>
  <c r="H296" i="18"/>
  <c r="L17" i="18"/>
  <c r="B147" i="28"/>
  <c r="N371" i="28"/>
  <c r="J255" i="28"/>
  <c r="L158" i="28"/>
  <c r="B148" i="18"/>
  <c r="F432" i="28"/>
  <c r="D205" i="28"/>
  <c r="F11" i="18"/>
  <c r="D160" i="18"/>
  <c r="D372" i="28"/>
  <c r="N416" i="18"/>
  <c r="B326" i="18"/>
  <c r="J265" i="28"/>
  <c r="J53" i="18"/>
  <c r="L173" i="28"/>
  <c r="B401" i="18"/>
  <c r="F281" i="18"/>
  <c r="J400" i="18"/>
  <c r="J380" i="18"/>
  <c r="F280" i="18"/>
  <c r="S57" i="18"/>
  <c r="J248" i="28"/>
  <c r="L415" i="18"/>
  <c r="F176" i="28"/>
  <c r="AF18" i="21"/>
  <c r="L350" i="18"/>
  <c r="L413" i="18"/>
  <c r="N401" i="28"/>
  <c r="F236" i="28"/>
  <c r="B13" i="19"/>
  <c r="L171" i="28"/>
  <c r="L188" i="18"/>
  <c r="D436" i="18"/>
  <c r="D196" i="28"/>
  <c r="L8" i="18"/>
  <c r="B9" i="27"/>
  <c r="J8" i="28"/>
  <c r="N17" i="18"/>
  <c r="F258" i="18"/>
  <c r="B223" i="18"/>
  <c r="J58" i="18"/>
  <c r="L327" i="28"/>
  <c r="J173" i="18"/>
  <c r="N381" i="28"/>
  <c r="B263" i="28"/>
  <c r="N442" i="18"/>
  <c r="H19" i="19"/>
  <c r="N311" i="28"/>
  <c r="L16" i="28"/>
  <c r="H297" i="28"/>
  <c r="D52" i="28"/>
  <c r="J378" i="28"/>
  <c r="L326" i="28"/>
  <c r="B380" i="18"/>
  <c r="N415" i="18"/>
  <c r="D322" i="28"/>
  <c r="B21" i="28"/>
  <c r="J263" i="18"/>
  <c r="D165" i="28"/>
  <c r="N313" i="28"/>
  <c r="F401" i="28"/>
  <c r="D386" i="18"/>
  <c r="F220" i="18"/>
  <c r="D111" i="18"/>
  <c r="L255" i="18"/>
  <c r="AG24" i="21"/>
  <c r="B18" i="19"/>
  <c r="D135" i="18"/>
  <c r="B188" i="18"/>
  <c r="L98" i="18"/>
  <c r="H106" i="28"/>
  <c r="H286" i="28"/>
  <c r="D51" i="18"/>
  <c r="J221" i="28"/>
  <c r="F358" i="28"/>
  <c r="H168" i="18"/>
  <c r="J282" i="28"/>
  <c r="H38" i="18"/>
  <c r="B428" i="28"/>
  <c r="F165" i="18"/>
  <c r="L370" i="18"/>
  <c r="L115" i="18"/>
  <c r="D260" i="18"/>
  <c r="N417" i="28"/>
  <c r="H111" i="28"/>
  <c r="L368" i="18"/>
  <c r="H177" i="18"/>
  <c r="F317" i="18"/>
  <c r="B23" i="28"/>
  <c r="L118" i="18"/>
  <c r="L261" i="18"/>
  <c r="J285" i="18"/>
  <c r="L203" i="28"/>
  <c r="L263" i="28"/>
  <c r="N348" i="28"/>
  <c r="J408" i="18"/>
  <c r="C12" i="19"/>
  <c r="B166" i="28"/>
  <c r="X18" i="21"/>
  <c r="J441" i="28"/>
  <c r="F20" i="27"/>
  <c r="B370" i="28"/>
  <c r="H158" i="18"/>
  <c r="F355" i="28"/>
  <c r="H268" i="18"/>
  <c r="D325" i="18"/>
  <c r="L313" i="28"/>
  <c r="D308" i="18"/>
  <c r="L233" i="18"/>
  <c r="D48" i="28"/>
  <c r="D100" i="28"/>
  <c r="L201" i="18"/>
  <c r="F18" i="19"/>
  <c r="B230" i="28"/>
  <c r="L113" i="28"/>
  <c r="B260" i="28"/>
  <c r="L138" i="18"/>
  <c r="H38" i="28"/>
  <c r="F382" i="18"/>
  <c r="L233" i="28"/>
  <c r="N326" i="28"/>
  <c r="L440" i="18"/>
  <c r="D148" i="28"/>
  <c r="B118" i="18"/>
  <c r="F198" i="28"/>
  <c r="H15" i="18"/>
  <c r="L406" i="28"/>
  <c r="U19" i="21"/>
  <c r="L21" i="18"/>
  <c r="C9" i="19"/>
  <c r="H298" i="18"/>
  <c r="N443" i="18"/>
  <c r="J265" i="18"/>
  <c r="N321" i="28"/>
  <c r="J317" i="28"/>
  <c r="F223" i="28"/>
  <c r="H15" i="28"/>
  <c r="F402" i="18"/>
  <c r="D41" i="28"/>
  <c r="H19" i="27"/>
  <c r="N407" i="28"/>
  <c r="F41" i="18"/>
  <c r="J47" i="18"/>
  <c r="F261" i="18"/>
  <c r="G13" i="19"/>
  <c r="N373" i="28"/>
  <c r="J230" i="28"/>
  <c r="L236" i="18"/>
  <c r="D142" i="18"/>
  <c r="J203" i="28"/>
  <c r="D20" i="18"/>
  <c r="L133" i="28"/>
  <c r="D323" i="28"/>
  <c r="H145" i="18"/>
  <c r="J278" i="18"/>
  <c r="L311" i="28"/>
  <c r="H232" i="28"/>
  <c r="J103" i="18"/>
  <c r="L373" i="18"/>
  <c r="F348" i="28"/>
  <c r="B315" i="28"/>
  <c r="B313" i="28"/>
  <c r="B295" i="28"/>
  <c r="H342" i="18"/>
  <c r="J41" i="18"/>
  <c r="L136" i="28"/>
  <c r="F430" i="28"/>
  <c r="F282" i="28"/>
  <c r="N352" i="28"/>
  <c r="J286" i="28"/>
  <c r="H285" i="18"/>
  <c r="D26" i="18"/>
  <c r="F191" i="18"/>
  <c r="B117" i="28"/>
  <c r="B101" i="28"/>
  <c r="J143" i="28"/>
  <c r="B172" i="18"/>
  <c r="J398" i="28"/>
  <c r="N378" i="18"/>
  <c r="N8" i="28"/>
  <c r="F286" i="18"/>
  <c r="J16" i="28"/>
  <c r="G10" i="19"/>
  <c r="Y24" i="21"/>
  <c r="D15" i="18"/>
  <c r="H262" i="18"/>
  <c r="B38" i="18"/>
  <c r="H372" i="28"/>
  <c r="B191" i="18"/>
  <c r="L198" i="28"/>
  <c r="L266" i="28"/>
  <c r="D178" i="18"/>
  <c r="L167" i="18"/>
  <c r="H350" i="28"/>
  <c r="J266" i="18"/>
  <c r="H167" i="28"/>
  <c r="J55" i="28"/>
  <c r="N308" i="18"/>
  <c r="D190" i="28"/>
  <c r="B18" i="18"/>
  <c r="F42" i="18"/>
  <c r="B170" i="28"/>
  <c r="J416" i="28"/>
  <c r="F350" i="18"/>
  <c r="E10" i="27"/>
  <c r="H170" i="28"/>
  <c r="N371" i="18"/>
  <c r="B261" i="18"/>
  <c r="D25" i="28"/>
  <c r="H98" i="28"/>
  <c r="B318" i="18"/>
  <c r="F16" i="18"/>
  <c r="D18" i="19"/>
  <c r="H248" i="18"/>
  <c r="F135" i="18"/>
  <c r="D136" i="28"/>
  <c r="J112" i="28"/>
  <c r="B417" i="18"/>
  <c r="F58" i="28"/>
  <c r="F105" i="28"/>
  <c r="F197" i="28"/>
  <c r="D315" i="28"/>
  <c r="L353" i="28"/>
  <c r="J236" i="28"/>
  <c r="N415" i="28"/>
  <c r="F18" i="27"/>
  <c r="H235" i="18"/>
  <c r="D226" i="28"/>
  <c r="B52" i="18"/>
  <c r="B447" i="18"/>
  <c r="N436" i="28"/>
  <c r="D327" i="28"/>
  <c r="L401" i="18"/>
  <c r="F131" i="28"/>
  <c r="J177" i="18"/>
  <c r="X24" i="21"/>
  <c r="B50" i="18"/>
  <c r="L386" i="18"/>
  <c r="B400" i="28"/>
  <c r="D9" i="27"/>
  <c r="J260" i="18"/>
  <c r="D55" i="28"/>
  <c r="B208" i="18"/>
  <c r="L357" i="18"/>
  <c r="J442" i="18"/>
  <c r="D12" i="27"/>
  <c r="B16" i="19"/>
  <c r="N23" i="28"/>
  <c r="B110" i="18"/>
  <c r="L141" i="28"/>
  <c r="H255" i="28"/>
  <c r="F45" i="28"/>
  <c r="J418" i="18"/>
  <c r="B200" i="28"/>
  <c r="D341" i="18"/>
  <c r="B176" i="28"/>
  <c r="B146" i="18"/>
  <c r="J257" i="28"/>
  <c r="J48" i="18"/>
  <c r="H445" i="18"/>
  <c r="F445" i="28"/>
  <c r="D167" i="28"/>
  <c r="L328" i="28"/>
  <c r="N406" i="28"/>
  <c r="L323" i="28"/>
  <c r="H105" i="18"/>
  <c r="B48" i="18"/>
  <c r="H446" i="28"/>
  <c r="F135" i="28"/>
  <c r="F18" i="28"/>
  <c r="N413" i="28"/>
  <c r="L311" i="18"/>
  <c r="B327" i="28"/>
  <c r="L8" i="28"/>
  <c r="F377" i="28"/>
  <c r="D233" i="28"/>
  <c r="D256" i="18"/>
  <c r="D45" i="18"/>
  <c r="L193" i="28"/>
  <c r="D230" i="28"/>
  <c r="D178" i="28"/>
  <c r="L13" i="18"/>
  <c r="F398" i="18"/>
  <c r="L101" i="28"/>
  <c r="D318" i="18"/>
  <c r="D145" i="18"/>
  <c r="D265" i="18"/>
  <c r="F193" i="18"/>
  <c r="F27" i="28"/>
  <c r="J42" i="28"/>
  <c r="J45" i="28"/>
  <c r="H12" i="18"/>
  <c r="F168" i="28"/>
  <c r="D252" i="28"/>
  <c r="J446" i="18"/>
  <c r="H18" i="28"/>
  <c r="J43" i="28"/>
  <c r="B346" i="18"/>
  <c r="D108" i="18"/>
  <c r="J428" i="28"/>
  <c r="S38" i="18"/>
  <c r="C16" i="27"/>
  <c r="D110" i="18"/>
  <c r="J56" i="18"/>
  <c r="B441" i="28"/>
  <c r="H385" i="18"/>
  <c r="D16" i="27"/>
  <c r="H370" i="28"/>
  <c r="F206" i="28"/>
  <c r="B416" i="28"/>
  <c r="N403" i="28"/>
  <c r="H280" i="18"/>
  <c r="D168" i="18"/>
  <c r="F296" i="18"/>
  <c r="H27" i="28"/>
  <c r="L165" i="18"/>
  <c r="D400" i="18"/>
  <c r="J161" i="18"/>
  <c r="L428" i="28"/>
  <c r="F351" i="18"/>
  <c r="H443" i="28"/>
  <c r="D415" i="28"/>
  <c r="F443" i="18"/>
  <c r="L117" i="28"/>
  <c r="F52" i="28"/>
  <c r="L385" i="28"/>
  <c r="H371" i="18"/>
  <c r="B236" i="18"/>
  <c r="B257" i="18"/>
  <c r="B328" i="28"/>
  <c r="B192" i="28"/>
  <c r="U24" i="21"/>
  <c r="F110" i="28"/>
  <c r="N430" i="18"/>
  <c r="L375" i="18"/>
  <c r="J168" i="18"/>
  <c r="H283" i="28"/>
  <c r="F298" i="18"/>
  <c r="L116" i="28"/>
  <c r="J326" i="18"/>
  <c r="J257" i="18"/>
  <c r="L168" i="28"/>
  <c r="B15" i="18"/>
  <c r="J447" i="28"/>
  <c r="G19" i="19"/>
  <c r="F415" i="28"/>
  <c r="F403" i="28"/>
  <c r="H407" i="28"/>
  <c r="L110" i="28"/>
  <c r="S11" i="18"/>
  <c r="N318" i="18"/>
  <c r="B200" i="18"/>
  <c r="F286" i="28"/>
  <c r="N428" i="28"/>
  <c r="F266" i="28"/>
  <c r="J262" i="28"/>
  <c r="B20" i="18"/>
  <c r="D53" i="28"/>
  <c r="F116" i="18"/>
  <c r="J148" i="28"/>
  <c r="L203" i="18"/>
  <c r="F40" i="18"/>
  <c r="J322" i="28"/>
  <c r="B131" i="28"/>
  <c r="B398" i="18"/>
  <c r="F251" i="28"/>
  <c r="D41" i="18"/>
  <c r="H17" i="27"/>
  <c r="L343" i="28"/>
  <c r="D162" i="28"/>
  <c r="E16" i="19"/>
  <c r="L438" i="28"/>
  <c r="F103" i="28"/>
  <c r="B195" i="28"/>
  <c r="L13" i="28"/>
  <c r="D405" i="18"/>
  <c r="B380" i="28"/>
  <c r="F435" i="28"/>
  <c r="H173" i="28"/>
  <c r="D202" i="28"/>
  <c r="H165" i="18"/>
  <c r="N432" i="28"/>
  <c r="N443" i="28"/>
  <c r="F140" i="28"/>
  <c r="J320" i="28"/>
  <c r="N445" i="18"/>
  <c r="D416" i="18"/>
  <c r="H20" i="18"/>
  <c r="H117" i="18"/>
  <c r="B353" i="18"/>
  <c r="H348" i="18"/>
  <c r="F428" i="28"/>
  <c r="H223" i="28"/>
  <c r="J325" i="28"/>
  <c r="G16" i="27"/>
  <c r="H382" i="18"/>
  <c r="AF22" i="21"/>
  <c r="J382" i="18"/>
  <c r="F398" i="28"/>
  <c r="L235" i="28"/>
  <c r="D313" i="18"/>
  <c r="D28" i="18"/>
  <c r="L266" i="18"/>
  <c r="D202" i="18"/>
  <c r="D342" i="28"/>
  <c r="D50" i="18"/>
  <c r="D171" i="28"/>
  <c r="N402" i="28"/>
  <c r="B407" i="18"/>
  <c r="G11" i="19"/>
  <c r="D408" i="28"/>
  <c r="H137" i="28"/>
  <c r="F370" i="18"/>
  <c r="J383" i="28"/>
  <c r="H205" i="28"/>
  <c r="D438" i="18"/>
  <c r="J282" i="18"/>
  <c r="J166" i="28"/>
  <c r="B45" i="28"/>
  <c r="F221" i="28"/>
  <c r="F268" i="28"/>
  <c r="AG21" i="21"/>
  <c r="F100" i="18"/>
  <c r="J135" i="28"/>
  <c r="B231" i="18"/>
  <c r="H376" i="28"/>
  <c r="F10" i="18"/>
  <c r="B25" i="18"/>
  <c r="F383" i="28"/>
  <c r="S26" i="18"/>
  <c r="D338" i="28"/>
  <c r="S41" i="18"/>
  <c r="N401" i="18"/>
  <c r="B12" i="28"/>
  <c r="L297" i="18"/>
  <c r="J197" i="28"/>
  <c r="D403" i="18"/>
  <c r="F100" i="28"/>
  <c r="L445" i="18"/>
  <c r="H206" i="18"/>
  <c r="H25" i="28"/>
  <c r="F53" i="28"/>
  <c r="J368" i="28"/>
  <c r="B386" i="28"/>
  <c r="D197" i="18"/>
  <c r="D176" i="18"/>
  <c r="D208" i="28"/>
  <c r="J133" i="28"/>
  <c r="H116" i="18"/>
  <c r="J380" i="28"/>
  <c r="S22" i="18"/>
  <c r="H56" i="18"/>
  <c r="H21" i="18"/>
  <c r="B203" i="28"/>
  <c r="L143" i="18"/>
  <c r="D278" i="18"/>
  <c r="S16" i="18"/>
  <c r="D385" i="28"/>
  <c r="D198" i="28"/>
  <c r="B58" i="18"/>
  <c r="H141" i="28"/>
  <c r="N368" i="18"/>
  <c r="B227" i="18"/>
  <c r="F142" i="28"/>
  <c r="F14" i="27"/>
  <c r="H292" i="28"/>
  <c r="L108" i="18"/>
  <c r="H263" i="28"/>
  <c r="B281" i="28"/>
  <c r="B16" i="27"/>
  <c r="B135" i="28"/>
  <c r="T19" i="21"/>
  <c r="B137" i="28"/>
  <c r="J402" i="28"/>
  <c r="B107" i="28"/>
  <c r="F9" i="19"/>
  <c r="J112" i="18"/>
  <c r="J400" i="28"/>
  <c r="D40" i="18"/>
  <c r="D25" i="18"/>
  <c r="B20" i="27"/>
  <c r="F236" i="18"/>
  <c r="J341" i="28"/>
  <c r="J18" i="18"/>
  <c r="L387" i="28"/>
  <c r="L160" i="28"/>
  <c r="J207" i="28"/>
  <c r="B317" i="28"/>
  <c r="F386" i="28"/>
  <c r="J115" i="28"/>
  <c r="D353" i="28"/>
  <c r="J296" i="28"/>
  <c r="C11" i="27"/>
  <c r="D23" i="28"/>
  <c r="Y22" i="21"/>
  <c r="F188" i="28"/>
  <c r="J401" i="18"/>
  <c r="F218" i="28"/>
  <c r="D327" i="18"/>
  <c r="D11" i="28"/>
  <c r="D237" i="28"/>
  <c r="D381" i="18"/>
  <c r="F448" i="18"/>
  <c r="D265" i="28"/>
  <c r="J262" i="18"/>
  <c r="L356" i="28"/>
  <c r="H345" i="28"/>
  <c r="J350" i="18"/>
  <c r="L282" i="18"/>
  <c r="B12" i="27"/>
  <c r="D112" i="18"/>
  <c r="E10" i="19"/>
  <c r="D106" i="28"/>
  <c r="J295" i="28"/>
  <c r="F178" i="18"/>
  <c r="D410" i="28"/>
  <c r="F20" i="28"/>
  <c r="H368" i="28"/>
  <c r="J20" i="28"/>
  <c r="D258" i="18"/>
  <c r="G9" i="27"/>
  <c r="B132" i="18"/>
  <c r="L290" i="18"/>
  <c r="N410" i="28"/>
  <c r="F110" i="18"/>
  <c r="J28" i="18"/>
  <c r="H23" i="28"/>
  <c r="L20" i="28"/>
  <c r="L287" i="28"/>
  <c r="B313" i="18"/>
  <c r="D411" i="18"/>
  <c r="E9" i="19"/>
  <c r="D161" i="28"/>
  <c r="B206" i="18"/>
  <c r="B237" i="28"/>
  <c r="J231" i="18"/>
  <c r="D56" i="28"/>
  <c r="J57" i="28"/>
  <c r="L252" i="28"/>
  <c r="N10" i="18"/>
  <c r="N433" i="28"/>
  <c r="F10" i="19"/>
  <c r="N383" i="18"/>
  <c r="F196" i="18"/>
  <c r="D197" i="28"/>
  <c r="L220" i="18"/>
  <c r="F206" i="18"/>
  <c r="N353" i="28"/>
  <c r="D266" i="18"/>
  <c r="S10" i="18"/>
  <c r="J381" i="28"/>
  <c r="J101" i="28"/>
  <c r="F378" i="28"/>
  <c r="B263" i="18"/>
  <c r="L345" i="28"/>
  <c r="H311" i="18"/>
  <c r="J200" i="18"/>
  <c r="J165" i="18"/>
  <c r="D238" i="28"/>
  <c r="J350" i="28"/>
  <c r="B10" i="19"/>
  <c r="H343" i="28"/>
  <c r="F115" i="18"/>
  <c r="J278" i="28"/>
  <c r="H113" i="18"/>
  <c r="N340" i="18"/>
  <c r="L253" i="18"/>
  <c r="D128" i="18"/>
  <c r="L383" i="18"/>
  <c r="N448" i="28"/>
  <c r="F128" i="28"/>
  <c r="C13" i="27"/>
  <c r="H282" i="28"/>
  <c r="H326" i="28"/>
  <c r="L253" i="28"/>
  <c r="D368" i="28"/>
  <c r="L106" i="28"/>
  <c r="D103" i="28"/>
  <c r="H110" i="18"/>
  <c r="J8" i="18"/>
  <c r="D57" i="28"/>
  <c r="N410" i="18"/>
  <c r="F141" i="18"/>
  <c r="H251" i="28"/>
  <c r="D20" i="28"/>
  <c r="D252" i="18"/>
  <c r="D108" i="28"/>
  <c r="F285" i="28"/>
  <c r="H10" i="27"/>
  <c r="H353" i="28"/>
  <c r="N398" i="28"/>
  <c r="L165" i="28"/>
  <c r="D27" i="18"/>
  <c r="D311" i="28"/>
  <c r="D20" i="27"/>
  <c r="J310" i="18"/>
  <c r="L251" i="18"/>
  <c r="L348" i="28"/>
  <c r="B308" i="18"/>
  <c r="B290" i="18"/>
  <c r="J218" i="28"/>
  <c r="H8" i="28"/>
  <c r="B288" i="28"/>
  <c r="J116" i="28"/>
  <c r="D255" i="28"/>
  <c r="F176" i="18"/>
  <c r="H102" i="18"/>
  <c r="D262" i="18"/>
  <c r="H281" i="28"/>
  <c r="F348" i="18"/>
  <c r="L325" i="18"/>
  <c r="F12" i="18"/>
  <c r="D437" i="18"/>
  <c r="D267" i="18"/>
  <c r="F201" i="28"/>
  <c r="L387" i="18"/>
  <c r="B145" i="18"/>
  <c r="H327" i="18"/>
  <c r="H251" i="18"/>
  <c r="B11" i="27"/>
  <c r="J322" i="18"/>
  <c r="Y21" i="21"/>
  <c r="H207" i="18"/>
  <c r="L198" i="18"/>
  <c r="U18" i="21"/>
  <c r="F231" i="28"/>
  <c r="N22" i="28"/>
  <c r="N26" i="18"/>
  <c r="J172" i="18"/>
  <c r="J137" i="28"/>
  <c r="H373" i="18"/>
  <c r="J345" i="18"/>
  <c r="J407" i="28"/>
  <c r="F265" i="28"/>
  <c r="B45" i="18"/>
  <c r="N21" i="18"/>
  <c r="L192" i="18"/>
  <c r="J438" i="18"/>
  <c r="B42" i="28"/>
  <c r="J296" i="18"/>
  <c r="B442" i="28"/>
  <c r="J318" i="18"/>
  <c r="J261" i="18"/>
  <c r="D342" i="18"/>
  <c r="N403" i="18"/>
  <c r="D206" i="28"/>
  <c r="N23" i="18"/>
  <c r="B46" i="28"/>
  <c r="L375" i="28"/>
  <c r="F448" i="28"/>
  <c r="D170" i="18"/>
  <c r="B327" i="18"/>
  <c r="H57" i="18"/>
  <c r="D27" i="28"/>
  <c r="B98" i="28"/>
  <c r="L410" i="18"/>
  <c r="J110" i="18"/>
  <c r="L250" i="28"/>
  <c r="J117" i="28"/>
  <c r="W24" i="21"/>
  <c r="F311" i="28"/>
  <c r="H356" i="18"/>
  <c r="F318" i="28"/>
  <c r="D378" i="18"/>
  <c r="B158" i="28"/>
  <c r="B412" i="28"/>
  <c r="AF19" i="21"/>
  <c r="H208" i="28"/>
  <c r="B281" i="18"/>
  <c r="F288" i="28"/>
  <c r="F58" i="18"/>
  <c r="B113" i="28"/>
  <c r="F112" i="28"/>
  <c r="L17" i="28"/>
  <c r="L147" i="18"/>
  <c r="J27" i="18"/>
  <c r="L316" i="18"/>
  <c r="B368" i="18"/>
  <c r="S27" i="18"/>
  <c r="D200" i="28"/>
  <c r="D310" i="28"/>
  <c r="L295" i="18"/>
  <c r="N438" i="18"/>
  <c r="J228" i="28"/>
  <c r="E13" i="27"/>
  <c r="J17" i="28"/>
  <c r="J206" i="28"/>
  <c r="D256" i="28"/>
  <c r="L10" i="18"/>
  <c r="B326" i="28"/>
  <c r="J316" i="28"/>
  <c r="D105" i="18"/>
  <c r="D158" i="18"/>
  <c r="D193" i="28"/>
  <c r="B371" i="28"/>
  <c r="H373" i="28"/>
  <c r="D195" i="18"/>
  <c r="B225" i="28"/>
  <c r="F25" i="18"/>
  <c r="J16" i="18"/>
  <c r="H403" i="18"/>
  <c r="B413" i="28"/>
  <c r="D357" i="18"/>
  <c r="B428" i="18"/>
  <c r="J98" i="28"/>
  <c r="B372" i="18"/>
  <c r="H17" i="28"/>
  <c r="J357" i="18"/>
  <c r="D57" i="18"/>
  <c r="S23" i="18"/>
  <c r="H47" i="28"/>
  <c r="J433" i="28"/>
  <c r="F200" i="18"/>
  <c r="D267" i="28"/>
  <c r="D107" i="28"/>
  <c r="F205" i="18"/>
  <c r="F401" i="18"/>
  <c r="J225" i="28"/>
  <c r="D281" i="18"/>
  <c r="F192" i="28"/>
  <c r="F440" i="28"/>
  <c r="J443" i="28"/>
  <c r="J413" i="28"/>
  <c r="H265" i="28"/>
  <c r="J46" i="18"/>
  <c r="F161" i="28"/>
  <c r="F53" i="18"/>
  <c r="N386" i="18"/>
  <c r="H287" i="18"/>
  <c r="H326" i="18"/>
  <c r="J128" i="28"/>
  <c r="H267" i="28"/>
  <c r="H265" i="18"/>
  <c r="J100" i="28"/>
  <c r="H327" i="28"/>
  <c r="J401" i="28"/>
  <c r="F203" i="28"/>
  <c r="J383" i="18"/>
  <c r="L417" i="18"/>
  <c r="H383" i="18"/>
  <c r="L128" i="28"/>
  <c r="J128" i="18"/>
  <c r="B383" i="18"/>
  <c r="L280" i="18"/>
  <c r="H311" i="28"/>
  <c r="J53" i="28"/>
  <c r="H18" i="19"/>
  <c r="F283" i="18"/>
  <c r="N400" i="28"/>
  <c r="L27" i="28"/>
  <c r="N382" i="18"/>
  <c r="H167" i="18"/>
  <c r="H18" i="18"/>
  <c r="H135" i="18"/>
  <c r="J18" i="28"/>
  <c r="H131" i="18"/>
  <c r="H443" i="18"/>
  <c r="D258" i="28"/>
  <c r="G20" i="19"/>
  <c r="H42" i="18"/>
  <c r="B55" i="28"/>
  <c r="H191" i="18"/>
  <c r="B356" i="28"/>
  <c r="J208" i="28"/>
  <c r="N346" i="28"/>
  <c r="J371" i="18"/>
  <c r="H441" i="28"/>
  <c r="H385" i="28"/>
  <c r="L318" i="28"/>
  <c r="F373" i="28"/>
  <c r="J342" i="28"/>
  <c r="L442" i="18"/>
  <c r="D317" i="28"/>
  <c r="F357" i="18"/>
  <c r="J346" i="28"/>
  <c r="J368" i="18"/>
  <c r="B447" i="28"/>
  <c r="D326" i="18"/>
  <c r="F173" i="28"/>
  <c r="J140" i="18"/>
  <c r="N431" i="18"/>
  <c r="J251" i="28"/>
  <c r="N327" i="28"/>
  <c r="J115" i="18"/>
  <c r="L221" i="28"/>
  <c r="B58" i="28"/>
  <c r="N436" i="18"/>
  <c r="D291" i="18"/>
  <c r="D113" i="18"/>
  <c r="F175" i="28"/>
  <c r="H236" i="18"/>
  <c r="B22" i="18"/>
  <c r="D280" i="28"/>
  <c r="J106" i="18"/>
  <c r="J102" i="18"/>
  <c r="L402" i="18"/>
  <c r="B312" i="18"/>
  <c r="L353" i="18"/>
  <c r="H228" i="28"/>
  <c r="L262" i="18"/>
  <c r="F235" i="18"/>
  <c r="J178" i="18"/>
  <c r="F130" i="28"/>
  <c r="C18" i="27"/>
  <c r="B136" i="28"/>
  <c r="F406" i="28"/>
  <c r="J388" i="18"/>
  <c r="B196" i="28"/>
  <c r="D131" i="28"/>
  <c r="J137" i="18"/>
  <c r="N348" i="18"/>
  <c r="J147" i="28"/>
  <c r="D442" i="18"/>
  <c r="J142" i="18"/>
  <c r="D441" i="18"/>
  <c r="B355" i="18"/>
  <c r="J268" i="28"/>
  <c r="D311" i="18"/>
  <c r="B46" i="18"/>
  <c r="H368" i="18"/>
  <c r="N373" i="18"/>
  <c r="F16" i="27"/>
  <c r="B143" i="18"/>
  <c r="D26" i="28"/>
  <c r="L248" i="28"/>
  <c r="J28" i="28"/>
  <c r="J433" i="18"/>
  <c r="N376" i="18"/>
  <c r="B372" i="28"/>
  <c r="H190" i="18"/>
  <c r="S21" i="21"/>
  <c r="B48" i="28"/>
  <c r="L371" i="28"/>
  <c r="J193" i="28"/>
  <c r="H257" i="18"/>
  <c r="F408" i="28"/>
  <c r="D16" i="19"/>
  <c r="B18" i="28"/>
  <c r="B341" i="28"/>
  <c r="S47" i="18"/>
  <c r="F138" i="28"/>
  <c r="B286" i="18"/>
  <c r="L293" i="18"/>
  <c r="H402" i="18"/>
  <c r="D320" i="18"/>
  <c r="X20" i="21"/>
  <c r="L231" i="18"/>
  <c r="H347" i="28"/>
  <c r="J220" i="18"/>
  <c r="B148" i="28"/>
  <c r="H200" i="28"/>
  <c r="L118" i="28"/>
  <c r="D200" i="18"/>
  <c r="B406" i="28"/>
  <c r="H447" i="18"/>
  <c r="D227" i="28"/>
  <c r="B40" i="28"/>
  <c r="N343" i="18"/>
  <c r="N347" i="18"/>
  <c r="H346" i="28"/>
  <c r="D340" i="28"/>
  <c r="B14" i="27"/>
  <c r="B237" i="18"/>
  <c r="H132" i="28"/>
  <c r="D225" i="28"/>
  <c r="B291" i="28"/>
  <c r="S24" i="21"/>
  <c r="D321" i="18"/>
  <c r="F293" i="28"/>
  <c r="J431" i="18"/>
  <c r="L160" i="18"/>
  <c r="J352" i="18"/>
  <c r="D447" i="18"/>
  <c r="F297" i="28"/>
  <c r="B138" i="18"/>
  <c r="B11" i="18"/>
  <c r="N418" i="18"/>
  <c r="F128" i="18"/>
  <c r="F248" i="18"/>
  <c r="L20" i="18"/>
  <c r="F413" i="18"/>
  <c r="AG22" i="21"/>
  <c r="H163" i="28"/>
  <c r="D380" i="18"/>
  <c r="L315" i="28"/>
  <c r="H358" i="28"/>
  <c r="B22" i="28"/>
  <c r="L98" i="28"/>
  <c r="B250" i="18"/>
  <c r="F296" i="28"/>
  <c r="E18" i="27"/>
  <c r="D235" i="18"/>
  <c r="L11" i="28"/>
  <c r="D105" i="28"/>
  <c r="N20" i="28"/>
  <c r="J267" i="18"/>
  <c r="L260" i="18"/>
  <c r="J263" i="28"/>
  <c r="L310" i="28"/>
  <c r="F98" i="18"/>
  <c r="B141" i="18"/>
  <c r="F295" i="18"/>
  <c r="B131" i="18"/>
  <c r="B146" i="28"/>
  <c r="J310" i="28"/>
  <c r="L281" i="28"/>
  <c r="C18" i="19"/>
  <c r="N320" i="18"/>
  <c r="L107" i="18"/>
  <c r="F146" i="28"/>
  <c r="L371" i="18"/>
  <c r="L293" i="28"/>
  <c r="L291" i="18"/>
  <c r="E20" i="27"/>
  <c r="J47" i="28"/>
  <c r="H375" i="28"/>
  <c r="D353" i="18"/>
  <c r="B140" i="18"/>
  <c r="S20" i="18"/>
  <c r="J143" i="18"/>
  <c r="L103" i="18"/>
  <c r="L158" i="18"/>
  <c r="J430" i="18"/>
  <c r="L268" i="28"/>
  <c r="D412" i="18"/>
  <c r="B413" i="18"/>
  <c r="B402" i="28"/>
  <c r="F327" i="28"/>
  <c r="H428" i="28"/>
  <c r="F158" i="18"/>
  <c r="F26" i="28"/>
  <c r="D250" i="28"/>
  <c r="B162" i="18"/>
  <c r="N381" i="18"/>
  <c r="B220" i="18"/>
  <c r="B103" i="18"/>
  <c r="F131" i="18"/>
  <c r="L137" i="28"/>
  <c r="D283" i="28"/>
  <c r="N312" i="18"/>
  <c r="L308" i="18"/>
  <c r="J237" i="18"/>
  <c r="N356" i="28"/>
  <c r="F353" i="28"/>
  <c r="H291" i="28"/>
  <c r="B198" i="18"/>
  <c r="F435" i="18"/>
  <c r="N18" i="28"/>
  <c r="D22" i="28"/>
  <c r="F436" i="18"/>
  <c r="L432" i="18"/>
  <c r="J413" i="18"/>
  <c r="F160" i="28"/>
  <c r="F46" i="28"/>
  <c r="H378" i="18"/>
  <c r="L205" i="18"/>
  <c r="J386" i="18"/>
  <c r="F312" i="18"/>
  <c r="N372" i="28"/>
  <c r="B107" i="18"/>
  <c r="H220" i="28"/>
  <c r="D432" i="18"/>
  <c r="H256" i="28"/>
  <c r="B226" i="28"/>
  <c r="B442" i="18"/>
  <c r="B381" i="28"/>
  <c r="N380" i="18"/>
  <c r="L175" i="18"/>
  <c r="F252" i="18"/>
  <c r="B128" i="28"/>
  <c r="N21" i="28"/>
  <c r="L12" i="18"/>
  <c r="B321" i="18"/>
  <c r="B161" i="18"/>
  <c r="H268" i="28"/>
  <c r="F287" i="28"/>
  <c r="D406" i="28"/>
  <c r="F201" i="18"/>
  <c r="D162" i="18"/>
  <c r="F207" i="28"/>
  <c r="N355" i="18"/>
  <c r="J235" i="28"/>
  <c r="B105" i="28"/>
  <c r="H101" i="18"/>
  <c r="L16" i="18"/>
  <c r="J13" i="28"/>
  <c r="B433" i="28"/>
  <c r="B42" i="18"/>
  <c r="D286" i="28"/>
  <c r="F46" i="18"/>
  <c r="F317" i="28"/>
  <c r="J288" i="28"/>
  <c r="J51" i="18"/>
  <c r="B257" i="28"/>
  <c r="B431" i="18"/>
  <c r="S40" i="18"/>
  <c r="N408" i="18"/>
  <c r="J291" i="18"/>
  <c r="D228" i="18"/>
  <c r="D10" i="27"/>
  <c r="J170" i="18"/>
  <c r="L315" i="18"/>
  <c r="H376" i="18"/>
  <c r="J57" i="18"/>
  <c r="L23" i="18"/>
  <c r="F226" i="18"/>
  <c r="D12" i="28"/>
  <c r="J312" i="28"/>
  <c r="L207" i="18"/>
  <c r="H118" i="18"/>
  <c r="L208" i="18"/>
  <c r="H12" i="27"/>
  <c r="J233" i="18"/>
  <c r="D102" i="28"/>
  <c r="N448" i="18"/>
  <c r="J291" i="28"/>
  <c r="L348" i="18"/>
  <c r="D316" i="18"/>
  <c r="H202" i="18"/>
  <c r="L132" i="28"/>
  <c r="B410" i="28"/>
  <c r="H398" i="18"/>
  <c r="F196" i="28"/>
  <c r="N435" i="28"/>
  <c r="B38" i="28"/>
  <c r="D316" i="28"/>
  <c r="N388" i="18"/>
  <c r="J357" i="28"/>
  <c r="F268" i="18"/>
  <c r="D308" i="28"/>
  <c r="J160" i="28"/>
  <c r="H158" i="28"/>
  <c r="H375" i="18"/>
  <c r="B266" i="28"/>
  <c r="H128" i="28"/>
  <c r="L445" i="28"/>
  <c r="B376" i="18"/>
  <c r="D21" i="18"/>
  <c r="H261" i="18"/>
  <c r="L347" i="18"/>
  <c r="H290" i="28"/>
  <c r="F175" i="18"/>
  <c r="U23" i="21"/>
  <c r="B445" i="18"/>
  <c r="L268" i="18"/>
  <c r="F290" i="18"/>
  <c r="H58" i="28"/>
  <c r="D407" i="28"/>
  <c r="AH19" i="21"/>
  <c r="B325" i="18"/>
  <c r="H290" i="18"/>
  <c r="F191" i="28"/>
  <c r="L196" i="18"/>
  <c r="J256" i="28"/>
  <c r="D295" i="28"/>
  <c r="F250" i="18"/>
  <c r="D250" i="18"/>
  <c r="L351" i="18"/>
  <c r="J377" i="28"/>
  <c r="L140" i="28"/>
  <c r="V22" i="21"/>
  <c r="H111" i="18"/>
  <c r="B410" i="18"/>
  <c r="B170" i="18"/>
  <c r="J50" i="28"/>
  <c r="B160" i="18"/>
  <c r="D47" i="28"/>
  <c r="F171" i="28"/>
  <c r="B446" i="18"/>
  <c r="D141" i="28"/>
  <c r="B387" i="28"/>
  <c r="F10" i="28"/>
  <c r="D137" i="18"/>
  <c r="H232" i="18"/>
  <c r="B141" i="28"/>
  <c r="S55" i="18"/>
  <c r="F41" i="28"/>
  <c r="J268" i="18"/>
  <c r="B53" i="18"/>
  <c r="J407" i="18"/>
  <c r="L381" i="18"/>
  <c r="J147" i="18"/>
  <c r="L255" i="28"/>
  <c r="J38" i="18"/>
  <c r="J345" i="28"/>
  <c r="H248" i="28"/>
  <c r="D140" i="18"/>
  <c r="J45" i="18"/>
  <c r="F101" i="18"/>
  <c r="F325" i="28"/>
  <c r="D98" i="18"/>
  <c r="D388" i="18"/>
  <c r="J252" i="28"/>
  <c r="J315" i="18"/>
  <c r="F15" i="18"/>
  <c r="H440" i="18"/>
  <c r="J168" i="28"/>
  <c r="B220" i="28"/>
  <c r="L377" i="18"/>
  <c r="D117" i="28"/>
  <c r="H28" i="18"/>
  <c r="B373" i="18"/>
  <c r="E11" i="19"/>
  <c r="H53" i="18"/>
  <c r="S17" i="18"/>
  <c r="L12" i="28"/>
  <c r="L418" i="28"/>
  <c r="F410" i="18"/>
  <c r="H203" i="28"/>
  <c r="F278" i="18"/>
  <c r="B196" i="18"/>
  <c r="H50" i="18"/>
  <c r="H143" i="18"/>
  <c r="F388" i="18"/>
  <c r="L191" i="18"/>
  <c r="H435" i="28"/>
  <c r="H401" i="18"/>
  <c r="H266" i="28"/>
  <c r="J448" i="18"/>
  <c r="L25" i="18"/>
  <c r="H48" i="28"/>
  <c r="D440" i="28"/>
  <c r="H192" i="28"/>
  <c r="AH21" i="21"/>
  <c r="C14" i="19"/>
  <c r="L368" i="28"/>
  <c r="F292" i="18"/>
  <c r="J381" i="18"/>
  <c r="H320" i="18"/>
  <c r="D188" i="28"/>
  <c r="L267" i="18"/>
  <c r="N321" i="18"/>
  <c r="H380" i="28"/>
  <c r="J385" i="18"/>
  <c r="F147" i="28"/>
  <c r="L320" i="18"/>
  <c r="B376" i="28"/>
  <c r="B448" i="18"/>
  <c r="F8" i="18"/>
  <c r="F197" i="18"/>
  <c r="H283" i="18"/>
  <c r="H10" i="28"/>
  <c r="N341" i="28"/>
  <c r="B285" i="18"/>
  <c r="D56" i="18"/>
  <c r="H280" i="28"/>
  <c r="B405" i="28"/>
  <c r="L171" i="18"/>
  <c r="B402" i="18"/>
  <c r="H442" i="18"/>
  <c r="L222" i="28"/>
  <c r="J113" i="28"/>
  <c r="J218" i="18"/>
  <c r="F292" i="28"/>
  <c r="N413" i="18"/>
  <c r="L352" i="28"/>
  <c r="D16" i="18"/>
  <c r="F256" i="28"/>
  <c r="B436" i="18"/>
  <c r="B175" i="28"/>
  <c r="F280" i="28"/>
  <c r="J258" i="28"/>
  <c r="L278" i="18"/>
  <c r="L192" i="28"/>
  <c r="H46" i="18"/>
  <c r="J376" i="18"/>
  <c r="F198" i="18"/>
  <c r="D173" i="28"/>
  <c r="H308" i="18"/>
  <c r="B16" i="28"/>
  <c r="F22" i="28"/>
  <c r="J23" i="18"/>
  <c r="S13" i="18"/>
  <c r="F298" i="28"/>
  <c r="D282" i="28"/>
  <c r="F320" i="18"/>
  <c r="J261" i="28"/>
  <c r="H225" i="18"/>
  <c r="W22" i="21"/>
  <c r="H403" i="28"/>
  <c r="D417" i="28"/>
  <c r="D262" i="28"/>
  <c r="L321" i="28"/>
  <c r="L312" i="18"/>
  <c r="H20" i="27"/>
  <c r="D431" i="28"/>
  <c r="L398" i="28"/>
  <c r="H58" i="18"/>
  <c r="H191" i="28"/>
  <c r="V20" i="29"/>
  <c r="T12" i="29"/>
  <c r="Y12" i="29"/>
  <c r="AH11" i="29"/>
  <c r="X12" i="29"/>
  <c r="S21" i="29"/>
  <c r="V17" i="29"/>
  <c r="S19" i="29"/>
  <c r="X18" i="29"/>
  <c r="T14" i="29"/>
  <c r="X19" i="29"/>
  <c r="V23" i="29"/>
  <c r="V13" i="29"/>
  <c r="V15" i="29"/>
  <c r="Y17" i="29"/>
  <c r="F136" i="18"/>
  <c r="F230" i="18"/>
  <c r="B437" i="28"/>
  <c r="H170" i="18"/>
  <c r="J283" i="28"/>
  <c r="J341" i="18"/>
  <c r="D287" i="18"/>
  <c r="B340" i="28"/>
  <c r="D432" i="28"/>
  <c r="B261" i="28"/>
  <c r="J238" i="28"/>
  <c r="D21" i="28"/>
  <c r="H202" i="28"/>
  <c r="N351" i="28"/>
  <c r="J103" i="28"/>
  <c r="N27" i="28"/>
  <c r="B47" i="18"/>
  <c r="L223" i="28"/>
  <c r="B101" i="18"/>
  <c r="E20" i="19"/>
  <c r="L441" i="28"/>
  <c r="L113" i="18"/>
  <c r="H160" i="28"/>
  <c r="D388" i="28"/>
  <c r="D223" i="18"/>
  <c r="F418" i="18"/>
  <c r="F350" i="28"/>
  <c r="B357" i="18"/>
  <c r="H175" i="28"/>
  <c r="H346" i="18"/>
  <c r="B52" i="28"/>
  <c r="J15" i="18"/>
  <c r="F168" i="18"/>
  <c r="L291" i="28"/>
  <c r="F323" i="18"/>
  <c r="N416" i="28"/>
  <c r="H263" i="18"/>
  <c r="F433" i="18"/>
  <c r="J313" i="18"/>
  <c r="J12" i="28"/>
  <c r="D376" i="28"/>
  <c r="J131" i="18"/>
  <c r="N350" i="18"/>
  <c r="B202" i="18"/>
  <c r="D11" i="27"/>
  <c r="J358" i="28"/>
  <c r="L145" i="28"/>
  <c r="H198" i="28"/>
  <c r="J346" i="18"/>
  <c r="L207" i="28"/>
  <c r="F388" i="28"/>
  <c r="H338" i="28"/>
  <c r="L102" i="18"/>
  <c r="F102" i="28"/>
  <c r="J52" i="18"/>
  <c r="J373" i="18"/>
  <c r="D298" i="18"/>
  <c r="N357" i="28"/>
  <c r="D51" i="28"/>
  <c r="N412" i="18"/>
  <c r="D373" i="28"/>
  <c r="J145" i="18"/>
  <c r="J193" i="18"/>
  <c r="C12" i="27"/>
  <c r="F316" i="28"/>
  <c r="B193" i="18"/>
  <c r="J163" i="18"/>
  <c r="B228" i="28"/>
  <c r="B280" i="28"/>
  <c r="B298" i="18"/>
  <c r="J372" i="28"/>
  <c r="L298" i="28"/>
  <c r="L221" i="18"/>
  <c r="H408" i="28"/>
  <c r="T23" i="21"/>
  <c r="J232" i="28"/>
  <c r="E9" i="27"/>
  <c r="J373" i="28"/>
  <c r="B296" i="18"/>
  <c r="B248" i="18"/>
  <c r="F113" i="28"/>
  <c r="B115" i="28"/>
  <c r="J135" i="18"/>
  <c r="J118" i="18"/>
  <c r="F313" i="28"/>
  <c r="H345" i="18"/>
  <c r="J188" i="28"/>
  <c r="J432" i="28"/>
  <c r="H286" i="18"/>
  <c r="H448" i="18"/>
  <c r="H322" i="28"/>
  <c r="AF23" i="21"/>
  <c r="F338" i="28"/>
  <c r="B316" i="18"/>
  <c r="B192" i="18"/>
  <c r="L172" i="28"/>
  <c r="F237" i="18"/>
  <c r="L376" i="28"/>
  <c r="L228" i="28"/>
  <c r="B8" i="19"/>
  <c r="J111" i="18"/>
  <c r="B315" i="18"/>
  <c r="B201" i="28"/>
  <c r="L402" i="28"/>
  <c r="J292" i="28"/>
  <c r="D383" i="18"/>
  <c r="F263" i="28"/>
  <c r="B161" i="28"/>
  <c r="H317" i="28"/>
  <c r="N352" i="18"/>
  <c r="J222" i="28"/>
  <c r="B258" i="28"/>
  <c r="G14" i="27"/>
  <c r="C20" i="19"/>
  <c r="Y18" i="21"/>
  <c r="H252" i="18"/>
  <c r="J281" i="28"/>
  <c r="N376" i="28"/>
  <c r="J227" i="18"/>
  <c r="F50" i="18"/>
  <c r="F338" i="18"/>
  <c r="N11" i="18"/>
  <c r="F408" i="18"/>
  <c r="C17" i="19"/>
  <c r="B158" i="18"/>
  <c r="J201" i="18"/>
  <c r="B208" i="28"/>
  <c r="B116" i="18"/>
  <c r="H190" i="28"/>
  <c r="B43" i="18"/>
  <c r="H43" i="28"/>
  <c r="B282" i="18"/>
  <c r="S58" i="18"/>
  <c r="F356" i="28"/>
  <c r="L378" i="18"/>
  <c r="J443" i="18"/>
  <c r="L415" i="28"/>
  <c r="F137" i="28"/>
  <c r="B40" i="18"/>
  <c r="N338" i="18"/>
  <c r="L442" i="28"/>
  <c r="B51" i="28"/>
  <c r="E8" i="27"/>
  <c r="H296" i="28"/>
  <c r="D233" i="18"/>
  <c r="F28" i="18"/>
  <c r="F8" i="27"/>
  <c r="J438" i="28"/>
  <c r="J297" i="28"/>
  <c r="N311" i="18"/>
  <c r="C10" i="27"/>
  <c r="J188" i="18"/>
  <c r="J353" i="18"/>
  <c r="D198" i="18"/>
  <c r="N377" i="28"/>
  <c r="F38" i="28"/>
  <c r="D373" i="18"/>
  <c r="F15" i="28"/>
  <c r="N387" i="18"/>
  <c r="D285" i="28"/>
  <c r="D13" i="18"/>
  <c r="F226" i="28"/>
  <c r="F253" i="18"/>
  <c r="F200" i="28"/>
  <c r="B222" i="28"/>
  <c r="B432" i="28"/>
  <c r="D447" i="28"/>
  <c r="L228" i="18"/>
  <c r="N438" i="28"/>
  <c r="L443" i="28"/>
  <c r="B400" i="18"/>
  <c r="H115" i="18"/>
  <c r="D138" i="18"/>
  <c r="F108" i="28"/>
  <c r="D201" i="28"/>
  <c r="H41" i="18"/>
  <c r="L226" i="28"/>
  <c r="L346" i="18"/>
  <c r="L257" i="28"/>
  <c r="F255" i="18"/>
  <c r="L166" i="18"/>
  <c r="F255" i="28"/>
  <c r="D38" i="18"/>
  <c r="H52" i="18"/>
  <c r="H163" i="18"/>
  <c r="F16" i="28"/>
  <c r="H105" i="28"/>
  <c r="F278" i="28"/>
  <c r="L170" i="18"/>
  <c r="D46" i="28"/>
  <c r="F385" i="28"/>
  <c r="H8" i="19"/>
  <c r="L386" i="28"/>
  <c r="G11" i="27"/>
  <c r="B430" i="28"/>
  <c r="F145" i="18"/>
  <c r="H27" i="18"/>
  <c r="B103" i="28"/>
  <c r="D436" i="28"/>
  <c r="B10" i="27"/>
  <c r="B218" i="18"/>
  <c r="B8" i="18"/>
  <c r="D413" i="28"/>
  <c r="B285" i="28"/>
  <c r="J398" i="18"/>
  <c r="B343" i="18"/>
  <c r="B343" i="28"/>
  <c r="F102" i="18"/>
  <c r="D145" i="28"/>
  <c r="F132" i="18"/>
  <c r="H310" i="28"/>
  <c r="H136" i="18"/>
  <c r="L257" i="18"/>
  <c r="E18" i="19"/>
  <c r="B201" i="18"/>
  <c r="J448" i="28"/>
  <c r="J325" i="18"/>
  <c r="F328" i="28"/>
  <c r="L407" i="28"/>
  <c r="N356" i="18"/>
  <c r="L400" i="18"/>
  <c r="H383" i="28"/>
  <c r="J260" i="28"/>
  <c r="L447" i="28"/>
  <c r="L326" i="18"/>
  <c r="L327" i="18"/>
  <c r="D147" i="28"/>
  <c r="D116" i="18"/>
  <c r="N10" i="28"/>
  <c r="L408" i="18"/>
  <c r="F433" i="28"/>
  <c r="F295" i="28"/>
  <c r="B268" i="18"/>
  <c r="J111" i="28"/>
  <c r="E12" i="27"/>
  <c r="B352" i="28"/>
  <c r="F413" i="28"/>
  <c r="D348" i="28"/>
  <c r="F386" i="18"/>
  <c r="B166" i="18"/>
  <c r="S13" i="29"/>
  <c r="AG12" i="29"/>
  <c r="Y19" i="29"/>
  <c r="U20" i="29"/>
  <c r="X13" i="29"/>
  <c r="W17" i="29"/>
  <c r="V11" i="29"/>
  <c r="T17" i="29"/>
  <c r="S12" i="29"/>
  <c r="AG11" i="29"/>
  <c r="Y13" i="29"/>
  <c r="Y10" i="29"/>
  <c r="U14" i="29"/>
  <c r="W20" i="29"/>
  <c r="W11" i="29"/>
  <c r="H370" i="18"/>
  <c r="D133" i="28"/>
  <c r="F352" i="28"/>
  <c r="N442" i="28"/>
  <c r="AG19" i="21"/>
  <c r="L260" i="28"/>
  <c r="C16" i="19"/>
  <c r="B178" i="28"/>
  <c r="B110" i="28"/>
  <c r="S42" i="18"/>
  <c r="L428" i="18"/>
  <c r="F265" i="18"/>
  <c r="L408" i="28"/>
  <c r="B207" i="28"/>
  <c r="F9" i="27"/>
  <c r="J388" i="28"/>
  <c r="H436" i="28"/>
  <c r="F381" i="28"/>
  <c r="D19" i="27"/>
  <c r="L378" i="28"/>
  <c r="J445" i="18"/>
  <c r="F48" i="18"/>
  <c r="H323" i="28"/>
  <c r="L137" i="18"/>
  <c r="F133" i="18"/>
  <c r="L190" i="28"/>
  <c r="J51" i="28"/>
  <c r="D326" i="28"/>
  <c r="L345" i="18"/>
  <c r="J205" i="18"/>
  <c r="F12" i="19"/>
  <c r="H226" i="18"/>
  <c r="J50" i="18"/>
  <c r="H28" i="28"/>
  <c r="N440" i="28"/>
  <c r="L258" i="18"/>
  <c r="B358" i="28"/>
  <c r="N382" i="28"/>
  <c r="S18" i="18"/>
  <c r="F353" i="18"/>
  <c r="D411" i="28"/>
  <c r="D281" i="28"/>
  <c r="J286" i="18"/>
  <c r="D430" i="18"/>
  <c r="D220" i="28"/>
  <c r="D12" i="18"/>
  <c r="F51" i="28"/>
  <c r="S52" i="18"/>
  <c r="D107" i="18"/>
  <c r="F412" i="18"/>
  <c r="J442" i="28"/>
  <c r="B188" i="28"/>
  <c r="L435" i="18"/>
  <c r="B438" i="18"/>
  <c r="L437" i="28"/>
  <c r="L188" i="28"/>
  <c r="L437" i="18"/>
  <c r="N341" i="18"/>
  <c r="F43" i="18"/>
  <c r="D268" i="28"/>
  <c r="D173" i="18"/>
  <c r="F250" i="28"/>
  <c r="D283" i="18"/>
  <c r="H293" i="28"/>
  <c r="F406" i="18"/>
  <c r="N418" i="28"/>
  <c r="D13" i="27"/>
  <c r="H148" i="28"/>
  <c r="H341" i="18"/>
  <c r="J138" i="28"/>
  <c r="B296" i="28"/>
  <c r="H178" i="28"/>
  <c r="N386" i="28"/>
  <c r="L280" i="28"/>
  <c r="H173" i="18"/>
  <c r="F345" i="28"/>
  <c r="L412" i="18"/>
  <c r="H193" i="18"/>
  <c r="B265" i="28"/>
  <c r="L417" i="28"/>
  <c r="J138" i="18"/>
  <c r="F116" i="28"/>
  <c r="N310" i="28"/>
  <c r="D248" i="18"/>
  <c r="L296" i="28"/>
  <c r="H100" i="18"/>
  <c r="H43" i="18"/>
  <c r="L340" i="28"/>
  <c r="D53" i="18"/>
  <c r="J195" i="28"/>
  <c r="L373" i="28"/>
  <c r="F43" i="28"/>
  <c r="F260" i="28"/>
  <c r="L112" i="28"/>
  <c r="F321" i="18"/>
  <c r="J13" i="18"/>
  <c r="L388" i="18"/>
  <c r="B317" i="18"/>
  <c r="C19" i="27"/>
  <c r="B256" i="28"/>
  <c r="D312" i="28"/>
  <c r="B342" i="28"/>
  <c r="L163" i="18"/>
  <c r="D235" i="28"/>
  <c r="B382" i="28"/>
  <c r="W18" i="21"/>
  <c r="D315" i="18"/>
  <c r="B98" i="18"/>
  <c r="D101" i="28"/>
  <c r="H147" i="28"/>
  <c r="D18" i="27"/>
  <c r="H445" i="28"/>
  <c r="L446" i="28"/>
  <c r="S56" i="18"/>
  <c r="E11" i="27"/>
  <c r="N342" i="28"/>
  <c r="F22" i="18"/>
  <c r="J386" i="28"/>
  <c r="H107" i="18"/>
  <c r="H250" i="18"/>
  <c r="D188" i="18"/>
  <c r="B371" i="18"/>
  <c r="F380" i="18"/>
  <c r="B350" i="18"/>
  <c r="D146" i="28"/>
  <c r="F341" i="28"/>
  <c r="D18" i="18"/>
  <c r="F111" i="28"/>
  <c r="F383" i="18"/>
  <c r="J170" i="28"/>
  <c r="L105" i="18"/>
  <c r="B11" i="19"/>
  <c r="D317" i="18"/>
  <c r="H20" i="28"/>
  <c r="L200" i="18"/>
  <c r="J248" i="18"/>
  <c r="H287" i="28"/>
  <c r="F347" i="18"/>
  <c r="F253" i="28"/>
  <c r="D418" i="18"/>
  <c r="T22" i="21"/>
  <c r="J158" i="28"/>
  <c r="H348" i="28"/>
  <c r="F290" i="28"/>
  <c r="B345" i="28"/>
  <c r="F257" i="28"/>
  <c r="D132" i="18"/>
  <c r="D372" i="18"/>
  <c r="D296" i="28"/>
  <c r="B102" i="28"/>
  <c r="F17" i="27"/>
  <c r="F228" i="18"/>
  <c r="J382" i="28"/>
  <c r="L238" i="18"/>
  <c r="D320" i="28"/>
  <c r="H432" i="28"/>
  <c r="L370" i="28"/>
  <c r="B41" i="28"/>
  <c r="L287" i="18"/>
  <c r="J385" i="28"/>
  <c r="J405" i="18"/>
  <c r="H313" i="28"/>
  <c r="H221" i="28"/>
  <c r="F291" i="18"/>
  <c r="D221" i="18"/>
  <c r="B340" i="18"/>
  <c r="J338" i="18"/>
  <c r="B248" i="28"/>
  <c r="H17" i="18"/>
  <c r="S43" i="18"/>
  <c r="J430" i="28"/>
  <c r="J295" i="18"/>
  <c r="L328" i="18"/>
  <c r="L312" i="28"/>
  <c r="H178" i="18"/>
  <c r="L131" i="18"/>
  <c r="F432" i="18"/>
  <c r="J372" i="18"/>
  <c r="F368" i="18"/>
  <c r="D118" i="28"/>
  <c r="D117" i="18"/>
  <c r="H47" i="18"/>
  <c r="B325" i="28"/>
  <c r="L406" i="18"/>
  <c r="F417" i="28"/>
  <c r="L142" i="18"/>
  <c r="B19" i="19"/>
  <c r="L292" i="28"/>
  <c r="H218" i="28"/>
  <c r="L382" i="18"/>
  <c r="H98" i="18"/>
  <c r="F346" i="28"/>
  <c r="D221" i="28"/>
  <c r="D191" i="28"/>
  <c r="H56" i="28"/>
  <c r="L320" i="28"/>
  <c r="D236" i="28"/>
  <c r="B435" i="18"/>
  <c r="B253" i="18"/>
  <c r="J158" i="18"/>
  <c r="G13" i="27"/>
  <c r="J411" i="18"/>
  <c r="H100" i="28"/>
  <c r="B20" i="28"/>
  <c r="H447" i="28"/>
  <c r="D251" i="18"/>
  <c r="H347" i="18"/>
  <c r="L227" i="28"/>
  <c r="J228" i="18"/>
  <c r="L162" i="28"/>
  <c r="D297" i="18"/>
  <c r="F132" i="28"/>
  <c r="G17" i="19"/>
  <c r="F163" i="28"/>
  <c r="B403" i="18"/>
  <c r="G16" i="19"/>
  <c r="B403" i="28"/>
  <c r="D11" i="19"/>
  <c r="J285" i="28"/>
  <c r="L222" i="18"/>
  <c r="J230" i="18"/>
  <c r="F25" i="28"/>
  <c r="B292" i="28"/>
  <c r="D428" i="28"/>
  <c r="L413" i="28"/>
  <c r="AF10" i="29"/>
  <c r="U23" i="29"/>
  <c r="S11" i="29"/>
  <c r="U10" i="29"/>
  <c r="AF13" i="29"/>
  <c r="V19" i="29"/>
  <c r="Y18" i="29"/>
  <c r="U13" i="29"/>
  <c r="X20" i="29"/>
  <c r="W10" i="29"/>
  <c r="V18" i="29"/>
  <c r="S22" i="29"/>
  <c r="X14" i="29"/>
  <c r="T11" i="29"/>
  <c r="S17" i="29"/>
  <c r="H278" i="18"/>
  <c r="D131" i="18"/>
  <c r="N417" i="18"/>
  <c r="D237" i="18"/>
  <c r="D176" i="28"/>
  <c r="H12" i="28"/>
  <c r="B283" i="18"/>
  <c r="L205" i="28"/>
  <c r="L377" i="28"/>
  <c r="F417" i="18"/>
  <c r="L197" i="28"/>
  <c r="B167" i="28"/>
  <c r="D440" i="18"/>
  <c r="L166" i="28"/>
  <c r="L322" i="18"/>
  <c r="F437" i="28"/>
  <c r="L431" i="28"/>
  <c r="F442" i="28"/>
  <c r="H13" i="18"/>
  <c r="H235" i="28"/>
  <c r="F233" i="28"/>
  <c r="H237" i="28"/>
  <c r="L206" i="18"/>
  <c r="B320" i="18"/>
  <c r="B252" i="28"/>
  <c r="L173" i="18"/>
  <c r="B338" i="28"/>
  <c r="D446" i="28"/>
  <c r="H317" i="18"/>
  <c r="G10" i="27"/>
  <c r="H281" i="18"/>
  <c r="H258" i="18"/>
  <c r="H175" i="18"/>
  <c r="F171" i="18"/>
  <c r="B112" i="18"/>
  <c r="J251" i="18"/>
  <c r="J10" i="18"/>
  <c r="B290" i="28"/>
  <c r="AF24" i="21"/>
  <c r="H351" i="28"/>
  <c r="L263" i="18"/>
  <c r="B56" i="28"/>
  <c r="F166" i="18"/>
  <c r="H176" i="28"/>
  <c r="B236" i="28"/>
  <c r="H352" i="28"/>
  <c r="H141" i="18"/>
  <c r="L18" i="28"/>
  <c r="AG20" i="21"/>
  <c r="B228" i="18"/>
  <c r="D17" i="19"/>
  <c r="N28" i="28"/>
  <c r="D115" i="18"/>
  <c r="G12" i="27"/>
  <c r="B205" i="28"/>
  <c r="H12" i="19"/>
  <c r="J403" i="18"/>
  <c r="B8" i="27"/>
  <c r="L251" i="28"/>
  <c r="B160" i="28"/>
  <c r="B278" i="18"/>
  <c r="J116" i="18"/>
  <c r="N355" i="28"/>
  <c r="B190" i="28"/>
  <c r="L440" i="28"/>
  <c r="B130" i="28"/>
  <c r="H437" i="28"/>
  <c r="D208" i="18"/>
  <c r="B206" i="28"/>
  <c r="H338" i="18"/>
  <c r="H448" i="28"/>
  <c r="F148" i="18"/>
  <c r="D40" i="28"/>
  <c r="B165" i="28"/>
  <c r="V23" i="21"/>
  <c r="F56" i="18"/>
  <c r="F258" i="28"/>
  <c r="L432" i="28"/>
  <c r="F293" i="18"/>
  <c r="H258" i="28"/>
  <c r="D201" i="18"/>
  <c r="H172" i="28"/>
  <c r="F202" i="28"/>
  <c r="B28" i="28"/>
  <c r="N387" i="28"/>
  <c r="L18" i="18"/>
  <c r="B133" i="28"/>
  <c r="H400" i="28"/>
  <c r="H116" i="28"/>
  <c r="J41" i="28"/>
  <c r="D48" i="18"/>
  <c r="J175" i="28"/>
  <c r="D290" i="28"/>
  <c r="D257" i="28"/>
  <c r="S48" i="18"/>
  <c r="H222" i="28"/>
  <c r="N372" i="18"/>
  <c r="N322" i="18"/>
  <c r="N346" i="18"/>
  <c r="L146" i="18"/>
  <c r="L26" i="28"/>
  <c r="F13" i="27"/>
  <c r="H108" i="18"/>
  <c r="L140" i="18"/>
  <c r="D433" i="28"/>
  <c r="J255" i="18"/>
  <c r="H162" i="28"/>
  <c r="N25" i="28"/>
  <c r="H171" i="18"/>
  <c r="B438" i="28"/>
  <c r="N327" i="18"/>
  <c r="B250" i="28"/>
  <c r="N400" i="18"/>
  <c r="L436" i="18"/>
  <c r="D238" i="18"/>
  <c r="F228" i="28"/>
  <c r="B117" i="18"/>
  <c r="B348" i="18"/>
  <c r="J293" i="28"/>
  <c r="D17" i="28"/>
  <c r="B323" i="18"/>
  <c r="J405" i="28"/>
  <c r="B252" i="18"/>
  <c r="J171" i="18"/>
  <c r="J356" i="18"/>
  <c r="H386" i="28"/>
  <c r="C17" i="27"/>
  <c r="L238" i="28"/>
  <c r="V24" i="21"/>
  <c r="J377" i="18"/>
  <c r="J250" i="28"/>
  <c r="D386" i="28"/>
  <c r="H166" i="28"/>
  <c r="F288" i="18"/>
  <c r="J317" i="18"/>
  <c r="F257" i="18"/>
  <c r="F147" i="18"/>
  <c r="L232" i="18"/>
  <c r="B262" i="28"/>
  <c r="H40" i="18"/>
  <c r="F11" i="19"/>
  <c r="B21" i="18"/>
  <c r="D196" i="18"/>
  <c r="L416" i="18"/>
  <c r="J101" i="18"/>
  <c r="B383" i="28"/>
  <c r="D158" i="28"/>
  <c r="J142" i="28"/>
  <c r="C8" i="27"/>
  <c r="D98" i="28"/>
  <c r="L218" i="28"/>
  <c r="H412" i="18"/>
  <c r="D375" i="18"/>
  <c r="N385" i="18"/>
  <c r="F140" i="18"/>
  <c r="F230" i="28"/>
  <c r="L168" i="18"/>
  <c r="F431" i="28"/>
  <c r="D58" i="28"/>
  <c r="J107" i="18"/>
  <c r="J202" i="18"/>
  <c r="J177" i="28"/>
  <c r="B17" i="28"/>
  <c r="B265" i="18"/>
  <c r="B256" i="18"/>
  <c r="N445" i="28"/>
  <c r="D435" i="28"/>
  <c r="J26" i="18"/>
  <c r="L281" i="18"/>
  <c r="H11" i="19"/>
  <c r="D175" i="28"/>
  <c r="H130" i="18"/>
  <c r="F20" i="18"/>
  <c r="F50" i="28"/>
  <c r="L285" i="28"/>
  <c r="J440" i="28"/>
  <c r="H236" i="28"/>
  <c r="B441" i="18"/>
  <c r="H378" i="28"/>
  <c r="F170" i="28"/>
  <c r="J321" i="18"/>
  <c r="D278" i="28"/>
  <c r="F146" i="18"/>
  <c r="L405" i="18"/>
  <c r="F237" i="28"/>
  <c r="B416" i="18"/>
  <c r="L380" i="28"/>
  <c r="L296" i="18"/>
  <c r="H328" i="28"/>
  <c r="F13" i="19"/>
  <c r="J221" i="18"/>
  <c r="F20" i="19"/>
  <c r="F311" i="18"/>
  <c r="B27" i="28"/>
  <c r="H312" i="18"/>
  <c r="D398" i="18"/>
  <c r="H418" i="18"/>
  <c r="J167" i="28"/>
  <c r="H233" i="28"/>
  <c r="F115" i="28"/>
  <c r="F12" i="28"/>
  <c r="B197" i="28"/>
  <c r="D147" i="18"/>
  <c r="F143" i="28"/>
  <c r="D195" i="28"/>
  <c r="D416" i="28"/>
  <c r="J113" i="18"/>
  <c r="L178" i="18"/>
  <c r="B320" i="28"/>
  <c r="H433" i="28"/>
  <c r="D23" i="18"/>
  <c r="D338" i="18"/>
  <c r="H353" i="18"/>
  <c r="E13" i="19"/>
  <c r="D280" i="18"/>
  <c r="B322" i="18"/>
  <c r="H46" i="28"/>
  <c r="J100" i="18"/>
  <c r="S51" i="18"/>
  <c r="B191" i="28"/>
  <c r="H110" i="28"/>
  <c r="L103" i="28"/>
  <c r="F345" i="18"/>
  <c r="H231" i="18"/>
  <c r="J328" i="28"/>
  <c r="D263" i="18"/>
  <c r="L252" i="18"/>
  <c r="B352" i="18"/>
  <c r="B28" i="18"/>
  <c r="D231" i="18"/>
  <c r="F251" i="18"/>
  <c r="B12" i="19"/>
  <c r="F291" i="28"/>
  <c r="N437" i="18"/>
  <c r="D407" i="18"/>
  <c r="L258" i="28"/>
  <c r="L142" i="28"/>
  <c r="E14" i="19"/>
  <c r="F205" i="28"/>
  <c r="F445" i="18"/>
  <c r="L136" i="18"/>
  <c r="H146" i="18"/>
  <c r="J48" i="28"/>
  <c r="F415" i="18"/>
  <c r="J370" i="18"/>
  <c r="D253" i="18"/>
  <c r="H313" i="18"/>
  <c r="F285" i="18"/>
  <c r="B345" i="18"/>
  <c r="D203" i="28"/>
  <c r="L161" i="28"/>
  <c r="J288" i="18"/>
  <c r="H13" i="19"/>
  <c r="D13" i="19"/>
  <c r="F162" i="28"/>
  <c r="L405" i="28"/>
  <c r="D298" i="28"/>
  <c r="F260" i="18"/>
  <c r="B27" i="18"/>
  <c r="F23" i="18"/>
  <c r="B10" i="28"/>
  <c r="J172" i="28"/>
  <c r="L288" i="28"/>
  <c r="L430" i="18"/>
  <c r="J327" i="28"/>
  <c r="B342" i="18"/>
  <c r="H415" i="18"/>
  <c r="B147" i="18"/>
  <c r="J253" i="18"/>
  <c r="D43" i="28"/>
  <c r="F221" i="18"/>
  <c r="L342" i="18"/>
  <c r="H57" i="28"/>
  <c r="B197" i="18"/>
  <c r="B26" i="28"/>
  <c r="H350" i="18"/>
  <c r="H201" i="18"/>
  <c r="F411" i="18"/>
  <c r="J226" i="18"/>
  <c r="L147" i="28"/>
  <c r="N325" i="28"/>
  <c r="N428" i="18"/>
  <c r="D293" i="18"/>
  <c r="J141" i="18"/>
  <c r="L206" i="28"/>
  <c r="J327" i="18"/>
  <c r="D58" i="18"/>
  <c r="D146" i="18"/>
  <c r="F107" i="28"/>
  <c r="H103" i="28"/>
  <c r="J166" i="18"/>
  <c r="Y14" i="29"/>
  <c r="W19" i="29"/>
  <c r="X16" i="29"/>
  <c r="V22" i="29"/>
  <c r="W14" i="29"/>
  <c r="U11" i="29"/>
  <c r="Y23" i="29"/>
  <c r="V14" i="29"/>
  <c r="Y21" i="29"/>
  <c r="T15" i="29"/>
  <c r="T22" i="29"/>
  <c r="S15" i="29"/>
  <c r="T10" i="29"/>
  <c r="S16" i="29"/>
  <c r="AG13" i="29"/>
  <c r="L388" i="28"/>
  <c r="H201" i="28"/>
  <c r="G18" i="19"/>
  <c r="J133" i="18"/>
  <c r="F310" i="28"/>
  <c r="F101" i="28"/>
  <c r="D323" i="18"/>
  <c r="H358" i="18"/>
  <c r="J378" i="18"/>
  <c r="B221" i="28"/>
  <c r="U20" i="21"/>
  <c r="D228" i="28"/>
  <c r="D230" i="18"/>
  <c r="H140" i="18"/>
  <c r="F138" i="18"/>
  <c r="J308" i="18"/>
  <c r="N378" i="28"/>
  <c r="L441" i="18"/>
  <c r="F318" i="18"/>
  <c r="D253" i="28"/>
  <c r="N326" i="18"/>
  <c r="F440" i="18"/>
  <c r="D328" i="28"/>
  <c r="L265" i="28"/>
  <c r="H188" i="28"/>
  <c r="B106" i="28"/>
  <c r="L411" i="18"/>
  <c r="J118" i="28"/>
  <c r="H161" i="18"/>
  <c r="L23" i="28"/>
  <c r="F227" i="18"/>
  <c r="J298" i="18"/>
  <c r="L105" i="28"/>
  <c r="H146" i="28"/>
  <c r="D251" i="28"/>
  <c r="N407" i="18"/>
  <c r="B167" i="18"/>
  <c r="B130" i="18"/>
  <c r="B287" i="18"/>
  <c r="B311" i="28"/>
  <c r="D437" i="28"/>
  <c r="F48" i="28"/>
  <c r="L10" i="28"/>
  <c r="F283" i="28"/>
  <c r="D343" i="18"/>
  <c r="L372" i="18"/>
  <c r="H220" i="18"/>
  <c r="B433" i="18"/>
  <c r="D8" i="19"/>
  <c r="D175" i="18"/>
  <c r="D55" i="18"/>
  <c r="N318" i="28"/>
  <c r="H168" i="28"/>
  <c r="L438" i="18"/>
  <c r="D352" i="28"/>
  <c r="N322" i="28"/>
  <c r="F340" i="28"/>
  <c r="F195" i="18"/>
  <c r="D310" i="18"/>
  <c r="H11" i="27"/>
  <c r="X19" i="21"/>
  <c r="B43" i="28"/>
  <c r="F343" i="28"/>
  <c r="J201" i="28"/>
  <c r="L111" i="18"/>
  <c r="B370" i="18"/>
  <c r="B346" i="28"/>
  <c r="F238" i="18"/>
  <c r="D140" i="28"/>
  <c r="F380" i="28"/>
  <c r="F405" i="18"/>
  <c r="F261" i="28"/>
  <c r="B17" i="19"/>
  <c r="J312" i="18"/>
  <c r="D378" i="28"/>
  <c r="H23" i="18"/>
  <c r="J432" i="18"/>
  <c r="D401" i="18"/>
  <c r="J411" i="28"/>
  <c r="J238" i="18"/>
  <c r="D448" i="18"/>
  <c r="F218" i="18"/>
  <c r="L141" i="18"/>
  <c r="H17" i="19"/>
  <c r="H166" i="18"/>
  <c r="J320" i="18"/>
  <c r="H118" i="28"/>
  <c r="D340" i="18"/>
  <c r="J343" i="28"/>
  <c r="H230" i="18"/>
  <c r="J173" i="28"/>
  <c r="L202" i="28"/>
  <c r="L288" i="18"/>
  <c r="L418" i="18"/>
  <c r="H22" i="18"/>
  <c r="B375" i="18"/>
  <c r="N446" i="28"/>
  <c r="F416" i="28"/>
  <c r="N25" i="18"/>
  <c r="F323" i="28"/>
  <c r="B25" i="28"/>
  <c r="B163" i="28"/>
  <c r="D207" i="18"/>
  <c r="B308" i="28"/>
  <c r="J412" i="28"/>
  <c r="H107" i="28"/>
  <c r="N351" i="18"/>
  <c r="F222" i="18"/>
  <c r="B47" i="28"/>
  <c r="L446" i="18"/>
  <c r="F167" i="18"/>
  <c r="D352" i="18"/>
  <c r="F358" i="18"/>
  <c r="H16" i="27"/>
  <c r="E8" i="19"/>
  <c r="N313" i="18"/>
  <c r="D377" i="28"/>
  <c r="F315" i="18"/>
  <c r="N405" i="18"/>
  <c r="S53" i="18"/>
  <c r="D402" i="18"/>
  <c r="W19" i="21"/>
  <c r="F446" i="28"/>
  <c r="H222" i="18"/>
  <c r="F117" i="18"/>
  <c r="D356" i="28"/>
  <c r="B431" i="28"/>
  <c r="F51" i="18"/>
  <c r="J347" i="28"/>
  <c r="B251" i="18"/>
  <c r="F141" i="28"/>
  <c r="B12" i="18"/>
  <c r="N353" i="18"/>
  <c r="B341" i="18"/>
  <c r="H138" i="18"/>
  <c r="F160" i="18"/>
  <c r="D376" i="18"/>
  <c r="F220" i="28"/>
  <c r="H322" i="18"/>
  <c r="J316" i="18"/>
  <c r="J162" i="18"/>
  <c r="D405" i="28"/>
  <c r="L412" i="28"/>
  <c r="H340" i="18"/>
  <c r="B207" i="18"/>
  <c r="F443" i="28"/>
  <c r="J293" i="18"/>
  <c r="D17" i="18"/>
  <c r="L115" i="28"/>
  <c r="H176" i="18"/>
  <c r="D368" i="18"/>
  <c r="AH18" i="21"/>
  <c r="D223" i="28"/>
  <c r="D297" i="28"/>
  <c r="H323" i="18"/>
  <c r="J435" i="28"/>
  <c r="L376" i="18"/>
  <c r="F263" i="18"/>
  <c r="D100" i="18"/>
  <c r="L15" i="28"/>
  <c r="G18" i="27"/>
  <c r="D203" i="18"/>
  <c r="N310" i="18"/>
  <c r="N388" i="28"/>
  <c r="J108" i="18"/>
  <c r="F308" i="28"/>
  <c r="F173" i="18"/>
  <c r="J98" i="18"/>
  <c r="F107" i="18"/>
  <c r="B293" i="18"/>
  <c r="F325" i="18"/>
  <c r="H413" i="18"/>
  <c r="B321" i="28"/>
  <c r="J287" i="18"/>
  <c r="D292" i="28"/>
  <c r="H112" i="28"/>
  <c r="L28" i="18"/>
  <c r="J437" i="28"/>
  <c r="F192" i="18"/>
  <c r="X21" i="21"/>
  <c r="L177" i="18"/>
  <c r="H45" i="18"/>
  <c r="N323" i="28"/>
  <c r="B222" i="18"/>
  <c r="N338" i="28"/>
  <c r="H218" i="18"/>
  <c r="F40" i="28"/>
  <c r="B446" i="28"/>
  <c r="H406" i="28"/>
  <c r="N12" i="28"/>
  <c r="F378" i="18"/>
  <c r="D103" i="18"/>
  <c r="F167" i="28"/>
  <c r="F310" i="18"/>
  <c r="H101" i="28"/>
  <c r="J417" i="18"/>
  <c r="J178" i="28"/>
  <c r="B231" i="28"/>
  <c r="J206" i="18"/>
  <c r="N12" i="18"/>
  <c r="B298" i="28"/>
  <c r="B168" i="18"/>
  <c r="F227" i="28"/>
  <c r="F172" i="28"/>
  <c r="D167" i="18"/>
  <c r="J146" i="28"/>
  <c r="D442" i="28"/>
  <c r="H197" i="28"/>
  <c r="D8" i="27"/>
  <c r="H250" i="28"/>
  <c r="D128" i="28"/>
  <c r="H21" i="28"/>
  <c r="Y15" i="29"/>
  <c r="T19" i="29"/>
  <c r="W13" i="29"/>
  <c r="Y16" i="29"/>
  <c r="AF15" i="29"/>
  <c r="V12" i="29"/>
  <c r="S18" i="29"/>
  <c r="AF11" i="29"/>
  <c r="H192" i="18"/>
  <c r="B350" i="28"/>
  <c r="B286" i="28"/>
  <c r="B348" i="28"/>
  <c r="F106" i="28"/>
  <c r="D248" i="28"/>
  <c r="W21" i="21"/>
  <c r="L225" i="18"/>
  <c r="H198" i="18"/>
  <c r="F373" i="18"/>
  <c r="C11" i="19"/>
  <c r="N431" i="28"/>
  <c r="H203" i="18"/>
  <c r="N411" i="18"/>
  <c r="H16" i="19"/>
  <c r="L117" i="18"/>
  <c r="B356" i="18"/>
  <c r="L226" i="18"/>
  <c r="D143" i="18"/>
  <c r="J235" i="18"/>
  <c r="B225" i="18"/>
  <c r="L101" i="18"/>
  <c r="D348" i="18"/>
  <c r="H26" i="18"/>
  <c r="L26" i="18"/>
  <c r="L236" i="28"/>
  <c r="D13" i="28"/>
  <c r="H351" i="18"/>
  <c r="H162" i="18"/>
  <c r="H417" i="28"/>
  <c r="V21" i="29"/>
  <c r="D398" i="28"/>
  <c r="B385" i="18"/>
  <c r="B221" i="18"/>
  <c r="J198" i="28"/>
  <c r="N328" i="28"/>
  <c r="N412" i="28"/>
  <c r="F207" i="18"/>
  <c r="J227" i="28"/>
  <c r="B373" i="28"/>
  <c r="N370" i="18"/>
  <c r="W21" i="29"/>
  <c r="AF14" i="29"/>
  <c r="J105" i="28"/>
  <c r="F357" i="28"/>
  <c r="B230" i="18"/>
  <c r="F322" i="18"/>
  <c r="J160" i="18"/>
  <c r="B10" i="18"/>
  <c r="B266" i="18"/>
  <c r="F438" i="28"/>
  <c r="B235" i="18"/>
  <c r="F407" i="28"/>
  <c r="L178" i="28"/>
  <c r="B408" i="18"/>
  <c r="D14" i="27"/>
  <c r="B322" i="28"/>
  <c r="D163" i="28"/>
  <c r="B55" i="18"/>
  <c r="H51" i="18"/>
  <c r="N328" i="18"/>
  <c r="B235" i="28"/>
  <c r="B136" i="18"/>
  <c r="V18" i="21"/>
  <c r="B381" i="18"/>
  <c r="X22" i="29"/>
  <c r="Y11" i="29"/>
  <c r="F142" i="18"/>
  <c r="D135" i="28"/>
  <c r="C19" i="19"/>
  <c r="L248" i="18"/>
  <c r="B56" i="18"/>
  <c r="B255" i="28"/>
  <c r="J136" i="28"/>
  <c r="B102" i="18"/>
  <c r="F400" i="28"/>
  <c r="J258" i="18"/>
  <c r="D418" i="28"/>
  <c r="J308" i="28"/>
  <c r="L341" i="18"/>
  <c r="L317" i="28"/>
  <c r="H297" i="18"/>
  <c r="J10" i="28"/>
  <c r="F343" i="18"/>
  <c r="B193" i="28"/>
  <c r="J161" i="28"/>
  <c r="D160" i="28"/>
  <c r="H160" i="18"/>
  <c r="B15" i="28"/>
  <c r="L372" i="28"/>
  <c r="L176" i="18"/>
  <c r="N446" i="18"/>
  <c r="H233" i="18"/>
  <c r="N435" i="18"/>
  <c r="L380" i="18"/>
  <c r="L112" i="18"/>
  <c r="D163" i="18"/>
  <c r="H255" i="18"/>
  <c r="B355" i="28"/>
  <c r="D355" i="28"/>
  <c r="J56" i="28"/>
  <c r="J435" i="18"/>
  <c r="J267" i="28"/>
  <c r="J387" i="18"/>
  <c r="G14" i="19"/>
  <c r="L22" i="28"/>
  <c r="N323" i="18"/>
  <c r="S50" i="18"/>
  <c r="F327" i="18"/>
  <c r="J351" i="28"/>
  <c r="H357" i="28"/>
  <c r="J437" i="18"/>
  <c r="L338" i="28"/>
  <c r="F133" i="28"/>
  <c r="J205" i="28"/>
  <c r="J436" i="18"/>
  <c r="J342" i="18"/>
  <c r="AF20" i="21"/>
  <c r="B378" i="18"/>
  <c r="H435" i="18"/>
  <c r="F355" i="18"/>
  <c r="W23" i="21"/>
  <c r="F376" i="28"/>
  <c r="B105" i="18"/>
  <c r="D191" i="18"/>
  <c r="B57" i="18"/>
  <c r="H16" i="28"/>
  <c r="B443" i="28"/>
  <c r="B238" i="28"/>
  <c r="L135" i="28"/>
  <c r="H172" i="18"/>
  <c r="G8" i="27"/>
  <c r="H8" i="27"/>
  <c r="L202" i="18"/>
  <c r="B440" i="18"/>
  <c r="B377" i="28"/>
  <c r="H430" i="18"/>
  <c r="H227" i="18"/>
  <c r="H196" i="18"/>
  <c r="B417" i="28"/>
  <c r="C9" i="27"/>
  <c r="B142" i="28"/>
  <c r="J196" i="18"/>
  <c r="F233" i="18"/>
  <c r="B13" i="18"/>
  <c r="N447" i="18"/>
  <c r="F222" i="28"/>
  <c r="J376" i="28"/>
  <c r="L132" i="18"/>
  <c r="H312" i="28"/>
  <c r="J110" i="28"/>
  <c r="F98" i="28"/>
  <c r="Y23" i="21"/>
  <c r="D190" i="18"/>
  <c r="W15" i="29"/>
  <c r="U17" i="29"/>
  <c r="X23" i="29"/>
  <c r="S14" i="29"/>
  <c r="AG16" i="29"/>
  <c r="W22" i="29"/>
  <c r="X21" i="29"/>
  <c r="D293" i="28"/>
  <c r="H108" i="28"/>
  <c r="J290" i="28"/>
  <c r="F341" i="18"/>
  <c r="B295" i="18"/>
  <c r="J292" i="18"/>
  <c r="F18" i="18"/>
  <c r="B100" i="18"/>
  <c r="J287" i="28"/>
  <c r="B310" i="28"/>
  <c r="L230" i="28"/>
  <c r="D172" i="28"/>
  <c r="D351" i="18"/>
  <c r="J102" i="28"/>
  <c r="B287" i="28"/>
  <c r="D118" i="18"/>
  <c r="J12" i="18"/>
  <c r="N13" i="18"/>
  <c r="H128" i="18"/>
  <c r="B310" i="18"/>
  <c r="E17" i="27"/>
  <c r="L286" i="18"/>
  <c r="N312" i="28"/>
  <c r="F19" i="19"/>
  <c r="AG23" i="21"/>
  <c r="W20" i="21"/>
  <c r="J223" i="28"/>
  <c r="D448" i="28"/>
  <c r="L170" i="28"/>
  <c r="H196" i="28"/>
  <c r="H380" i="18"/>
  <c r="H197" i="18"/>
  <c r="F231" i="18"/>
  <c r="H418" i="28"/>
  <c r="B267" i="28"/>
  <c r="H310" i="18"/>
  <c r="H16" i="18"/>
  <c r="H231" i="28"/>
  <c r="D383" i="28"/>
  <c r="B11" i="28"/>
  <c r="N28" i="18"/>
  <c r="L237" i="28"/>
  <c r="S19" i="21"/>
  <c r="H252" i="28"/>
  <c r="B353" i="28"/>
  <c r="B232" i="28"/>
  <c r="D113" i="28"/>
  <c r="J175" i="18"/>
  <c r="B163" i="18"/>
  <c r="D313" i="28"/>
  <c r="H103" i="18"/>
  <c r="N308" i="28"/>
  <c r="F26" i="18"/>
  <c r="N383" i="28"/>
  <c r="D445" i="28"/>
  <c r="B387" i="18"/>
  <c r="H377" i="18"/>
  <c r="X15" i="29"/>
  <c r="F17" i="28"/>
  <c r="H195" i="28"/>
  <c r="H387" i="18"/>
  <c r="D172" i="18"/>
  <c r="D43" i="18"/>
  <c r="F342" i="28"/>
  <c r="D268" i="18"/>
  <c r="D52" i="18"/>
  <c r="B14" i="19"/>
  <c r="D47" i="18"/>
  <c r="H41" i="28"/>
  <c r="D351" i="28"/>
  <c r="D17" i="27"/>
  <c r="F308" i="18"/>
  <c r="F371" i="28"/>
  <c r="N377" i="18"/>
  <c r="L107" i="28"/>
  <c r="H352" i="18"/>
  <c r="H133" i="28"/>
  <c r="D290" i="18"/>
  <c r="B172" i="28"/>
  <c r="H278" i="28"/>
  <c r="H130" i="28"/>
  <c r="J297" i="18"/>
  <c r="G8" i="19"/>
  <c r="W23" i="29"/>
  <c r="D38" i="28"/>
  <c r="L430" i="28"/>
  <c r="B385" i="28"/>
  <c r="L28" i="28"/>
  <c r="H292" i="18"/>
  <c r="L148" i="28"/>
  <c r="F23" i="28"/>
  <c r="D18" i="28"/>
  <c r="B418" i="18"/>
  <c r="L177" i="28"/>
  <c r="F416" i="18"/>
  <c r="H293" i="18"/>
  <c r="J165" i="28"/>
  <c r="H48" i="18"/>
  <c r="L111" i="28"/>
  <c r="F177" i="18"/>
  <c r="B106" i="18"/>
  <c r="D443" i="28"/>
  <c r="L433" i="28"/>
  <c r="L342" i="28"/>
  <c r="B238" i="18"/>
  <c r="N16" i="18"/>
  <c r="U21" i="21"/>
  <c r="S23" i="21"/>
  <c r="H408" i="18"/>
  <c r="F190" i="28"/>
  <c r="F428" i="18"/>
  <c r="D400" i="28"/>
  <c r="B297" i="18"/>
  <c r="B378" i="28"/>
  <c r="N22" i="18"/>
  <c r="L106" i="18"/>
  <c r="L403" i="28"/>
  <c r="J190" i="18"/>
  <c r="L350" i="28"/>
  <c r="D111" i="28"/>
  <c r="S18" i="21"/>
  <c r="B16" i="18"/>
  <c r="D355" i="18"/>
  <c r="D345" i="18"/>
  <c r="B437" i="18"/>
  <c r="B357" i="28"/>
  <c r="F328" i="18"/>
  <c r="L195" i="18"/>
  <c r="F405" i="28"/>
  <c r="N345" i="18"/>
  <c r="D171" i="18"/>
  <c r="B233" i="18"/>
  <c r="L317" i="18"/>
  <c r="N402" i="18"/>
  <c r="J22" i="28"/>
  <c r="F118" i="18"/>
  <c r="B398" i="28"/>
  <c r="N380" i="28"/>
  <c r="L358" i="18"/>
  <c r="J280" i="28"/>
  <c r="H282" i="18"/>
  <c r="F55" i="18"/>
  <c r="H267" i="18"/>
  <c r="S45" i="18"/>
  <c r="D138" i="28"/>
  <c r="L175" i="28"/>
  <c r="F13" i="18"/>
  <c r="D225" i="18"/>
  <c r="J162" i="28"/>
  <c r="L383" i="28"/>
  <c r="F400" i="18"/>
  <c r="H115" i="28"/>
  <c r="N375" i="18"/>
  <c r="F437" i="18"/>
  <c r="H10" i="19"/>
  <c r="F148" i="28"/>
  <c r="L416" i="28"/>
  <c r="D192" i="18"/>
  <c r="B405" i="18"/>
  <c r="H140" i="28"/>
  <c r="D161" i="18"/>
  <c r="J375" i="28"/>
  <c r="B17" i="18"/>
  <c r="J58" i="28"/>
  <c r="J417" i="28"/>
  <c r="F381" i="18"/>
  <c r="F370" i="28"/>
  <c r="F267" i="28"/>
  <c r="F282" i="18"/>
  <c r="N15" i="28"/>
  <c r="N17" i="28"/>
  <c r="W12" i="29"/>
  <c r="U19" i="29"/>
  <c r="AF16" i="29"/>
  <c r="V16" i="29"/>
  <c r="X17" i="29"/>
  <c r="T23" i="29"/>
  <c r="T18" i="29"/>
  <c r="F256" i="18"/>
  <c r="E14" i="27"/>
  <c r="N18" i="18"/>
  <c r="J202" i="28"/>
  <c r="H148" i="18"/>
  <c r="H266" i="18"/>
  <c r="F45" i="18"/>
  <c r="H22" i="28"/>
  <c r="L381" i="28"/>
  <c r="H51" i="28"/>
  <c r="D345" i="28"/>
  <c r="J236" i="18"/>
  <c r="F8" i="28"/>
  <c r="H295" i="28"/>
  <c r="H55" i="28"/>
  <c r="H438" i="28"/>
  <c r="J311" i="18"/>
  <c r="J428" i="18"/>
  <c r="J415" i="18"/>
  <c r="L130" i="18"/>
  <c r="L131" i="28"/>
  <c r="H321" i="28"/>
  <c r="H228" i="18"/>
  <c r="AH15" i="29"/>
  <c r="AF12" i="29"/>
  <c r="X10" i="29"/>
  <c r="AG10" i="29"/>
  <c r="J387" i="28"/>
  <c r="D382" i="28"/>
  <c r="F19" i="27"/>
  <c r="B162" i="28"/>
  <c r="L227" i="18"/>
  <c r="N325" i="18"/>
  <c r="J353" i="28"/>
  <c r="B251" i="28"/>
  <c r="L316" i="28"/>
  <c r="H223" i="18"/>
  <c r="L110" i="18"/>
  <c r="D136" i="18"/>
  <c r="B232" i="18"/>
  <c r="B415" i="18"/>
  <c r="F411" i="28"/>
  <c r="J440" i="18"/>
  <c r="J131" i="28"/>
  <c r="F12" i="27"/>
  <c r="J250" i="18"/>
  <c r="H288" i="18"/>
  <c r="H226" i="28"/>
  <c r="J436" i="28"/>
  <c r="S20" i="29"/>
  <c r="T21" i="29"/>
  <c r="U18" i="29"/>
  <c r="J132" i="18"/>
  <c r="F235" i="28"/>
  <c r="H253" i="18"/>
  <c r="D130" i="18"/>
  <c r="N27" i="18"/>
  <c r="D341" i="28"/>
  <c r="H288" i="28"/>
  <c r="J403" i="28"/>
  <c r="F340" i="18"/>
  <c r="B227" i="28"/>
  <c r="T20" i="29"/>
  <c r="W18" i="29"/>
  <c r="B223" i="28"/>
  <c r="B388" i="28"/>
  <c r="J410" i="18"/>
  <c r="G17" i="27"/>
  <c r="L292" i="18"/>
  <c r="D22" i="18"/>
  <c r="X22" i="21"/>
  <c r="D296" i="18"/>
  <c r="D328" i="18"/>
  <c r="H340" i="28"/>
  <c r="D347" i="18"/>
  <c r="N406" i="18"/>
  <c r="H14" i="27"/>
  <c r="J347" i="18"/>
  <c r="L27" i="18"/>
  <c r="D410" i="18"/>
  <c r="D346" i="18"/>
  <c r="X11" i="29"/>
  <c r="V10" i="29"/>
  <c r="L297" i="28"/>
  <c r="B328" i="18"/>
  <c r="D220" i="18"/>
  <c r="S8" i="18"/>
  <c r="H205" i="18"/>
  <c r="H320" i="28"/>
  <c r="F376" i="18"/>
  <c r="J191" i="28"/>
  <c r="J43" i="18"/>
  <c r="J441" i="18"/>
  <c r="F57" i="18"/>
  <c r="L102" i="28"/>
  <c r="F158" i="28"/>
  <c r="D10" i="28"/>
  <c r="J321" i="28"/>
  <c r="S22" i="21"/>
  <c r="N26" i="28"/>
  <c r="D402" i="28"/>
  <c r="H260" i="28"/>
  <c r="F287" i="18"/>
  <c r="H136" i="28"/>
  <c r="L100" i="28"/>
  <c r="H13" i="27"/>
  <c r="L346" i="28"/>
  <c r="J410" i="28"/>
  <c r="L283" i="28"/>
  <c r="J340" i="28"/>
  <c r="L283" i="18"/>
  <c r="L403" i="18"/>
  <c r="H386" i="18"/>
  <c r="F356" i="18"/>
  <c r="J191" i="18"/>
  <c r="F136" i="28"/>
  <c r="L100" i="18"/>
  <c r="D285" i="18"/>
  <c r="B448" i="28"/>
  <c r="J130" i="18"/>
  <c r="B368" i="28"/>
  <c r="H112" i="18"/>
  <c r="F203" i="18"/>
  <c r="N437" i="28"/>
  <c r="F105" i="18"/>
  <c r="L338" i="18"/>
  <c r="B23" i="18"/>
  <c r="F11" i="28"/>
  <c r="H372" i="18"/>
  <c r="H55" i="18"/>
  <c r="J323" i="18"/>
  <c r="J196" i="28"/>
  <c r="L310" i="18"/>
  <c r="L11" i="18"/>
  <c r="D231" i="28"/>
  <c r="D381" i="28"/>
  <c r="J323" i="28"/>
  <c r="F21" i="18"/>
  <c r="J145" i="28"/>
  <c r="B445" i="28"/>
  <c r="D20" i="19"/>
  <c r="H50" i="28"/>
  <c r="F27" i="18"/>
  <c r="H9" i="19"/>
  <c r="S20" i="21"/>
  <c r="J375" i="18"/>
  <c r="B280" i="18"/>
  <c r="L133" i="18"/>
  <c r="J23" i="28"/>
  <c r="B115" i="18"/>
  <c r="E19" i="27"/>
  <c r="D11" i="18"/>
  <c r="F57" i="28"/>
  <c r="H413" i="28"/>
  <c r="D343" i="28"/>
  <c r="B118" i="28"/>
  <c r="B171" i="28"/>
  <c r="F441" i="28"/>
  <c r="L431" i="18"/>
  <c r="F418" i="28"/>
  <c r="D385" i="18"/>
  <c r="L218" i="18"/>
  <c r="F368" i="28"/>
  <c r="J281" i="18"/>
  <c r="L321" i="18"/>
  <c r="B198" i="28"/>
  <c r="L265" i="18"/>
  <c r="H411" i="18"/>
  <c r="F193" i="28"/>
  <c r="B17" i="27"/>
  <c r="Y20" i="29"/>
  <c r="U12" i="29"/>
  <c r="S23" i="29"/>
  <c r="AG15" i="29"/>
  <c r="W16" i="29"/>
  <c r="AH16" i="29"/>
  <c r="T16" i="29"/>
  <c r="T24" i="21"/>
  <c r="F436" i="28"/>
  <c r="D435" i="18"/>
  <c r="H402" i="28"/>
  <c r="B293" i="28"/>
  <c r="L223" i="18"/>
  <c r="L163" i="28"/>
  <c r="F375" i="18"/>
  <c r="J190" i="28"/>
  <c r="H328" i="18"/>
  <c r="H356" i="28"/>
  <c r="B190" i="18"/>
  <c r="D236" i="18"/>
  <c r="N8" i="18"/>
  <c r="J355" i="18"/>
  <c r="D106" i="18"/>
  <c r="J22" i="18"/>
  <c r="H260" i="18"/>
  <c r="D8" i="18"/>
  <c r="H441" i="18"/>
  <c r="J340" i="18"/>
  <c r="D350" i="28"/>
  <c r="D133" i="18"/>
  <c r="H318" i="18"/>
  <c r="B233" i="28"/>
  <c r="L225" i="28"/>
  <c r="L355" i="18"/>
  <c r="J313" i="28"/>
  <c r="F375" i="28"/>
  <c r="F352" i="18"/>
  <c r="D112" i="28"/>
  <c r="F137" i="18"/>
  <c r="B412" i="18"/>
  <c r="F177" i="28"/>
  <c r="B411" i="28"/>
  <c r="J40" i="18"/>
  <c r="J252" i="18"/>
  <c r="J25" i="28"/>
  <c r="N350" i="28"/>
  <c r="B112" i="28"/>
  <c r="J326" i="28"/>
  <c r="F252" i="28"/>
  <c r="H40" i="28"/>
  <c r="J266" i="28"/>
  <c r="H171" i="28"/>
  <c r="H262" i="28"/>
  <c r="B436" i="28"/>
  <c r="D193" i="18"/>
  <c r="B386" i="18"/>
  <c r="B406" i="18"/>
  <c r="F190" i="18"/>
  <c r="D406" i="18"/>
  <c r="F446" i="18"/>
  <c r="J447" i="18"/>
  <c r="J406" i="28"/>
  <c r="D286" i="18"/>
  <c r="S15" i="18"/>
  <c r="J108" i="28"/>
  <c r="D430" i="28"/>
  <c r="H147" i="18"/>
  <c r="J198" i="18"/>
  <c r="H11" i="28"/>
  <c r="H285" i="28"/>
  <c r="AH13" i="29"/>
  <c r="AH14" i="29"/>
  <c r="S10" i="29"/>
  <c r="AH12" i="29"/>
  <c r="B13" i="28"/>
  <c r="B292" i="18"/>
  <c r="F225" i="18"/>
  <c r="J176" i="28"/>
  <c r="D232" i="28"/>
  <c r="H440" i="28"/>
  <c r="D431" i="18"/>
  <c r="D356" i="18"/>
  <c r="B282" i="28"/>
  <c r="H416" i="28"/>
  <c r="F346" i="18"/>
  <c r="E19" i="19"/>
  <c r="N316" i="28"/>
  <c r="B351" i="18"/>
  <c r="L197" i="18"/>
  <c r="H388" i="28"/>
  <c r="J416" i="18"/>
  <c r="L162" i="18"/>
  <c r="F372" i="18"/>
  <c r="L231" i="28"/>
  <c r="H371" i="28"/>
  <c r="J318" i="28"/>
  <c r="H400" i="18"/>
  <c r="S12" i="18"/>
  <c r="B291" i="18"/>
  <c r="J418" i="28"/>
  <c r="N411" i="28"/>
  <c r="H401" i="28"/>
  <c r="D8" i="28"/>
  <c r="F106" i="18"/>
  <c r="D227" i="18"/>
  <c r="J17" i="18"/>
  <c r="Y20" i="21"/>
  <c r="J348" i="18"/>
  <c r="H316" i="18"/>
  <c r="AG14" i="29"/>
  <c r="U15" i="29"/>
  <c r="T13" i="29"/>
  <c r="U21" i="29"/>
  <c r="N433" i="18"/>
  <c r="L190" i="18"/>
  <c r="H442" i="28"/>
  <c r="J283" i="18"/>
  <c r="E16" i="27"/>
  <c r="B338" i="18"/>
  <c r="F162" i="18"/>
  <c r="J200" i="28"/>
  <c r="B202" i="28"/>
  <c r="B260" i="18"/>
  <c r="Y22" i="29"/>
  <c r="U16" i="29"/>
  <c r="B226" i="18"/>
  <c r="B57" i="28"/>
  <c r="L237" i="18"/>
  <c r="D358" i="18"/>
  <c r="N320" i="28"/>
  <c r="J167" i="18"/>
  <c r="F21" i="28"/>
  <c r="D375" i="28"/>
  <c r="D177" i="18"/>
  <c r="F447" i="18"/>
  <c r="B258" i="18"/>
  <c r="H230" i="28"/>
  <c r="C14" i="27"/>
  <c r="S46" i="18"/>
  <c r="J343" i="18"/>
  <c r="B176" i="18"/>
  <c r="V20" i="21"/>
  <c r="N357" i="18"/>
  <c r="D45" i="28"/>
  <c r="B50" i="28"/>
  <c r="L278" i="28"/>
  <c r="H381" i="18"/>
  <c r="D9" i="19"/>
  <c r="U22" i="29"/>
  <c r="AH10" i="29"/>
  <c r="E195" i="18" l="1"/>
  <c r="I372" i="28"/>
  <c r="M260" i="28"/>
  <c r="E105" i="28"/>
  <c r="O327" i="18"/>
  <c r="O313" i="28"/>
  <c r="O408" i="28"/>
  <c r="G418" i="18"/>
  <c r="I288" i="18"/>
  <c r="C225" i="28"/>
  <c r="M136" i="28"/>
  <c r="I437" i="28"/>
  <c r="M326" i="28"/>
  <c r="I417" i="18"/>
  <c r="K237" i="18"/>
  <c r="C135" i="18"/>
  <c r="C110" i="28"/>
  <c r="G417" i="28"/>
  <c r="G413" i="28"/>
  <c r="E170" i="28"/>
  <c r="K162" i="18"/>
  <c r="M220" i="18"/>
  <c r="I416" i="18"/>
  <c r="K417" i="28"/>
  <c r="C131" i="28"/>
  <c r="I176" i="28"/>
  <c r="I111" i="18"/>
  <c r="E175" i="28"/>
  <c r="M288" i="28"/>
  <c r="M418" i="28"/>
  <c r="C52" i="28"/>
  <c r="I22" i="18"/>
  <c r="E405" i="18"/>
  <c r="O447" i="18"/>
  <c r="I225" i="18"/>
  <c r="G295" i="18"/>
  <c r="M447" i="18"/>
  <c r="C358" i="28"/>
  <c r="M285" i="28"/>
  <c r="G198" i="28"/>
  <c r="E108" i="18"/>
  <c r="I442" i="28"/>
  <c r="K410" i="28"/>
  <c r="M145" i="28"/>
  <c r="E295" i="28"/>
  <c r="M371" i="28"/>
  <c r="O313" i="18"/>
  <c r="G168" i="28"/>
  <c r="C223" i="18"/>
  <c r="M320" i="18"/>
  <c r="C178" i="18"/>
  <c r="I438" i="18"/>
  <c r="C353" i="28"/>
  <c r="O433" i="28"/>
  <c r="O435" i="18"/>
  <c r="M293" i="18"/>
  <c r="C160" i="28"/>
  <c r="M377" i="28"/>
  <c r="E203" i="18"/>
  <c r="C147" i="28"/>
  <c r="I148" i="18"/>
  <c r="G328" i="28"/>
  <c r="C57" i="28"/>
  <c r="I11" i="28"/>
  <c r="G416" i="28"/>
  <c r="M225" i="28"/>
  <c r="I433" i="28"/>
  <c r="C436" i="18"/>
  <c r="E320" i="18"/>
  <c r="K281" i="28"/>
  <c r="I170" i="18"/>
  <c r="G101" i="18"/>
  <c r="M198" i="28"/>
  <c r="E161" i="18"/>
  <c r="I250" i="18"/>
  <c r="K226" i="18"/>
  <c r="K48" i="28"/>
  <c r="E20" i="18"/>
  <c r="M172" i="28"/>
  <c r="K175" i="18"/>
  <c r="M110" i="18"/>
  <c r="O436" i="28"/>
  <c r="G255" i="18"/>
  <c r="Q77" i="18"/>
  <c r="K408" i="18"/>
  <c r="K415" i="28"/>
  <c r="I195" i="28"/>
  <c r="E205" i="28"/>
  <c r="C231" i="18"/>
  <c r="I136" i="28"/>
  <c r="G145" i="18"/>
  <c r="E231" i="18"/>
  <c r="G43" i="28"/>
  <c r="K13" i="18"/>
  <c r="C25" i="18"/>
  <c r="C286" i="18"/>
  <c r="E383" i="28"/>
  <c r="G381" i="28"/>
  <c r="M292" i="28"/>
  <c r="M138" i="28"/>
  <c r="E133" i="28"/>
  <c r="E373" i="28"/>
  <c r="I202" i="18"/>
  <c r="G318" i="28"/>
  <c r="G221" i="18"/>
  <c r="I253" i="18"/>
  <c r="M261" i="28"/>
  <c r="I235" i="28"/>
  <c r="K315" i="18"/>
  <c r="E133" i="18"/>
  <c r="C205" i="28"/>
  <c r="E140" i="18"/>
  <c r="I201" i="18"/>
  <c r="E263" i="18"/>
  <c r="E372" i="18"/>
  <c r="M312" i="18"/>
  <c r="I328" i="18"/>
  <c r="G147" i="18"/>
  <c r="K191" i="18"/>
  <c r="I286" i="18"/>
  <c r="C311" i="18"/>
  <c r="G433" i="18"/>
  <c r="I430" i="18"/>
  <c r="K262" i="28"/>
  <c r="K268" i="18"/>
  <c r="C375" i="18"/>
  <c r="C147" i="18"/>
  <c r="M166" i="18"/>
  <c r="I292" i="18"/>
  <c r="K346" i="28"/>
  <c r="M442" i="28"/>
  <c r="G295" i="28"/>
  <c r="C142" i="18"/>
  <c r="G370" i="18"/>
  <c r="O20" i="28"/>
  <c r="M250" i="28"/>
  <c r="G177" i="28"/>
  <c r="K177" i="18"/>
  <c r="E162" i="18"/>
  <c r="G196" i="28"/>
  <c r="M328" i="18"/>
  <c r="G320" i="28"/>
  <c r="I142" i="18"/>
  <c r="K117" i="28"/>
  <c r="O12" i="28"/>
  <c r="O403" i="28"/>
  <c r="C413" i="18"/>
  <c r="C316" i="18"/>
  <c r="M255" i="18"/>
  <c r="I376" i="28"/>
  <c r="I11" i="29"/>
  <c r="I14" i="29"/>
  <c r="I16" i="29"/>
  <c r="I12" i="29"/>
  <c r="I13" i="29"/>
  <c r="I15" i="29"/>
  <c r="I10" i="29"/>
  <c r="C260" i="18"/>
  <c r="M266" i="18"/>
  <c r="I198" i="18"/>
  <c r="E192" i="18"/>
  <c r="E408" i="18"/>
  <c r="I141" i="18"/>
  <c r="C371" i="18"/>
  <c r="I438" i="28"/>
  <c r="E173" i="18"/>
  <c r="M106" i="28"/>
  <c r="O387" i="28"/>
  <c r="C106" i="18"/>
  <c r="C317" i="18"/>
  <c r="E206" i="28"/>
  <c r="K143" i="18"/>
  <c r="E313" i="28"/>
  <c r="C170" i="28"/>
  <c r="C11" i="28"/>
  <c r="C298" i="28"/>
  <c r="C288" i="18"/>
  <c r="C166" i="28"/>
  <c r="I23" i="28"/>
  <c r="C42" i="28"/>
  <c r="G231" i="18"/>
  <c r="E206" i="18"/>
  <c r="K260" i="28"/>
  <c r="K132" i="18"/>
  <c r="G342" i="28"/>
  <c r="K147" i="18"/>
  <c r="E231" i="28"/>
  <c r="E378" i="28"/>
  <c r="C266" i="18"/>
  <c r="G160" i="28"/>
  <c r="I435" i="28"/>
  <c r="K227" i="18"/>
  <c r="M162" i="28"/>
  <c r="M433" i="18"/>
  <c r="C383" i="18"/>
  <c r="G443" i="28"/>
  <c r="I283" i="28"/>
  <c r="G15" i="18"/>
  <c r="O341" i="28"/>
  <c r="K282" i="18"/>
  <c r="O412" i="18"/>
  <c r="O347" i="28"/>
  <c r="O431" i="28"/>
  <c r="G28" i="28"/>
  <c r="E48" i="28"/>
  <c r="M251" i="18"/>
  <c r="K45" i="28"/>
  <c r="I57" i="18"/>
  <c r="G310" i="18"/>
  <c r="E327" i="28"/>
  <c r="M17" i="18"/>
  <c r="C163" i="28"/>
  <c r="C112" i="28"/>
  <c r="E52" i="18"/>
  <c r="M312" i="28"/>
  <c r="K401" i="18"/>
  <c r="M446" i="18"/>
  <c r="K387" i="28"/>
  <c r="C252" i="28"/>
  <c r="I193" i="18"/>
  <c r="O415" i="28"/>
  <c r="O352" i="18"/>
  <c r="G317" i="28"/>
  <c r="G291" i="18"/>
  <c r="I56" i="18"/>
  <c r="C373" i="18"/>
  <c r="M280" i="28"/>
  <c r="E317" i="28"/>
  <c r="I446" i="18"/>
  <c r="K411" i="28"/>
  <c r="I290" i="28"/>
  <c r="M290" i="28"/>
  <c r="I112" i="18"/>
  <c r="M142" i="18"/>
  <c r="C163" i="18"/>
  <c r="D14" i="29"/>
  <c r="D12" i="29"/>
  <c r="D13" i="29"/>
  <c r="D11" i="29"/>
  <c r="D16" i="29"/>
  <c r="D15" i="29"/>
  <c r="D10" i="29"/>
  <c r="M10" i="28"/>
  <c r="E432" i="18"/>
  <c r="G22" i="29"/>
  <c r="G17" i="29"/>
  <c r="G18" i="29"/>
  <c r="G20" i="29"/>
  <c r="G23" i="29"/>
  <c r="G19" i="29"/>
  <c r="G21" i="29"/>
  <c r="O23" i="18"/>
  <c r="Q23" i="18"/>
  <c r="E288" i="18"/>
  <c r="M292" i="18"/>
  <c r="M417" i="18"/>
  <c r="E341" i="18"/>
  <c r="M405" i="28"/>
  <c r="G386" i="18"/>
  <c r="M100" i="18"/>
  <c r="G371" i="28"/>
  <c r="C51" i="28"/>
  <c r="E226" i="18"/>
  <c r="I166" i="18"/>
  <c r="I266" i="28"/>
  <c r="O358" i="28"/>
  <c r="I146" i="28"/>
  <c r="G105" i="18"/>
  <c r="M258" i="18"/>
  <c r="K356" i="28"/>
  <c r="K290" i="28"/>
  <c r="O312" i="18"/>
  <c r="C440" i="18"/>
  <c r="O355" i="18"/>
  <c r="M376" i="18"/>
  <c r="G342" i="18"/>
  <c r="C436" i="28"/>
  <c r="M100" i="28"/>
  <c r="O407" i="28"/>
  <c r="G447" i="18"/>
  <c r="M105" i="28"/>
  <c r="I437" i="18"/>
  <c r="M351" i="18"/>
  <c r="I381" i="28"/>
  <c r="I345" i="18"/>
  <c r="E222" i="18"/>
  <c r="M416" i="28"/>
  <c r="C135" i="28"/>
  <c r="I415" i="28"/>
  <c r="E46" i="18"/>
  <c r="M206" i="18"/>
  <c r="I418" i="28"/>
  <c r="G170" i="28"/>
  <c r="C226" i="18"/>
  <c r="C288" i="28"/>
  <c r="M341" i="18"/>
  <c r="I321" i="18"/>
  <c r="I400" i="28"/>
  <c r="I102" i="18"/>
  <c r="E285" i="28"/>
  <c r="M227" i="28"/>
  <c r="M256" i="28"/>
  <c r="C416" i="28"/>
  <c r="E202" i="28"/>
  <c r="I43" i="28"/>
  <c r="M322" i="28"/>
  <c r="E43" i="18"/>
  <c r="G111" i="28"/>
  <c r="M117" i="18"/>
  <c r="K263" i="18"/>
  <c r="E386" i="28"/>
  <c r="I165" i="28"/>
  <c r="E253" i="28"/>
  <c r="C23" i="18"/>
  <c r="C256" i="18"/>
  <c r="I50" i="28"/>
  <c r="G260" i="28"/>
  <c r="M191" i="28"/>
  <c r="K293" i="28"/>
  <c r="E148" i="18"/>
  <c r="C171" i="28"/>
  <c r="O405" i="28"/>
  <c r="C315" i="18"/>
  <c r="I285" i="18"/>
  <c r="G253" i="28"/>
  <c r="K321" i="18"/>
  <c r="Q68" i="18"/>
  <c r="K111" i="18"/>
  <c r="M141" i="28"/>
  <c r="K55" i="28"/>
  <c r="C18" i="28"/>
  <c r="E412" i="18"/>
  <c r="G40" i="18"/>
  <c r="M148" i="28"/>
  <c r="E355" i="18"/>
  <c r="I13" i="28"/>
  <c r="G261" i="28"/>
  <c r="M318" i="18"/>
  <c r="O340" i="28"/>
  <c r="E315" i="28"/>
  <c r="G233" i="18"/>
  <c r="C287" i="18"/>
  <c r="I313" i="28"/>
  <c r="K206" i="18"/>
  <c r="I232" i="28"/>
  <c r="C232" i="28"/>
  <c r="E140" i="28"/>
  <c r="K40" i="28"/>
  <c r="C405" i="28"/>
  <c r="K148" i="18"/>
  <c r="C371" i="28"/>
  <c r="O378" i="28"/>
  <c r="M16" i="18"/>
  <c r="E280" i="28"/>
  <c r="K145" i="28"/>
  <c r="K200" i="18"/>
  <c r="I413" i="28"/>
  <c r="E340" i="28"/>
  <c r="C197" i="18"/>
  <c r="C27" i="28"/>
  <c r="G435" i="18"/>
  <c r="C16" i="18"/>
  <c r="K191" i="28"/>
  <c r="O416" i="28"/>
  <c r="I312" i="18"/>
  <c r="C46" i="18"/>
  <c r="C141" i="18"/>
  <c r="Q15" i="29"/>
  <c r="Q10" i="29"/>
  <c r="Q11" i="29"/>
  <c r="Q16" i="29"/>
  <c r="Q14" i="29"/>
  <c r="Q13" i="29"/>
  <c r="Q12" i="29"/>
  <c r="E11" i="18"/>
  <c r="E438" i="28"/>
  <c r="Q41" i="18"/>
  <c r="K41" i="18"/>
  <c r="I163" i="18"/>
  <c r="K146" i="28"/>
  <c r="K115" i="28"/>
  <c r="E348" i="28"/>
  <c r="K440" i="28"/>
  <c r="C18" i="18"/>
  <c r="G441" i="18"/>
  <c r="G163" i="18"/>
  <c r="G415" i="28"/>
  <c r="K203" i="18"/>
  <c r="K325" i="18"/>
  <c r="M327" i="28"/>
  <c r="M347" i="28"/>
  <c r="K13" i="28"/>
  <c r="G58" i="28"/>
  <c r="I341" i="28"/>
  <c r="M281" i="18"/>
  <c r="M316" i="28"/>
  <c r="M352" i="18"/>
  <c r="E291" i="28"/>
  <c r="E11" i="28"/>
  <c r="G235" i="18"/>
  <c r="K198" i="28"/>
  <c r="G385" i="18"/>
  <c r="I293" i="28"/>
  <c r="E346" i="28"/>
  <c r="O446" i="28"/>
  <c r="M112" i="18"/>
  <c r="C417" i="28"/>
  <c r="G438" i="18"/>
  <c r="K345" i="18"/>
  <c r="M142" i="28"/>
  <c r="E292" i="28"/>
  <c r="K298" i="18"/>
  <c r="G280" i="28"/>
  <c r="M295" i="28"/>
  <c r="E175" i="18"/>
  <c r="G257" i="28"/>
  <c r="K147" i="28"/>
  <c r="M173" i="28"/>
  <c r="D17" i="29"/>
  <c r="D23" i="29"/>
  <c r="D19" i="29"/>
  <c r="D21" i="29"/>
  <c r="D20" i="29"/>
  <c r="D22" i="29"/>
  <c r="D18" i="29"/>
  <c r="G205" i="28"/>
  <c r="G402" i="28"/>
  <c r="C377" i="28"/>
  <c r="M101" i="18"/>
  <c r="M353" i="18"/>
  <c r="G282" i="18"/>
  <c r="I201" i="28"/>
  <c r="E255" i="28"/>
  <c r="M163" i="18"/>
  <c r="E436" i="28"/>
  <c r="I208" i="28"/>
  <c r="E22" i="28"/>
  <c r="G372" i="28"/>
  <c r="E341" i="28"/>
  <c r="C433" i="28"/>
  <c r="E117" i="28"/>
  <c r="K163" i="28"/>
  <c r="G17" i="18"/>
  <c r="C10" i="18"/>
  <c r="I348" i="28"/>
  <c r="M202" i="28"/>
  <c r="G21" i="18"/>
  <c r="C342" i="18"/>
  <c r="O417" i="28"/>
  <c r="G351" i="18"/>
  <c r="E296" i="28"/>
  <c r="I205" i="28"/>
  <c r="O412" i="28"/>
  <c r="E141" i="28"/>
  <c r="M407" i="28"/>
  <c r="O320" i="28"/>
  <c r="O385" i="28"/>
  <c r="E221" i="28"/>
  <c r="G175" i="28"/>
  <c r="M297" i="28"/>
  <c r="E55" i="28"/>
  <c r="I27" i="18"/>
  <c r="G135" i="28"/>
  <c r="M431" i="28"/>
  <c r="E253" i="18"/>
  <c r="K232" i="18"/>
  <c r="C322" i="18"/>
  <c r="O357" i="18"/>
  <c r="G405" i="18"/>
  <c r="I436" i="28"/>
  <c r="K343" i="28"/>
  <c r="E168" i="28"/>
  <c r="E233" i="28"/>
  <c r="K112" i="28"/>
  <c r="K148" i="28"/>
  <c r="G418" i="28"/>
  <c r="E440" i="18"/>
  <c r="I47" i="18"/>
  <c r="K432" i="18"/>
  <c r="G348" i="28"/>
  <c r="I178" i="28"/>
  <c r="E345" i="28"/>
  <c r="G347" i="18"/>
  <c r="E142" i="28"/>
  <c r="K130" i="18"/>
  <c r="I318" i="28"/>
  <c r="C310" i="28"/>
  <c r="G436" i="18"/>
  <c r="G225" i="18"/>
  <c r="G412" i="28"/>
  <c r="M311" i="28"/>
  <c r="K171" i="18"/>
  <c r="O371" i="28"/>
  <c r="G417" i="18"/>
  <c r="K225" i="18"/>
  <c r="I323" i="28"/>
  <c r="E220" i="28"/>
  <c r="I51" i="18"/>
  <c r="I172" i="28"/>
  <c r="K160" i="28"/>
  <c r="I207" i="18"/>
  <c r="M371" i="18"/>
  <c r="M140" i="18"/>
  <c r="K372" i="18"/>
  <c r="I381" i="18"/>
  <c r="K57" i="28"/>
  <c r="C268" i="28"/>
  <c r="K107" i="28"/>
  <c r="M148" i="18"/>
  <c r="E101" i="18"/>
  <c r="I347" i="28"/>
  <c r="E351" i="28"/>
  <c r="M342" i="18"/>
  <c r="C416" i="18"/>
  <c r="G110" i="28"/>
  <c r="E200" i="28"/>
  <c r="I225" i="28"/>
  <c r="E403" i="28"/>
  <c r="I378" i="18"/>
  <c r="E28" i="28"/>
  <c r="K101" i="28"/>
  <c r="C227" i="18"/>
  <c r="G408" i="28"/>
  <c r="D18" i="21"/>
  <c r="D23" i="21"/>
  <c r="D22" i="21"/>
  <c r="D21" i="21"/>
  <c r="D20" i="21"/>
  <c r="D19" i="21"/>
  <c r="D24" i="21"/>
  <c r="K288" i="28"/>
  <c r="K228" i="18"/>
  <c r="C251" i="28"/>
  <c r="M205" i="18"/>
  <c r="G130" i="28"/>
  <c r="G203" i="18"/>
  <c r="K136" i="18"/>
  <c r="M193" i="28"/>
  <c r="C53" i="18"/>
  <c r="C58" i="28"/>
  <c r="I203" i="28"/>
  <c r="K265" i="28"/>
  <c r="O353" i="28"/>
  <c r="G165" i="28"/>
  <c r="E400" i="28"/>
  <c r="E445" i="28"/>
  <c r="E163" i="18"/>
  <c r="O372" i="18"/>
  <c r="M447" i="28"/>
  <c r="M118" i="28"/>
  <c r="G171" i="28"/>
  <c r="C326" i="28"/>
  <c r="O322" i="28"/>
  <c r="I107" i="28"/>
  <c r="I380" i="18"/>
  <c r="C318" i="18"/>
  <c r="E100" i="18"/>
  <c r="M252" i="28"/>
  <c r="I340" i="28"/>
  <c r="O445" i="28"/>
  <c r="K437" i="28"/>
  <c r="I101" i="28"/>
  <c r="E388" i="18"/>
  <c r="K350" i="28"/>
  <c r="K135" i="18"/>
  <c r="K346" i="18"/>
  <c r="G327" i="28"/>
  <c r="I323" i="18"/>
  <c r="G326" i="18"/>
  <c r="E257" i="28"/>
  <c r="K117" i="18"/>
  <c r="K358" i="18"/>
  <c r="K293" i="18"/>
  <c r="C161" i="28"/>
  <c r="E346" i="18"/>
  <c r="E293" i="28"/>
  <c r="G388" i="18"/>
  <c r="E312" i="18"/>
  <c r="I198" i="28"/>
  <c r="K28" i="18"/>
  <c r="G45" i="28"/>
  <c r="E222" i="28"/>
  <c r="G53" i="28"/>
  <c r="M402" i="28"/>
  <c r="M415" i="28"/>
  <c r="K405" i="18"/>
  <c r="E448" i="28"/>
  <c r="I407" i="28"/>
  <c r="C40" i="28"/>
  <c r="E357" i="18"/>
  <c r="M136" i="18"/>
  <c r="M108" i="28"/>
  <c r="O310" i="28"/>
  <c r="M191" i="18"/>
  <c r="I42" i="28"/>
  <c r="C313" i="18"/>
  <c r="I141" i="28"/>
  <c r="M321" i="28"/>
  <c r="E316" i="28"/>
  <c r="E283" i="18"/>
  <c r="G430" i="28"/>
  <c r="O342" i="28"/>
  <c r="I356" i="28"/>
  <c r="E192" i="28"/>
  <c r="M21" i="28"/>
  <c r="G370" i="28"/>
  <c r="I223" i="18"/>
  <c r="I131" i="28"/>
  <c r="I107" i="18"/>
  <c r="O440" i="18"/>
  <c r="K291" i="18"/>
  <c r="E435" i="18"/>
  <c r="C205" i="18"/>
  <c r="E312" i="28"/>
  <c r="G47" i="18"/>
  <c r="C43" i="18"/>
  <c r="G223" i="28"/>
  <c r="M236" i="28"/>
  <c r="G440" i="18"/>
  <c r="I17" i="18"/>
  <c r="K262" i="18"/>
  <c r="I171" i="18"/>
  <c r="E236" i="28"/>
  <c r="O355" i="28"/>
  <c r="E225" i="28"/>
  <c r="I42" i="18"/>
  <c r="K383" i="18"/>
  <c r="C28" i="28"/>
  <c r="E311" i="18"/>
  <c r="K208" i="18"/>
  <c r="I58" i="28"/>
  <c r="I138" i="18"/>
  <c r="C431" i="18"/>
  <c r="O413" i="18"/>
  <c r="E372" i="28"/>
  <c r="G202" i="28"/>
  <c r="M207" i="28"/>
  <c r="O351" i="28"/>
  <c r="K41" i="28"/>
  <c r="C26" i="18"/>
  <c r="E236" i="18"/>
  <c r="E166" i="18"/>
  <c r="C323" i="28"/>
  <c r="O27" i="18"/>
  <c r="Q27" i="18"/>
  <c r="I145" i="18"/>
  <c r="E265" i="28"/>
  <c r="G268" i="18"/>
  <c r="E26" i="28"/>
  <c r="K161" i="28"/>
  <c r="K413" i="18"/>
  <c r="C132" i="18"/>
  <c r="I175" i="18"/>
  <c r="I322" i="28"/>
  <c r="E27" i="18"/>
  <c r="G148" i="28"/>
  <c r="M223" i="18"/>
  <c r="Q88" i="18"/>
  <c r="E13" i="28"/>
  <c r="E328" i="18"/>
  <c r="G285" i="18"/>
  <c r="M202" i="18"/>
  <c r="I237" i="18"/>
  <c r="M407" i="18"/>
  <c r="G437" i="18"/>
  <c r="M222" i="28"/>
  <c r="I401" i="28"/>
  <c r="E355" i="28"/>
  <c r="K43" i="18"/>
  <c r="Q43" i="18"/>
  <c r="M200" i="28"/>
  <c r="K205" i="28"/>
  <c r="C13" i="18"/>
  <c r="O321" i="18"/>
  <c r="M18" i="18"/>
  <c r="G141" i="28"/>
  <c r="K196" i="28"/>
  <c r="K208" i="28"/>
  <c r="G375" i="18"/>
  <c r="I132" i="18"/>
  <c r="K265" i="18"/>
  <c r="I18" i="18"/>
  <c r="K131" i="28"/>
  <c r="M350" i="28"/>
  <c r="E351" i="18"/>
  <c r="I267" i="28"/>
  <c r="M23" i="18"/>
  <c r="E376" i="18"/>
  <c r="K435" i="28"/>
  <c r="M262" i="18"/>
  <c r="C285" i="18"/>
  <c r="M27" i="28"/>
  <c r="C432" i="18"/>
  <c r="O15" i="28"/>
  <c r="C50" i="28"/>
  <c r="K282" i="28"/>
  <c r="C380" i="18"/>
  <c r="K235" i="18"/>
  <c r="G416" i="18"/>
  <c r="G145" i="28"/>
  <c r="E53" i="18"/>
  <c r="M265" i="18"/>
  <c r="C192" i="18"/>
  <c r="G347" i="28"/>
  <c r="I296" i="28"/>
  <c r="C202" i="18"/>
  <c r="M281" i="28"/>
  <c r="G163" i="28"/>
  <c r="E162" i="28"/>
  <c r="K287" i="18"/>
  <c r="E380" i="28"/>
  <c r="C55" i="18"/>
  <c r="E358" i="28"/>
  <c r="I356" i="18"/>
  <c r="C325" i="28"/>
  <c r="I410" i="18"/>
  <c r="E387" i="28"/>
  <c r="G111" i="18"/>
  <c r="C327" i="28"/>
  <c r="I320" i="28"/>
  <c r="E166" i="28"/>
  <c r="E193" i="28"/>
  <c r="K133" i="28"/>
  <c r="I351" i="18"/>
  <c r="K283" i="28"/>
  <c r="G340" i="28"/>
  <c r="G146" i="18"/>
  <c r="G100" i="18"/>
  <c r="E401" i="28"/>
  <c r="E448" i="18"/>
  <c r="C388" i="18"/>
  <c r="G16" i="18"/>
  <c r="I411" i="18"/>
  <c r="G430" i="18"/>
  <c r="E417" i="28"/>
  <c r="I448" i="28"/>
  <c r="K358" i="28"/>
  <c r="C385" i="28"/>
  <c r="C267" i="18"/>
  <c r="I262" i="28"/>
  <c r="C238" i="18"/>
  <c r="K106" i="18"/>
  <c r="I405" i="28"/>
  <c r="G196" i="18"/>
  <c r="E298" i="28"/>
  <c r="C195" i="18"/>
  <c r="G355" i="28"/>
  <c r="G352" i="18"/>
  <c r="M132" i="18"/>
  <c r="I137" i="18"/>
  <c r="I443" i="18"/>
  <c r="C161" i="18"/>
  <c r="G340" i="18"/>
  <c r="G11" i="18"/>
  <c r="C285" i="28"/>
  <c r="M197" i="18"/>
  <c r="E172" i="28"/>
  <c r="I133" i="18"/>
  <c r="G193" i="28"/>
  <c r="K107" i="18"/>
  <c r="G328" i="18"/>
  <c r="O383" i="28"/>
  <c r="M20" i="28"/>
  <c r="C251" i="18"/>
  <c r="G410" i="18"/>
  <c r="I221" i="28"/>
  <c r="G175" i="18"/>
  <c r="O387" i="18"/>
  <c r="C202" i="28"/>
  <c r="I400" i="18"/>
  <c r="E13" i="18"/>
  <c r="K173" i="28"/>
  <c r="O323" i="18"/>
  <c r="I23" i="18"/>
  <c r="I403" i="28"/>
  <c r="C133" i="18"/>
  <c r="M378" i="28"/>
  <c r="E143" i="18"/>
  <c r="M138" i="18"/>
  <c r="C446" i="18"/>
  <c r="C236" i="28"/>
  <c r="I291" i="28"/>
  <c r="E10" i="28"/>
  <c r="I285" i="28"/>
  <c r="E103" i="28"/>
  <c r="E107" i="28"/>
  <c r="E115" i="28"/>
  <c r="I316" i="28"/>
  <c r="C55" i="28"/>
  <c r="C430" i="28"/>
  <c r="O437" i="28"/>
  <c r="K170" i="18"/>
  <c r="C258" i="28"/>
  <c r="M18" i="28"/>
  <c r="O28" i="28"/>
  <c r="C317" i="28"/>
  <c r="G166" i="18"/>
  <c r="G265" i="18"/>
  <c r="G140" i="28"/>
  <c r="I197" i="28"/>
  <c r="O380" i="28"/>
  <c r="K236" i="28"/>
  <c r="C376" i="18"/>
  <c r="I147" i="18"/>
  <c r="G413" i="18"/>
  <c r="K357" i="18"/>
  <c r="I435" i="18"/>
  <c r="G350" i="18"/>
  <c r="K252" i="28"/>
  <c r="G285" i="28"/>
  <c r="G167" i="28"/>
  <c r="E233" i="18"/>
  <c r="C100" i="18"/>
  <c r="E440" i="28"/>
  <c r="O356" i="18"/>
  <c r="G346" i="28"/>
  <c r="I12" i="18"/>
  <c r="K140" i="18"/>
  <c r="M440" i="18"/>
  <c r="I196" i="28"/>
  <c r="G143" i="28"/>
  <c r="C177" i="18"/>
  <c r="I340" i="18"/>
  <c r="M13" i="18"/>
  <c r="C40" i="18"/>
  <c r="E196" i="28"/>
  <c r="C171" i="18"/>
  <c r="K371" i="18"/>
  <c r="M146" i="18"/>
  <c r="K266" i="18"/>
  <c r="M263" i="18"/>
  <c r="E136" i="28"/>
  <c r="G252" i="18"/>
  <c r="I237" i="28"/>
  <c r="M373" i="28"/>
  <c r="E161" i="28"/>
  <c r="G281" i="18"/>
  <c r="K341" i="28"/>
  <c r="M417" i="28"/>
  <c r="M315" i="18"/>
  <c r="I417" i="28"/>
  <c r="G401" i="18"/>
  <c r="F19" i="21"/>
  <c r="F23" i="21"/>
  <c r="F20" i="21"/>
  <c r="F22" i="21"/>
  <c r="F18" i="21"/>
  <c r="F24" i="21"/>
  <c r="F21" i="21"/>
  <c r="G250" i="28"/>
  <c r="K416" i="28"/>
  <c r="C346" i="18"/>
  <c r="O382" i="28"/>
  <c r="E407" i="18"/>
  <c r="M28" i="18"/>
  <c r="E405" i="28"/>
  <c r="M355" i="28"/>
  <c r="I193" i="28"/>
  <c r="G431" i="28"/>
  <c r="E170" i="18"/>
  <c r="E207" i="18"/>
  <c r="I387" i="28"/>
  <c r="K290" i="18"/>
  <c r="K341" i="18"/>
  <c r="E377" i="28"/>
  <c r="M231" i="28"/>
  <c r="I386" i="28"/>
  <c r="K402" i="28"/>
  <c r="O442" i="28"/>
  <c r="G137" i="18"/>
  <c r="C117" i="18"/>
  <c r="M130" i="18"/>
  <c r="M353" i="28"/>
  <c r="I268" i="28"/>
  <c r="M103" i="28"/>
  <c r="K106" i="28"/>
  <c r="C340" i="18"/>
  <c r="C175" i="18"/>
  <c r="G202" i="18"/>
  <c r="G117" i="18"/>
  <c r="E178" i="18"/>
  <c r="K112" i="18"/>
  <c r="O11" i="28"/>
  <c r="O358" i="18"/>
  <c r="C237" i="28"/>
  <c r="I207" i="28"/>
  <c r="E138" i="28"/>
  <c r="C207" i="18"/>
  <c r="E193" i="18"/>
  <c r="E318" i="18"/>
  <c r="I440" i="28"/>
  <c r="M291" i="28"/>
  <c r="G10" i="18"/>
  <c r="C47" i="18"/>
  <c r="O21" i="28"/>
  <c r="K228" i="28"/>
  <c r="I192" i="18"/>
  <c r="K45" i="18"/>
  <c r="Q45" i="18"/>
  <c r="E237" i="28"/>
  <c r="E137" i="18"/>
  <c r="C405" i="18"/>
  <c r="M310" i="18"/>
  <c r="E148" i="28"/>
  <c r="M226" i="18"/>
  <c r="K297" i="28"/>
  <c r="M290" i="18"/>
  <c r="O381" i="28"/>
  <c r="C190" i="18"/>
  <c r="O373" i="28"/>
  <c r="M386" i="28"/>
  <c r="O411" i="18"/>
  <c r="K163" i="18"/>
  <c r="K16" i="18"/>
  <c r="O345" i="28"/>
  <c r="K446" i="28"/>
  <c r="I176" i="18"/>
  <c r="K320" i="18"/>
  <c r="M410" i="18"/>
  <c r="C190" i="28"/>
  <c r="K447" i="28"/>
  <c r="E160" i="18"/>
  <c r="M102" i="28"/>
  <c r="G20" i="28"/>
  <c r="M130" i="28"/>
  <c r="C431" i="28"/>
  <c r="C136" i="18"/>
  <c r="E160" i="28"/>
  <c r="K372" i="28"/>
  <c r="C148" i="18"/>
  <c r="I21" i="28"/>
  <c r="M220" i="28"/>
  <c r="K190" i="18"/>
  <c r="M228" i="28"/>
  <c r="C57" i="18"/>
  <c r="E316" i="18"/>
  <c r="I20" i="28"/>
  <c r="M310" i="28"/>
  <c r="I298" i="28"/>
  <c r="M400" i="18"/>
  <c r="K345" i="28"/>
  <c r="K257" i="18"/>
  <c r="E430" i="18"/>
  <c r="I41" i="28"/>
  <c r="K131" i="18"/>
  <c r="K445" i="18"/>
  <c r="O328" i="28"/>
  <c r="K312" i="28"/>
  <c r="O417" i="18"/>
  <c r="G292" i="28"/>
  <c r="E207" i="28"/>
  <c r="E165" i="18"/>
  <c r="O342" i="18"/>
  <c r="C290" i="28"/>
  <c r="O22" i="18"/>
  <c r="Q22" i="18"/>
  <c r="Q47" i="18"/>
  <c r="K47" i="18"/>
  <c r="E267" i="28"/>
  <c r="K220" i="18"/>
  <c r="G256" i="18"/>
  <c r="I168" i="28"/>
  <c r="G238" i="18"/>
  <c r="K18" i="28"/>
  <c r="M192" i="18"/>
  <c r="M376" i="28"/>
  <c r="G316" i="28"/>
  <c r="I25" i="28"/>
  <c r="C136" i="28"/>
  <c r="Q15" i="18"/>
  <c r="O15" i="18"/>
  <c r="G131" i="28"/>
  <c r="K53" i="28"/>
  <c r="E146" i="18"/>
  <c r="Q57" i="18"/>
  <c r="K57" i="18"/>
  <c r="I102" i="28"/>
  <c r="G11" i="28"/>
  <c r="I170" i="28"/>
  <c r="C142" i="28"/>
  <c r="I430" i="28"/>
  <c r="E103" i="18"/>
  <c r="G207" i="28"/>
  <c r="C143" i="18"/>
  <c r="G376" i="28"/>
  <c r="E410" i="18"/>
  <c r="C261" i="18"/>
  <c r="O341" i="18"/>
  <c r="C191" i="18"/>
  <c r="G297" i="18"/>
  <c r="I378" i="28"/>
  <c r="M177" i="18"/>
  <c r="M118" i="18"/>
  <c r="K255" i="28"/>
  <c r="K437" i="18"/>
  <c r="K355" i="28"/>
  <c r="K161" i="18"/>
  <c r="I133" i="28"/>
  <c r="K178" i="18"/>
  <c r="I17" i="28"/>
  <c r="K328" i="18"/>
  <c r="G228" i="18"/>
  <c r="G200" i="18"/>
  <c r="I440" i="18"/>
  <c r="O415" i="18"/>
  <c r="K193" i="18"/>
  <c r="Q48" i="18"/>
  <c r="K48" i="18"/>
  <c r="I220" i="18"/>
  <c r="E10" i="18"/>
  <c r="I23" i="29"/>
  <c r="I18" i="29"/>
  <c r="I21" i="29"/>
  <c r="I20" i="29"/>
  <c r="I19" i="29"/>
  <c r="I17" i="29"/>
  <c r="I22" i="29"/>
  <c r="I105" i="18"/>
  <c r="I286" i="28"/>
  <c r="I111" i="28"/>
  <c r="E416" i="28"/>
  <c r="E297" i="28"/>
  <c r="O377" i="18"/>
  <c r="E373" i="18"/>
  <c r="C315" i="28"/>
  <c r="C293" i="28"/>
  <c r="I47" i="28"/>
  <c r="I167" i="28"/>
  <c r="M190" i="28"/>
  <c r="I386" i="18"/>
  <c r="M196" i="28"/>
  <c r="I223" i="28"/>
  <c r="G351" i="28"/>
  <c r="I52" i="28"/>
  <c r="I18" i="28"/>
  <c r="K417" i="18"/>
  <c r="C438" i="18"/>
  <c r="C237" i="18"/>
  <c r="Q86" i="18"/>
  <c r="E447" i="18"/>
  <c r="O318" i="18"/>
  <c r="K105" i="18"/>
  <c r="K376" i="18"/>
  <c r="G15" i="28"/>
  <c r="I353" i="28"/>
  <c r="C21" i="28"/>
  <c r="E110" i="18"/>
  <c r="I168" i="18"/>
  <c r="G311" i="28"/>
  <c r="E102" i="18"/>
  <c r="E347" i="18"/>
  <c r="E200" i="18"/>
  <c r="I406" i="28"/>
  <c r="C165" i="18"/>
  <c r="E223" i="28"/>
  <c r="M21" i="18"/>
  <c r="E47" i="28"/>
  <c r="G191" i="18"/>
  <c r="E195" i="28"/>
  <c r="K190" i="28"/>
  <c r="E201" i="18"/>
  <c r="E17" i="28"/>
  <c r="G380" i="18"/>
  <c r="K441" i="18"/>
  <c r="G22" i="18"/>
  <c r="I431" i="28"/>
  <c r="K51" i="28"/>
  <c r="E227" i="28"/>
  <c r="M282" i="18"/>
  <c r="K168" i="18"/>
  <c r="O432" i="28"/>
  <c r="K221" i="28"/>
  <c r="C292" i="18"/>
  <c r="G353" i="28"/>
  <c r="K143" i="28"/>
  <c r="E416" i="18"/>
  <c r="G206" i="18"/>
  <c r="O17" i="18"/>
  <c r="Q17" i="18"/>
  <c r="E411" i="28"/>
  <c r="K388" i="18"/>
  <c r="E348" i="18"/>
  <c r="K415" i="18"/>
  <c r="I145" i="28"/>
  <c r="C48" i="18"/>
  <c r="E353" i="18"/>
  <c r="O435" i="28"/>
  <c r="C102" i="18"/>
  <c r="M378" i="18"/>
  <c r="M341" i="28"/>
  <c r="C323" i="18"/>
  <c r="E58" i="28"/>
  <c r="C378" i="28"/>
  <c r="C373" i="28"/>
  <c r="O401" i="18"/>
  <c r="I45" i="18"/>
  <c r="M161" i="18"/>
  <c r="K20" i="18"/>
  <c r="C347" i="28"/>
  <c r="E256" i="18"/>
  <c r="M288" i="18"/>
  <c r="I196" i="18"/>
  <c r="C101" i="28"/>
  <c r="O340" i="18"/>
  <c r="C100" i="28"/>
  <c r="I200" i="28"/>
  <c r="C435" i="28"/>
  <c r="G57" i="28"/>
  <c r="K387" i="18"/>
  <c r="C21" i="21"/>
  <c r="C20" i="21"/>
  <c r="C19" i="21"/>
  <c r="C23" i="21"/>
  <c r="C24" i="21"/>
  <c r="C22" i="21"/>
  <c r="C18" i="21"/>
  <c r="M408" i="28"/>
  <c r="G287" i="28"/>
  <c r="C23" i="28"/>
  <c r="M323" i="28"/>
  <c r="G132" i="28"/>
  <c r="C375" i="28"/>
  <c r="E375" i="28"/>
  <c r="G400" i="28"/>
  <c r="G48" i="18"/>
  <c r="F15" i="29"/>
  <c r="F12" i="29"/>
  <c r="F11" i="29"/>
  <c r="F16" i="29"/>
  <c r="F13" i="29"/>
  <c r="F10" i="29"/>
  <c r="F14" i="29"/>
  <c r="G148" i="18"/>
  <c r="O17" i="28"/>
  <c r="K383" i="28"/>
  <c r="M435" i="28"/>
  <c r="K140" i="28"/>
  <c r="C12" i="18"/>
  <c r="I321" i="28"/>
  <c r="I412" i="28"/>
  <c r="I325" i="28"/>
  <c r="E281" i="28"/>
  <c r="E290" i="28"/>
  <c r="C117" i="28"/>
  <c r="C388" i="28"/>
  <c r="C351" i="18"/>
  <c r="E228" i="28"/>
  <c r="I317" i="28"/>
  <c r="C443" i="18"/>
  <c r="G220" i="28"/>
  <c r="K20" i="28"/>
  <c r="I231" i="28"/>
  <c r="E163" i="28"/>
  <c r="Q56" i="18"/>
  <c r="K56" i="18"/>
  <c r="M317" i="18"/>
  <c r="I433" i="18"/>
  <c r="K441" i="28"/>
  <c r="I162" i="18"/>
  <c r="C255" i="18"/>
  <c r="M267" i="18"/>
  <c r="M235" i="28"/>
  <c r="I447" i="18"/>
  <c r="I112" i="28"/>
  <c r="M133" i="28"/>
  <c r="M385" i="28"/>
  <c r="C167" i="28"/>
  <c r="G203" i="28"/>
  <c r="K313" i="28"/>
  <c r="C383" i="28"/>
  <c r="M370" i="28"/>
  <c r="O436" i="18"/>
  <c r="G263" i="18"/>
  <c r="G286" i="18"/>
  <c r="C372" i="28"/>
  <c r="M206" i="28"/>
  <c r="K108" i="28"/>
  <c r="C281" i="18"/>
  <c r="I100" i="18"/>
  <c r="E251" i="28"/>
  <c r="G372" i="18"/>
  <c r="K50" i="18"/>
  <c r="Q50" i="18"/>
  <c r="C56" i="28"/>
  <c r="K231" i="18"/>
  <c r="E382" i="28"/>
  <c r="C116" i="18"/>
  <c r="C118" i="18"/>
  <c r="M171" i="18"/>
  <c r="M370" i="18"/>
  <c r="G296" i="28"/>
  <c r="I53" i="28"/>
  <c r="E55" i="18"/>
  <c r="O350" i="18"/>
  <c r="C258" i="18"/>
  <c r="M28" i="28"/>
  <c r="C441" i="18"/>
  <c r="G291" i="28"/>
  <c r="E146" i="28"/>
  <c r="O443" i="18"/>
  <c r="C410" i="18"/>
  <c r="K440" i="18"/>
  <c r="G56" i="18"/>
  <c r="E230" i="28"/>
  <c r="M268" i="28"/>
  <c r="Q76" i="18"/>
  <c r="O16" i="28"/>
  <c r="I403" i="18"/>
  <c r="C296" i="28"/>
  <c r="I200" i="18"/>
  <c r="K111" i="28"/>
  <c r="O382" i="18"/>
  <c r="K328" i="28"/>
  <c r="K351" i="28"/>
  <c r="I113" i="18"/>
  <c r="E238" i="28"/>
  <c r="O356" i="28"/>
  <c r="O353" i="18"/>
  <c r="I160" i="28"/>
  <c r="M445" i="18"/>
  <c r="O370" i="18"/>
  <c r="G321" i="18"/>
  <c r="C370" i="28"/>
  <c r="I103" i="28"/>
  <c r="I346" i="28"/>
  <c r="M293" i="28"/>
  <c r="C105" i="18"/>
  <c r="M111" i="28"/>
  <c r="K176" i="28"/>
  <c r="C381" i="18"/>
  <c r="C440" i="28"/>
  <c r="K58" i="18"/>
  <c r="Q58" i="18"/>
  <c r="E221" i="18"/>
  <c r="G406" i="28"/>
  <c r="E323" i="18"/>
  <c r="C107" i="18"/>
  <c r="E287" i="18"/>
  <c r="C430" i="18"/>
  <c r="C230" i="28"/>
  <c r="E370" i="18"/>
  <c r="I268" i="18"/>
  <c r="M167" i="18"/>
  <c r="E237" i="18"/>
  <c r="I56" i="28"/>
  <c r="G263" i="28"/>
  <c r="O312" i="28"/>
  <c r="K171" i="28"/>
  <c r="C225" i="18"/>
  <c r="K348" i="18"/>
  <c r="I137" i="28"/>
  <c r="M373" i="18"/>
  <c r="O18" i="18"/>
  <c r="Q18" i="18"/>
  <c r="K135" i="28"/>
  <c r="K102" i="18"/>
  <c r="C355" i="28"/>
  <c r="I443" i="28"/>
  <c r="O388" i="18"/>
  <c r="G208" i="28"/>
  <c r="C287" i="28"/>
  <c r="G352" i="28"/>
  <c r="E403" i="18"/>
  <c r="G375" i="28"/>
  <c r="K382" i="28"/>
  <c r="K226" i="28"/>
  <c r="C137" i="28"/>
  <c r="I413" i="18"/>
  <c r="O430" i="18"/>
  <c r="I48" i="18"/>
  <c r="K418" i="18"/>
  <c r="C280" i="28"/>
  <c r="G238" i="28"/>
  <c r="G357" i="28"/>
  <c r="G280" i="18"/>
  <c r="M225" i="18"/>
  <c r="I236" i="18"/>
  <c r="C53" i="28"/>
  <c r="C172" i="28"/>
  <c r="C346" i="28"/>
  <c r="I295" i="18"/>
  <c r="K55" i="18"/>
  <c r="Q55" i="18"/>
  <c r="O10" i="18"/>
  <c r="Q10" i="18"/>
  <c r="C253" i="18"/>
  <c r="M436" i="18"/>
  <c r="G412" i="18"/>
  <c r="G345" i="18"/>
  <c r="I371" i="18"/>
  <c r="M286" i="18"/>
  <c r="G55" i="18"/>
  <c r="K258" i="28"/>
  <c r="E255" i="18"/>
  <c r="C415" i="18"/>
  <c r="C370" i="18"/>
  <c r="C350" i="28"/>
  <c r="C325" i="18"/>
  <c r="G56" i="28"/>
  <c r="O386" i="18"/>
  <c r="E322" i="28"/>
  <c r="G41" i="18"/>
  <c r="M291" i="18"/>
  <c r="K296" i="28"/>
  <c r="G437" i="28"/>
  <c r="C326" i="18"/>
  <c r="G296" i="18"/>
  <c r="C232" i="18"/>
  <c r="O316" i="18"/>
  <c r="G380" i="28"/>
  <c r="K256" i="18"/>
  <c r="I135" i="28"/>
  <c r="E12" i="28"/>
  <c r="E261" i="18"/>
  <c r="G27" i="28"/>
  <c r="O321" i="28"/>
  <c r="E311" i="28"/>
  <c r="I108" i="28"/>
  <c r="K110" i="18"/>
  <c r="C222" i="18"/>
  <c r="G405" i="28"/>
  <c r="K370" i="18"/>
  <c r="C228" i="28"/>
  <c r="C56" i="18"/>
  <c r="E137" i="28"/>
  <c r="C42" i="18"/>
  <c r="G232" i="18"/>
  <c r="M431" i="18"/>
  <c r="I165" i="18"/>
  <c r="C318" i="28"/>
  <c r="M268" i="18"/>
  <c r="O345" i="18"/>
  <c r="M438" i="18"/>
  <c r="M112" i="28"/>
  <c r="M400" i="28"/>
  <c r="G382" i="18"/>
  <c r="C41" i="28"/>
  <c r="C11" i="18"/>
  <c r="E261" i="28"/>
  <c r="O23" i="21"/>
  <c r="O24" i="21"/>
  <c r="O20" i="21"/>
  <c r="O19" i="21"/>
  <c r="O21" i="21"/>
  <c r="O22" i="21"/>
  <c r="O18" i="21"/>
  <c r="E167" i="28"/>
  <c r="E201" i="28"/>
  <c r="M316" i="18"/>
  <c r="O21" i="18"/>
  <c r="Q21" i="18"/>
  <c r="K253" i="18"/>
  <c r="Q72" i="18"/>
  <c r="M163" i="28"/>
  <c r="K343" i="18"/>
  <c r="I418" i="18"/>
  <c r="O445" i="18"/>
  <c r="P11" i="29"/>
  <c r="P15" i="29"/>
  <c r="P10" i="29"/>
  <c r="P16" i="29"/>
  <c r="P13" i="29"/>
  <c r="P14" i="29"/>
  <c r="P12" i="29"/>
  <c r="I228" i="28"/>
  <c r="K352" i="18"/>
  <c r="O381" i="18"/>
  <c r="M346" i="28"/>
  <c r="I230" i="18"/>
  <c r="C340" i="28"/>
  <c r="Q87" i="18"/>
  <c r="O323" i="28"/>
  <c r="G142" i="28"/>
  <c r="C170" i="18"/>
  <c r="M298" i="18"/>
  <c r="O18" i="28"/>
  <c r="C311" i="28"/>
  <c r="E15" i="28"/>
  <c r="I252" i="18"/>
  <c r="C113" i="28"/>
  <c r="G47" i="28"/>
  <c r="M137" i="28"/>
  <c r="C200" i="18"/>
  <c r="M285" i="18"/>
  <c r="K142" i="18"/>
  <c r="O310" i="18"/>
  <c r="C178" i="28"/>
  <c r="G176" i="28"/>
  <c r="E145" i="18"/>
  <c r="G326" i="28"/>
  <c r="G433" i="28"/>
  <c r="E376" i="28"/>
  <c r="E117" i="18"/>
  <c r="M250" i="18"/>
  <c r="G143" i="18"/>
  <c r="I222" i="28"/>
  <c r="G436" i="28"/>
  <c r="K207" i="28"/>
  <c r="C381" i="28"/>
  <c r="M432" i="28"/>
  <c r="K311" i="28"/>
  <c r="M22" i="18"/>
  <c r="C328" i="28"/>
  <c r="G51" i="28"/>
  <c r="E343" i="18"/>
  <c r="G178" i="28"/>
  <c r="I442" i="18"/>
  <c r="G205" i="18"/>
  <c r="G356" i="28"/>
  <c r="O378" i="18"/>
  <c r="E437" i="18"/>
  <c r="C353" i="18"/>
  <c r="E443" i="28"/>
  <c r="G313" i="18"/>
  <c r="Q78" i="18"/>
  <c r="M115" i="18"/>
  <c r="O403" i="18"/>
  <c r="K52" i="28"/>
  <c r="G222" i="18"/>
  <c r="I375" i="18"/>
  <c r="E205" i="18"/>
  <c r="E250" i="28"/>
  <c r="I160" i="18"/>
  <c r="K431" i="18"/>
  <c r="H22" i="21"/>
  <c r="H18" i="21"/>
  <c r="H23" i="21"/>
  <c r="H24" i="21"/>
  <c r="H21" i="21"/>
  <c r="H20" i="21"/>
  <c r="H19" i="21"/>
  <c r="E138" i="18"/>
  <c r="M416" i="18"/>
  <c r="E280" i="18"/>
  <c r="I221" i="18"/>
  <c r="E410" i="28"/>
  <c r="G28" i="18"/>
  <c r="K380" i="28"/>
  <c r="I250" i="28"/>
  <c r="I298" i="18"/>
  <c r="K108" i="18"/>
  <c r="O317" i="18"/>
  <c r="O377" i="28"/>
  <c r="K386" i="18"/>
  <c r="E438" i="18"/>
  <c r="O406" i="28"/>
  <c r="G345" i="28"/>
  <c r="M10" i="18"/>
  <c r="O318" i="28"/>
  <c r="M325" i="18"/>
  <c r="M343" i="28"/>
  <c r="G138" i="28"/>
  <c r="M408" i="18"/>
  <c r="G411" i="28"/>
  <c r="O376" i="18"/>
  <c r="K100" i="18"/>
  <c r="I148" i="28"/>
  <c r="O346" i="18"/>
  <c r="C196" i="28"/>
  <c r="K223" i="28"/>
  <c r="K281" i="18"/>
  <c r="K448" i="28"/>
  <c r="E191" i="28"/>
  <c r="E145" i="28"/>
  <c r="M11" i="18"/>
  <c r="E196" i="18"/>
  <c r="K256" i="28"/>
  <c r="O325" i="28"/>
  <c r="O402" i="18"/>
  <c r="K202" i="28"/>
  <c r="C168" i="28"/>
  <c r="E232" i="28"/>
  <c r="M322" i="18"/>
  <c r="G52" i="28"/>
  <c r="K165" i="28"/>
  <c r="G343" i="28"/>
  <c r="E326" i="28"/>
  <c r="K227" i="28"/>
  <c r="G441" i="28"/>
  <c r="G107" i="18"/>
  <c r="M263" i="28"/>
  <c r="O431" i="18"/>
  <c r="I233" i="18"/>
  <c r="E22" i="18"/>
  <c r="E411" i="18"/>
  <c r="E198" i="28"/>
  <c r="M386" i="18"/>
  <c r="O322" i="18"/>
  <c r="K288" i="18"/>
  <c r="M413" i="18"/>
  <c r="I258" i="18"/>
  <c r="M160" i="18"/>
  <c r="C45" i="28"/>
  <c r="I375" i="28"/>
  <c r="M296" i="18"/>
  <c r="I177" i="28"/>
  <c r="K432" i="28"/>
  <c r="C233" i="28"/>
  <c r="E382" i="18"/>
  <c r="I238" i="28"/>
  <c r="C138" i="18"/>
  <c r="G297" i="28"/>
  <c r="I58" i="18"/>
  <c r="K322" i="28"/>
  <c r="K26" i="18"/>
  <c r="G323" i="18"/>
  <c r="K448" i="18"/>
  <c r="O326" i="28"/>
  <c r="K178" i="28"/>
  <c r="G100" i="28"/>
  <c r="I130" i="28"/>
  <c r="I226" i="28"/>
  <c r="O386" i="28"/>
  <c r="M178" i="28"/>
  <c r="E356" i="18"/>
  <c r="I358" i="18"/>
  <c r="K116" i="28"/>
  <c r="E282" i="18"/>
  <c r="G260" i="18"/>
  <c r="G51" i="18"/>
  <c r="I382" i="18"/>
  <c r="G401" i="28"/>
  <c r="E262" i="28"/>
  <c r="C103" i="18"/>
  <c r="G193" i="18"/>
  <c r="E295" i="18"/>
  <c r="E108" i="28"/>
  <c r="M348" i="28"/>
  <c r="K136" i="28"/>
  <c r="E27" i="28"/>
  <c r="I297" i="28"/>
  <c r="K207" i="18"/>
  <c r="C21" i="18"/>
  <c r="K197" i="18"/>
  <c r="K353" i="28"/>
  <c r="M117" i="28"/>
  <c r="E418" i="18"/>
  <c r="E227" i="18"/>
  <c r="C191" i="28"/>
  <c r="C208" i="18"/>
  <c r="M27" i="18"/>
  <c r="K373" i="28"/>
  <c r="K435" i="18"/>
  <c r="G137" i="28"/>
  <c r="C262" i="28"/>
  <c r="I28" i="18"/>
  <c r="C290" i="18"/>
  <c r="G411" i="18"/>
  <c r="M26" i="28"/>
  <c r="I202" i="28"/>
  <c r="K263" i="28"/>
  <c r="K326" i="28"/>
  <c r="M411" i="18"/>
  <c r="K438" i="18"/>
  <c r="C228" i="18"/>
  <c r="C256" i="28"/>
  <c r="K23" i="28"/>
  <c r="I267" i="18"/>
  <c r="E25" i="28"/>
  <c r="E283" i="28"/>
  <c r="M233" i="18"/>
  <c r="O326" i="18"/>
  <c r="C110" i="18"/>
  <c r="C407" i="28"/>
  <c r="G113" i="28"/>
  <c r="G57" i="18"/>
  <c r="G383" i="28"/>
  <c r="K11" i="18"/>
  <c r="G252" i="28"/>
  <c r="C386" i="28"/>
  <c r="C411" i="18"/>
  <c r="M430" i="28"/>
  <c r="M443" i="28"/>
  <c r="E413" i="18"/>
  <c r="G256" i="28"/>
  <c r="C108" i="28"/>
  <c r="O446" i="18"/>
  <c r="G117" i="28"/>
  <c r="I43" i="18"/>
  <c r="G177" i="18"/>
  <c r="K443" i="28"/>
  <c r="K257" i="28"/>
  <c r="M105" i="18"/>
  <c r="M313" i="18"/>
  <c r="C441" i="28"/>
  <c r="C356" i="18"/>
  <c r="E18" i="18"/>
  <c r="O317" i="28"/>
  <c r="K352" i="28"/>
  <c r="C268" i="18"/>
  <c r="I350" i="18"/>
  <c r="E342" i="18"/>
  <c r="C442" i="28"/>
  <c r="I281" i="18"/>
  <c r="K378" i="28"/>
  <c r="K46" i="28"/>
  <c r="I261" i="18"/>
  <c r="C438" i="28"/>
  <c r="E51" i="18"/>
  <c r="G236" i="28"/>
  <c r="C113" i="18"/>
  <c r="E12" i="18"/>
  <c r="C261" i="28"/>
  <c r="I405" i="18"/>
  <c r="G198" i="18"/>
  <c r="M232" i="18"/>
  <c r="C297" i="28"/>
  <c r="G225" i="28"/>
  <c r="K100" i="28"/>
  <c r="C193" i="28"/>
  <c r="E17" i="18"/>
  <c r="C448" i="28"/>
  <c r="O316" i="28"/>
  <c r="G290" i="28"/>
  <c r="K195" i="28"/>
  <c r="O28" i="18"/>
  <c r="Q28" i="18"/>
  <c r="E230" i="18"/>
  <c r="G53" i="18"/>
  <c r="I10" i="28"/>
  <c r="C43" i="28"/>
  <c r="M340" i="18"/>
  <c r="G136" i="28"/>
  <c r="M388" i="28"/>
  <c r="E115" i="18"/>
  <c r="E131" i="18"/>
  <c r="G25" i="28"/>
  <c r="Q75" i="18"/>
  <c r="K350" i="18"/>
  <c r="K310" i="18"/>
  <c r="G115" i="28"/>
  <c r="C27" i="18"/>
  <c r="I351" i="28"/>
  <c r="K286" i="28"/>
  <c r="K385" i="18"/>
  <c r="M440" i="28"/>
  <c r="I131" i="18"/>
  <c r="K22" i="28"/>
  <c r="C293" i="18"/>
  <c r="K113" i="28"/>
  <c r="C343" i="18"/>
  <c r="C446" i="28"/>
  <c r="E260" i="28"/>
  <c r="I106" i="28"/>
  <c r="C312" i="28"/>
  <c r="I281" i="28"/>
  <c r="M441" i="28"/>
  <c r="K195" i="18"/>
  <c r="M375" i="18"/>
  <c r="K17" i="18"/>
  <c r="G432" i="18"/>
  <c r="E267" i="18"/>
  <c r="E340" i="18"/>
  <c r="G23" i="28"/>
  <c r="K141" i="18"/>
  <c r="M410" i="28"/>
  <c r="G446" i="18"/>
  <c r="C227" i="28"/>
  <c r="G113" i="18"/>
  <c r="C112" i="18"/>
  <c r="M201" i="28"/>
  <c r="K447" i="18"/>
  <c r="C177" i="28"/>
  <c r="K21" i="18"/>
  <c r="E16" i="18"/>
  <c r="E445" i="18"/>
  <c r="M401" i="18"/>
  <c r="K443" i="18"/>
  <c r="E228" i="18"/>
  <c r="I447" i="28"/>
  <c r="M411" i="28"/>
  <c r="G408" i="18"/>
  <c r="I190" i="18"/>
  <c r="G378" i="18"/>
  <c r="I226" i="18"/>
  <c r="M311" i="18"/>
  <c r="I265" i="28"/>
  <c r="O447" i="28"/>
  <c r="I238" i="18"/>
  <c r="G261" i="18"/>
  <c r="I358" i="28"/>
  <c r="E26" i="18"/>
  <c r="M262" i="28"/>
  <c r="G162" i="28"/>
  <c r="E41" i="28"/>
  <c r="E220" i="18"/>
  <c r="I10" i="18"/>
  <c r="M170" i="28"/>
  <c r="G223" i="18"/>
  <c r="M436" i="28"/>
  <c r="O350" i="28"/>
  <c r="G195" i="28"/>
  <c r="K46" i="18"/>
  <c r="Q46" i="18"/>
  <c r="M380" i="28"/>
  <c r="M430" i="18"/>
  <c r="K411" i="18"/>
  <c r="I371" i="28"/>
  <c r="I108" i="18"/>
  <c r="C176" i="28"/>
  <c r="K47" i="28"/>
  <c r="I191" i="28"/>
  <c r="M106" i="18"/>
  <c r="I115" i="18"/>
  <c r="C341" i="18"/>
  <c r="C193" i="18"/>
  <c r="M25" i="18"/>
  <c r="C265" i="28"/>
  <c r="E46" i="28"/>
  <c r="G400" i="18"/>
  <c r="K295" i="28"/>
  <c r="K436" i="18"/>
  <c r="I13" i="18"/>
  <c r="K192" i="18"/>
  <c r="E436" i="18"/>
  <c r="C347" i="18"/>
  <c r="G136" i="18"/>
  <c r="O410" i="28"/>
  <c r="G383" i="18"/>
  <c r="I445" i="28"/>
  <c r="G18" i="28"/>
  <c r="E431" i="18"/>
  <c r="I235" i="18"/>
  <c r="M345" i="18"/>
  <c r="G415" i="18"/>
  <c r="I317" i="18"/>
  <c r="M350" i="18"/>
  <c r="K382" i="18"/>
  <c r="G190" i="28"/>
  <c r="M406" i="18"/>
  <c r="M167" i="28"/>
  <c r="G407" i="28"/>
  <c r="C417" i="18"/>
  <c r="M352" i="28"/>
  <c r="G141" i="18"/>
  <c r="E357" i="28"/>
  <c r="C351" i="28"/>
  <c r="G13" i="28"/>
  <c r="M236" i="18"/>
  <c r="G232" i="28"/>
  <c r="M283" i="28"/>
  <c r="I280" i="28"/>
  <c r="C16" i="28"/>
  <c r="E190" i="18"/>
  <c r="G266" i="18"/>
  <c r="E291" i="18"/>
  <c r="C197" i="28"/>
  <c r="G50" i="18"/>
  <c r="M355" i="18"/>
  <c r="K292" i="18"/>
  <c r="G108" i="28"/>
  <c r="K110" i="28"/>
  <c r="M377" i="18"/>
  <c r="K412" i="18"/>
  <c r="K28" i="28"/>
  <c r="G118" i="28"/>
  <c r="O376" i="28"/>
  <c r="K376" i="28"/>
  <c r="M347" i="18"/>
  <c r="I20" i="18"/>
  <c r="G161" i="18"/>
  <c r="K113" i="18"/>
  <c r="I222" i="18"/>
  <c r="E385" i="18"/>
  <c r="C141" i="28"/>
  <c r="I293" i="18"/>
  <c r="M413" i="28"/>
  <c r="I105" i="28"/>
  <c r="G105" i="28"/>
  <c r="G103" i="18"/>
  <c r="C410" i="28"/>
  <c r="I313" i="18"/>
  <c r="E50" i="28"/>
  <c r="M147" i="28"/>
  <c r="E202" i="18"/>
  <c r="E447" i="28"/>
  <c r="O315" i="28"/>
  <c r="G298" i="18"/>
  <c r="M267" i="28"/>
  <c r="O357" i="28"/>
  <c r="C355" i="18"/>
  <c r="I288" i="28"/>
  <c r="K400" i="28"/>
  <c r="E172" i="18"/>
  <c r="I412" i="18"/>
  <c r="K50" i="28"/>
  <c r="C118" i="28"/>
  <c r="C23" i="29"/>
  <c r="C17" i="29"/>
  <c r="C18" i="29"/>
  <c r="C21" i="29"/>
  <c r="C19" i="29"/>
  <c r="C22" i="29"/>
  <c r="C20" i="29"/>
  <c r="O448" i="18"/>
  <c r="C115" i="18"/>
  <c r="K285" i="18"/>
  <c r="E48" i="18"/>
  <c r="I316" i="18"/>
  <c r="E15" i="18"/>
  <c r="I28" i="28"/>
  <c r="I22" i="28"/>
  <c r="K297" i="18"/>
  <c r="I256" i="18"/>
  <c r="M103" i="18"/>
  <c r="C345" i="18"/>
  <c r="I230" i="28"/>
  <c r="M441" i="18"/>
  <c r="M381" i="18"/>
  <c r="M238" i="18"/>
  <c r="E42" i="18"/>
  <c r="K206" i="28"/>
  <c r="G230" i="18"/>
  <c r="G176" i="18"/>
  <c r="K312" i="18"/>
  <c r="M165" i="18"/>
  <c r="Q70" i="18"/>
  <c r="I318" i="18"/>
  <c r="G110" i="18"/>
  <c r="K203" i="28"/>
  <c r="E350" i="28"/>
  <c r="E57" i="18"/>
  <c r="K103" i="28"/>
  <c r="M315" i="28"/>
  <c r="O433" i="18"/>
  <c r="I251" i="28"/>
  <c r="K23" i="18"/>
  <c r="C257" i="28"/>
  <c r="I227" i="18"/>
  <c r="I40" i="18"/>
  <c r="E112" i="18"/>
  <c r="M253" i="18"/>
  <c r="G17" i="28"/>
  <c r="M372" i="28"/>
  <c r="K375" i="18"/>
  <c r="M382" i="18"/>
  <c r="C322" i="28"/>
  <c r="G440" i="28"/>
  <c r="M375" i="28"/>
  <c r="G235" i="28"/>
  <c r="G298" i="28"/>
  <c r="E173" i="28"/>
  <c r="I172" i="18"/>
  <c r="I143" i="18"/>
  <c r="K162" i="28"/>
  <c r="G257" i="18"/>
  <c r="I227" i="28"/>
  <c r="C58" i="18"/>
  <c r="K201" i="18"/>
  <c r="M266" i="28"/>
  <c r="K251" i="28"/>
  <c r="C252" i="18"/>
  <c r="C282" i="18"/>
  <c r="M162" i="18"/>
  <c r="M443" i="18"/>
  <c r="E101" i="28"/>
  <c r="C198" i="18"/>
  <c r="M203" i="18"/>
  <c r="Q13" i="18"/>
  <c r="O13" i="18"/>
  <c r="I255" i="28"/>
  <c r="O373" i="18"/>
  <c r="E322" i="18"/>
  <c r="E251" i="18"/>
  <c r="C115" i="28"/>
  <c r="E102" i="28"/>
  <c r="M381" i="28"/>
  <c r="G22" i="28"/>
  <c r="K235" i="28"/>
  <c r="M403" i="18"/>
  <c r="M327" i="18"/>
  <c r="M383" i="18"/>
  <c r="I251" i="18"/>
  <c r="G130" i="18"/>
  <c r="M160" i="28"/>
  <c r="E135" i="18"/>
  <c r="I12" i="28"/>
  <c r="E315" i="18"/>
  <c r="M161" i="28"/>
  <c r="E116" i="18"/>
  <c r="O418" i="28"/>
  <c r="I15" i="18"/>
  <c r="O25" i="28"/>
  <c r="E433" i="28"/>
  <c r="E198" i="18"/>
  <c r="K167" i="18"/>
  <c r="O346" i="28"/>
  <c r="O348" i="28"/>
  <c r="E113" i="18"/>
  <c r="I260" i="28"/>
  <c r="I411" i="28"/>
  <c r="I55" i="18"/>
  <c r="C262" i="18"/>
  <c r="G20" i="18"/>
  <c r="E417" i="18"/>
  <c r="G42" i="28"/>
  <c r="G18" i="18"/>
  <c r="K327" i="28"/>
  <c r="C310" i="18"/>
  <c r="E41" i="18"/>
  <c r="C173" i="18"/>
  <c r="E42" i="28"/>
  <c r="E371" i="18"/>
  <c r="M257" i="18"/>
  <c r="G267" i="18"/>
  <c r="E107" i="18"/>
  <c r="E350" i="18"/>
  <c r="C208" i="28"/>
  <c r="K431" i="28"/>
  <c r="E235" i="28"/>
  <c r="I178" i="18"/>
  <c r="C400" i="18"/>
  <c r="I116" i="18"/>
  <c r="C266" i="28"/>
  <c r="C238" i="28"/>
  <c r="M346" i="18"/>
  <c r="K16" i="28"/>
  <c r="I377" i="18"/>
  <c r="C140" i="28"/>
  <c r="E400" i="18"/>
  <c r="C221" i="18"/>
  <c r="G311" i="18"/>
  <c r="Q82" i="18"/>
  <c r="I282" i="18"/>
  <c r="C265" i="18"/>
  <c r="I287" i="18"/>
  <c r="E136" i="18"/>
  <c r="G233" i="28"/>
  <c r="M26" i="18"/>
  <c r="G142" i="18"/>
  <c r="G103" i="28"/>
  <c r="M358" i="28"/>
  <c r="I347" i="18"/>
  <c r="I136" i="18"/>
  <c r="C198" i="28"/>
  <c r="G262" i="28"/>
  <c r="M356" i="28"/>
  <c r="I373" i="18"/>
  <c r="C45" i="18"/>
  <c r="M257" i="28"/>
  <c r="I253" i="28"/>
  <c r="C385" i="18"/>
  <c r="I45" i="28"/>
  <c r="C107" i="28"/>
  <c r="M326" i="18"/>
  <c r="K436" i="28"/>
  <c r="I377" i="28"/>
  <c r="G255" i="28"/>
  <c r="C255" i="28"/>
  <c r="C201" i="18"/>
  <c r="C12" i="28"/>
  <c r="M113" i="28"/>
  <c r="C103" i="28"/>
  <c r="G116" i="28"/>
  <c r="K327" i="18"/>
  <c r="I232" i="18"/>
  <c r="E325" i="18"/>
  <c r="C201" i="28"/>
  <c r="G166" i="28"/>
  <c r="G323" i="28"/>
  <c r="E328" i="28"/>
  <c r="I257" i="18"/>
  <c r="K405" i="28"/>
  <c r="E18" i="28"/>
  <c r="E23" i="18"/>
  <c r="C165" i="28"/>
  <c r="C105" i="28"/>
  <c r="I257" i="28"/>
  <c r="G288" i="28"/>
  <c r="K42" i="28"/>
  <c r="C13" i="28"/>
  <c r="C206" i="28"/>
  <c r="M172" i="18"/>
  <c r="C26" i="28"/>
  <c r="C348" i="18"/>
  <c r="K381" i="28"/>
  <c r="I46" i="28"/>
  <c r="C168" i="18"/>
  <c r="G112" i="28"/>
  <c r="G377" i="18"/>
  <c r="G381" i="18"/>
  <c r="I297" i="18"/>
  <c r="G41" i="28"/>
  <c r="E402" i="18"/>
  <c r="C283" i="28"/>
  <c r="O343" i="28"/>
  <c r="I341" i="18"/>
  <c r="G355" i="18"/>
  <c r="M132" i="28"/>
  <c r="Q12" i="18"/>
  <c r="O12" i="18"/>
  <c r="C412" i="28"/>
  <c r="K25" i="18"/>
  <c r="C408" i="18"/>
  <c r="G221" i="28"/>
  <c r="E110" i="28"/>
  <c r="K202" i="18"/>
  <c r="G407" i="18"/>
  <c r="C447" i="28"/>
  <c r="C206" i="18"/>
  <c r="I387" i="18"/>
  <c r="E43" i="28"/>
  <c r="C402" i="18"/>
  <c r="M15" i="18"/>
  <c r="K375" i="28"/>
  <c r="I100" i="28"/>
  <c r="I350" i="28"/>
  <c r="E147" i="18"/>
  <c r="I343" i="28"/>
  <c r="I383" i="18"/>
  <c r="K173" i="18"/>
  <c r="G373" i="18"/>
  <c r="G237" i="18"/>
  <c r="C51" i="18"/>
  <c r="G161" i="28"/>
  <c r="E105" i="18"/>
  <c r="E401" i="18"/>
  <c r="I147" i="28"/>
  <c r="C222" i="28"/>
  <c r="I192" i="28"/>
  <c r="I265" i="18"/>
  <c r="E100" i="28"/>
  <c r="K103" i="18"/>
  <c r="I21" i="18"/>
  <c r="I408" i="18"/>
  <c r="M261" i="18"/>
  <c r="G446" i="28"/>
  <c r="K400" i="18"/>
  <c r="K438" i="28"/>
  <c r="K377" i="18"/>
  <c r="M176" i="18"/>
  <c r="I322" i="18"/>
  <c r="G251" i="28"/>
  <c r="K12" i="28"/>
  <c r="I373" i="28"/>
  <c r="E442" i="28"/>
  <c r="I52" i="18"/>
  <c r="G24" i="21"/>
  <c r="G18" i="21"/>
  <c r="G21" i="21"/>
  <c r="G20" i="21"/>
  <c r="G23" i="21"/>
  <c r="G22" i="21"/>
  <c r="G19" i="21"/>
  <c r="Q42" i="18"/>
  <c r="K42" i="18"/>
  <c r="I101" i="18"/>
  <c r="I355" i="28"/>
  <c r="E387" i="18"/>
  <c r="G200" i="28"/>
  <c r="I448" i="18"/>
  <c r="O407" i="18"/>
  <c r="Q73" i="18"/>
  <c r="E22" i="29"/>
  <c r="E21" i="29"/>
  <c r="E23" i="29"/>
  <c r="E19" i="29"/>
  <c r="E20" i="29"/>
  <c r="E17" i="29"/>
  <c r="E18" i="29"/>
  <c r="M135" i="28"/>
  <c r="C357" i="18"/>
  <c r="I325" i="18"/>
  <c r="E111" i="18"/>
  <c r="O320" i="18"/>
  <c r="E258" i="18"/>
  <c r="I46" i="18"/>
  <c r="Q80" i="18"/>
  <c r="K225" i="28"/>
  <c r="I353" i="18"/>
  <c r="G322" i="18"/>
  <c r="M195" i="28"/>
  <c r="C25" i="28"/>
  <c r="M230" i="18"/>
  <c r="K230" i="18"/>
  <c r="G448" i="18"/>
  <c r="E358" i="18"/>
  <c r="M143" i="18"/>
  <c r="I53" i="18"/>
  <c r="K401" i="28"/>
  <c r="E167" i="18"/>
  <c r="Q40" i="18"/>
  <c r="K40" i="18"/>
  <c r="E262" i="18"/>
  <c r="M323" i="18"/>
  <c r="M287" i="28"/>
  <c r="O348" i="18"/>
  <c r="C295" i="18"/>
  <c r="M175" i="28"/>
  <c r="M147" i="18"/>
  <c r="G445" i="18"/>
  <c r="G386" i="28"/>
  <c r="E58" i="18"/>
  <c r="K433" i="18"/>
  <c r="C298" i="18"/>
  <c r="G25" i="18"/>
  <c r="E106" i="18"/>
  <c r="O328" i="18"/>
  <c r="G106" i="28"/>
  <c r="K406" i="28"/>
  <c r="K25" i="28"/>
  <c r="M297" i="18"/>
  <c r="Q85" i="18"/>
  <c r="I262" i="18"/>
  <c r="C358" i="18"/>
  <c r="E40" i="18"/>
  <c r="I162" i="28"/>
  <c r="E266" i="28"/>
  <c r="G133" i="28"/>
  <c r="I415" i="18"/>
  <c r="K56" i="28"/>
  <c r="I138" i="28"/>
  <c r="C162" i="28"/>
  <c r="O315" i="18"/>
  <c r="E226" i="28"/>
  <c r="G267" i="28"/>
  <c r="I15" i="28"/>
  <c r="K238" i="18"/>
  <c r="K172" i="28"/>
  <c r="O400" i="18"/>
  <c r="O22" i="28"/>
  <c r="C342" i="28"/>
  <c r="I113" i="28"/>
  <c r="E21" i="21"/>
  <c r="E19" i="21"/>
  <c r="E24" i="21"/>
  <c r="E22" i="21"/>
  <c r="E18" i="21"/>
  <c r="E20" i="21"/>
  <c r="E23" i="21"/>
  <c r="K280" i="28"/>
  <c r="O380" i="18"/>
  <c r="G325" i="18"/>
  <c r="I357" i="18"/>
  <c r="C138" i="28"/>
  <c r="M318" i="28"/>
  <c r="O343" i="18"/>
  <c r="I348" i="18"/>
  <c r="M197" i="28"/>
  <c r="C400" i="28"/>
  <c r="K145" i="18"/>
  <c r="G52" i="18"/>
  <c r="M208" i="18"/>
  <c r="I132" i="28"/>
  <c r="M11" i="28"/>
  <c r="M25" i="28"/>
  <c r="C377" i="18"/>
  <c r="I175" i="28"/>
  <c r="G227" i="28"/>
  <c r="M13" i="28"/>
  <c r="G50" i="28"/>
  <c r="K51" i="18"/>
  <c r="Q51" i="18"/>
  <c r="M317" i="28"/>
  <c r="C200" i="28"/>
  <c r="O410" i="18"/>
  <c r="M387" i="28"/>
  <c r="C260" i="28"/>
  <c r="Q81" i="18"/>
  <c r="E378" i="18"/>
  <c r="E290" i="18"/>
  <c r="M131" i="18"/>
  <c r="G310" i="28"/>
  <c r="I380" i="28"/>
  <c r="E131" i="28"/>
  <c r="G173" i="18"/>
  <c r="I236" i="28"/>
  <c r="I208" i="18"/>
  <c r="E56" i="28"/>
  <c r="K220" i="28"/>
  <c r="K101" i="18"/>
  <c r="M283" i="18"/>
  <c r="K408" i="28"/>
  <c r="G358" i="18"/>
  <c r="E435" i="28"/>
  <c r="M253" i="28"/>
  <c r="K231" i="28"/>
  <c r="C447" i="18"/>
  <c r="M343" i="18"/>
  <c r="E50" i="18"/>
  <c r="E285" i="18"/>
  <c r="G206" i="28"/>
  <c r="K172" i="18"/>
  <c r="G292" i="18"/>
  <c r="G318" i="18"/>
  <c r="C130" i="28"/>
  <c r="G325" i="28"/>
  <c r="M280" i="18"/>
  <c r="G226" i="18"/>
  <c r="O441" i="18"/>
  <c r="G101" i="28"/>
  <c r="M110" i="28"/>
  <c r="C146" i="28"/>
  <c r="M113" i="18"/>
  <c r="K21" i="28"/>
  <c r="E20" i="28"/>
  <c r="G341" i="28"/>
  <c r="I385" i="28"/>
  <c r="E442" i="18"/>
  <c r="I327" i="18"/>
  <c r="E232" i="18"/>
  <c r="M232" i="28"/>
  <c r="K233" i="18"/>
  <c r="I16" i="28"/>
  <c r="E286" i="18"/>
  <c r="E176" i="28"/>
  <c r="I328" i="28"/>
  <c r="I407" i="18"/>
  <c r="K295" i="18"/>
  <c r="O442" i="18"/>
  <c r="K386" i="28"/>
  <c r="K22" i="18"/>
  <c r="O371" i="18"/>
  <c r="K323" i="28"/>
  <c r="C382" i="28"/>
  <c r="K258" i="18"/>
  <c r="M282" i="28"/>
  <c r="G293" i="18"/>
  <c r="I206" i="28"/>
  <c r="K166" i="18"/>
  <c r="O432" i="18"/>
  <c r="G13" i="18"/>
  <c r="G402" i="18"/>
  <c r="K200" i="28"/>
  <c r="G403" i="28"/>
  <c r="E310" i="18"/>
  <c r="M265" i="28"/>
  <c r="G102" i="28"/>
  <c r="I352" i="18"/>
  <c r="E298" i="18"/>
  <c r="E252" i="18"/>
  <c r="K118" i="28"/>
  <c r="G40" i="28"/>
  <c r="G131" i="18"/>
  <c r="I206" i="18"/>
  <c r="E441" i="18"/>
  <c r="I167" i="18"/>
  <c r="C387" i="28"/>
  <c r="E142" i="18"/>
  <c r="C437" i="18"/>
  <c r="K313" i="18"/>
  <c r="I406" i="18"/>
  <c r="K233" i="28"/>
  <c r="M437" i="18"/>
  <c r="C172" i="18"/>
  <c r="G357" i="18"/>
  <c r="E313" i="18"/>
  <c r="G115" i="18"/>
  <c r="K175" i="28"/>
  <c r="M196" i="18"/>
  <c r="G327" i="18"/>
  <c r="C140" i="18"/>
  <c r="G118" i="18"/>
  <c r="M175" i="18"/>
  <c r="E223" i="18"/>
  <c r="E52" i="28"/>
  <c r="C14" i="29"/>
  <c r="C13" i="29"/>
  <c r="C16" i="29"/>
  <c r="C12" i="29"/>
  <c r="C15" i="29"/>
  <c r="C11" i="29"/>
  <c r="C10" i="29"/>
  <c r="M207" i="18"/>
  <c r="E408" i="28"/>
  <c r="M357" i="28"/>
  <c r="G358" i="28"/>
  <c r="K385" i="28"/>
  <c r="G222" i="28"/>
  <c r="O347" i="18"/>
  <c r="G138" i="18"/>
  <c r="G236" i="18"/>
  <c r="G12" i="18"/>
  <c r="I256" i="28"/>
  <c r="C378" i="18"/>
  <c r="M171" i="28"/>
  <c r="Q53" i="18"/>
  <c r="K53" i="18"/>
  <c r="O13" i="28"/>
  <c r="C320" i="18"/>
  <c r="K267" i="28"/>
  <c r="E235" i="18"/>
  <c r="G356" i="18"/>
  <c r="M173" i="18"/>
  <c r="C267" i="28"/>
  <c r="I261" i="28"/>
  <c r="K355" i="18"/>
  <c r="I106" i="18"/>
  <c r="E45" i="18"/>
  <c r="I143" i="28"/>
  <c r="I311" i="18"/>
  <c r="E16" i="28"/>
  <c r="E28" i="18"/>
  <c r="E118" i="18"/>
  <c r="I315" i="28"/>
  <c r="C207" i="28"/>
  <c r="I385" i="18"/>
  <c r="K406" i="18"/>
  <c r="E415" i="28"/>
  <c r="G172" i="18"/>
  <c r="M115" i="28"/>
  <c r="G282" i="28"/>
  <c r="K232" i="28"/>
  <c r="G42" i="18"/>
  <c r="G266" i="28"/>
  <c r="M201" i="18"/>
  <c r="G312" i="28"/>
  <c r="M111" i="18"/>
  <c r="G132" i="18"/>
  <c r="G228" i="28"/>
  <c r="C17" i="28"/>
  <c r="I118" i="18"/>
  <c r="K310" i="28"/>
  <c r="I315" i="18"/>
  <c r="I310" i="28"/>
  <c r="K193" i="28"/>
  <c r="I441" i="28"/>
  <c r="K285" i="28"/>
  <c r="C250" i="18"/>
  <c r="G108" i="18"/>
  <c r="C101" i="18"/>
  <c r="G265" i="28"/>
  <c r="K58" i="28"/>
  <c r="K238" i="28"/>
  <c r="C48" i="28"/>
  <c r="E23" i="28"/>
  <c r="C406" i="18"/>
  <c r="C435" i="18"/>
  <c r="G258" i="28"/>
  <c r="C320" i="28"/>
  <c r="G251" i="18"/>
  <c r="M145" i="18"/>
  <c r="K201" i="28"/>
  <c r="I260" i="18"/>
  <c r="K253" i="28"/>
  <c r="G191" i="28"/>
  <c r="K222" i="18"/>
  <c r="K18" i="18"/>
  <c r="E352" i="28"/>
  <c r="I203" i="18"/>
  <c r="E191" i="18"/>
  <c r="I116" i="28"/>
  <c r="K348" i="28"/>
  <c r="C203" i="28"/>
  <c r="K416" i="18"/>
  <c r="E406" i="18"/>
  <c r="G173" i="28"/>
  <c r="C22" i="18"/>
  <c r="E47" i="18"/>
  <c r="K198" i="18"/>
  <c r="C316" i="28"/>
  <c r="G387" i="18"/>
  <c r="E135" i="28"/>
  <c r="M140" i="28"/>
  <c r="C175" i="28"/>
  <c r="C220" i="18"/>
  <c r="G315" i="28"/>
  <c r="C433" i="18"/>
  <c r="K236" i="18"/>
  <c r="O402" i="28"/>
  <c r="G26" i="18"/>
  <c r="M165" i="28"/>
  <c r="G201" i="18"/>
  <c r="C111" i="18"/>
  <c r="K12" i="18"/>
  <c r="I263" i="18"/>
  <c r="C328" i="18"/>
  <c r="K221" i="18"/>
  <c r="C102" i="28"/>
  <c r="E432" i="28"/>
  <c r="C133" i="28"/>
  <c r="G160" i="18"/>
  <c r="K407" i="28"/>
  <c r="E375" i="18"/>
  <c r="M141" i="18"/>
  <c r="M433" i="28"/>
  <c r="O20" i="18"/>
  <c r="Q20" i="18"/>
  <c r="C203" i="18"/>
  <c r="I146" i="18"/>
  <c r="E281" i="18"/>
  <c r="E168" i="18"/>
  <c r="K116" i="18"/>
  <c r="M351" i="28"/>
  <c r="G431" i="18"/>
  <c r="K250" i="28"/>
  <c r="C291" i="18"/>
  <c r="G172" i="28"/>
  <c r="M221" i="28"/>
  <c r="C20" i="28"/>
  <c r="C406" i="28"/>
  <c r="E288" i="28"/>
  <c r="M418" i="18"/>
  <c r="I291" i="18"/>
  <c r="C116" i="28"/>
  <c r="C386" i="18"/>
  <c r="E320" i="28"/>
  <c r="E385" i="28"/>
  <c r="C46" i="28"/>
  <c r="K412" i="28"/>
  <c r="M12" i="28"/>
  <c r="M195" i="18"/>
  <c r="C387" i="18"/>
  <c r="G312" i="18"/>
  <c r="C403" i="18"/>
  <c r="C250" i="28"/>
  <c r="O401" i="28"/>
  <c r="K222" i="28"/>
  <c r="C160" i="18"/>
  <c r="I173" i="18"/>
  <c r="C432" i="28"/>
  <c r="C173" i="28"/>
  <c r="E343" i="28"/>
  <c r="E40" i="28"/>
  <c r="G316" i="18"/>
  <c r="E21" i="18"/>
  <c r="C162" i="18"/>
  <c r="G46" i="18"/>
  <c r="M340" i="28"/>
  <c r="C166" i="18"/>
  <c r="O372" i="28"/>
  <c r="C282" i="28"/>
  <c r="M387" i="18"/>
  <c r="K260" i="18"/>
  <c r="M168" i="28"/>
  <c r="M137" i="18"/>
  <c r="C236" i="18"/>
  <c r="M320" i="28"/>
  <c r="E57" i="28"/>
  <c r="G237" i="28"/>
  <c r="O26" i="28"/>
  <c r="I416" i="28"/>
  <c r="M412" i="28"/>
  <c r="I255" i="18"/>
  <c r="I327" i="28"/>
  <c r="C295" i="28"/>
  <c r="I11" i="18"/>
  <c r="K371" i="28"/>
  <c r="M445" i="28"/>
  <c r="G171" i="18"/>
  <c r="G343" i="18"/>
  <c r="I191" i="18"/>
  <c r="C145" i="18"/>
  <c r="G403" i="18"/>
  <c r="M383" i="28"/>
  <c r="C283" i="18"/>
  <c r="G192" i="18"/>
  <c r="C220" i="28"/>
  <c r="O441" i="28"/>
  <c r="K286" i="18"/>
  <c r="G387" i="28"/>
  <c r="I280" i="18"/>
  <c r="M227" i="18"/>
  <c r="M133" i="18"/>
  <c r="K445" i="28"/>
  <c r="E113" i="28"/>
  <c r="C350" i="18"/>
  <c r="G438" i="28"/>
  <c r="O325" i="18"/>
  <c r="G283" i="28"/>
  <c r="M437" i="28"/>
  <c r="G13" i="29"/>
  <c r="G15" i="29"/>
  <c r="G16" i="29"/>
  <c r="G14" i="29"/>
  <c r="G11" i="29"/>
  <c r="G10" i="29"/>
  <c r="G12" i="29"/>
  <c r="O375" i="28"/>
  <c r="G146" i="28"/>
  <c r="M107" i="18"/>
  <c r="H18" i="29"/>
  <c r="H17" i="29"/>
  <c r="H23" i="29"/>
  <c r="H20" i="29"/>
  <c r="H19" i="29"/>
  <c r="H22" i="29"/>
  <c r="H21" i="29"/>
  <c r="E203" i="28"/>
  <c r="C47" i="28"/>
  <c r="O400" i="28"/>
  <c r="M295" i="18"/>
  <c r="M231" i="18"/>
  <c r="E147" i="28"/>
  <c r="G258" i="18"/>
  <c r="K115" i="18"/>
  <c r="G27" i="18"/>
  <c r="K105" i="28"/>
  <c r="I383" i="28"/>
  <c r="M328" i="28"/>
  <c r="E371" i="28"/>
  <c r="E402" i="28"/>
  <c r="K446" i="18"/>
  <c r="M228" i="18"/>
  <c r="G378" i="28"/>
  <c r="I410" i="28"/>
  <c r="E268" i="18"/>
  <c r="M168" i="18"/>
  <c r="G231" i="28"/>
  <c r="Q71" i="18"/>
  <c r="C257" i="18"/>
  <c r="G133" i="18"/>
  <c r="M238" i="28"/>
  <c r="K118" i="18"/>
  <c r="C356" i="28"/>
  <c r="K413" i="28"/>
  <c r="K347" i="18"/>
  <c r="K340" i="28"/>
  <c r="Q8" i="18"/>
  <c r="C192" i="28"/>
  <c r="G46" i="28"/>
  <c r="K381" i="18"/>
  <c r="G287" i="18"/>
  <c r="E287" i="28"/>
  <c r="C352" i="28"/>
  <c r="M252" i="18"/>
  <c r="E293" i="18"/>
  <c r="G317" i="18"/>
  <c r="M230" i="28"/>
  <c r="C263" i="28"/>
  <c r="I171" i="28"/>
  <c r="G197" i="28"/>
  <c r="C130" i="18"/>
  <c r="G286" i="28"/>
  <c r="I231" i="18"/>
  <c r="C408" i="28"/>
  <c r="E116" i="28"/>
  <c r="M405" i="18"/>
  <c r="E176" i="18"/>
  <c r="I296" i="18"/>
  <c r="E433" i="18"/>
  <c r="M101" i="28"/>
  <c r="G293" i="28"/>
  <c r="E297" i="18"/>
  <c r="G168" i="18"/>
  <c r="I342" i="18"/>
  <c r="G377" i="28"/>
  <c r="K280" i="18"/>
  <c r="G448" i="28"/>
  <c r="C327" i="18"/>
  <c r="C281" i="28"/>
  <c r="E225" i="18"/>
  <c r="G350" i="28"/>
  <c r="K378" i="18"/>
  <c r="G107" i="28"/>
  <c r="C52" i="18"/>
  <c r="M237" i="18"/>
  <c r="I258" i="28"/>
  <c r="O23" i="28"/>
  <c r="K342" i="18"/>
  <c r="C448" i="18"/>
  <c r="G348" i="18"/>
  <c r="M435" i="18"/>
  <c r="F23" i="29"/>
  <c r="F21" i="29"/>
  <c r="F19" i="29"/>
  <c r="F17" i="29"/>
  <c r="F22" i="29"/>
  <c r="F18" i="29"/>
  <c r="F20" i="29"/>
  <c r="E143" i="28"/>
  <c r="I346" i="18"/>
  <c r="K370" i="28"/>
  <c r="G321" i="28"/>
  <c r="G385" i="28"/>
  <c r="E317" i="18"/>
  <c r="M345" i="28"/>
  <c r="E256" i="28"/>
  <c r="I402" i="28"/>
  <c r="G406" i="18"/>
  <c r="I50" i="18"/>
  <c r="K102" i="28"/>
  <c r="I252" i="28"/>
  <c r="I295" i="28"/>
  <c r="C313" i="28"/>
  <c r="E431" i="28"/>
  <c r="E388" i="28"/>
  <c r="I40" i="28"/>
  <c r="E171" i="28"/>
  <c r="I432" i="28"/>
  <c r="C233" i="18"/>
  <c r="M17" i="28"/>
  <c r="C111" i="28"/>
  <c r="O27" i="28"/>
  <c r="O311" i="18"/>
  <c r="C146" i="18"/>
  <c r="K27" i="28"/>
  <c r="K298" i="28"/>
  <c r="I312" i="28"/>
  <c r="K132" i="28"/>
  <c r="I287" i="28"/>
  <c r="I343" i="18"/>
  <c r="O408" i="18"/>
  <c r="I266" i="18"/>
  <c r="K160" i="18"/>
  <c r="E342" i="28"/>
  <c r="C418" i="18"/>
  <c r="G43" i="18"/>
  <c r="C413" i="28"/>
  <c r="E165" i="28"/>
  <c r="I117" i="18"/>
  <c r="K403" i="18"/>
  <c r="M448" i="28"/>
  <c r="C345" i="28"/>
  <c r="I161" i="28"/>
  <c r="E53" i="28"/>
  <c r="H16" i="29"/>
  <c r="H13" i="29"/>
  <c r="H12" i="29"/>
  <c r="H14" i="29"/>
  <c r="H10" i="29"/>
  <c r="H15" i="29"/>
  <c r="H11" i="29"/>
  <c r="E171" i="18"/>
  <c r="I195" i="18"/>
  <c r="M357" i="18"/>
  <c r="E443" i="18"/>
  <c r="K442" i="28"/>
  <c r="K351" i="18"/>
  <c r="M143" i="28"/>
  <c r="Q11" i="18"/>
  <c r="O11" i="18"/>
  <c r="K251" i="18"/>
  <c r="I326" i="28"/>
  <c r="O413" i="28"/>
  <c r="I57" i="28"/>
  <c r="E21" i="28"/>
  <c r="G208" i="18"/>
  <c r="O406" i="18"/>
  <c r="E177" i="28"/>
  <c r="M313" i="28"/>
  <c r="G268" i="28"/>
  <c r="E430" i="28"/>
  <c r="K255" i="18"/>
  <c r="E356" i="28"/>
  <c r="Q25" i="18"/>
  <c r="O25" i="18"/>
  <c r="I48" i="28"/>
  <c r="M358" i="18"/>
  <c r="P20" i="21"/>
  <c r="P24" i="21"/>
  <c r="P23" i="21"/>
  <c r="P19" i="21"/>
  <c r="P21" i="21"/>
  <c r="P22" i="21"/>
  <c r="P18" i="21"/>
  <c r="K433" i="28"/>
  <c r="K141" i="28"/>
  <c r="I445" i="18"/>
  <c r="M20" i="18"/>
  <c r="G315" i="18"/>
  <c r="M116" i="18"/>
  <c r="K165" i="18"/>
  <c r="M372" i="18"/>
  <c r="K318" i="28"/>
  <c r="C443" i="28"/>
  <c r="I432" i="18"/>
  <c r="E296" i="18"/>
  <c r="E446" i="28"/>
  <c r="I282" i="28"/>
  <c r="C352" i="18"/>
  <c r="O383" i="18"/>
  <c r="I352" i="28"/>
  <c r="I388" i="18"/>
  <c r="K27" i="18"/>
  <c r="I370" i="28"/>
  <c r="K340" i="18"/>
  <c r="C321" i="18"/>
  <c r="I173" i="28"/>
  <c r="G10" i="28"/>
  <c r="C137" i="18"/>
  <c r="M131" i="28"/>
  <c r="E286" i="28"/>
  <c r="I55" i="28"/>
  <c r="C20" i="18"/>
  <c r="E56" i="18"/>
  <c r="E51" i="28"/>
  <c r="M438" i="28"/>
  <c r="K403" i="28"/>
  <c r="G190" i="18"/>
  <c r="G388" i="28"/>
  <c r="I431" i="18"/>
  <c r="G313" i="28"/>
  <c r="I27" i="28"/>
  <c r="C382" i="18"/>
  <c r="M226" i="28"/>
  <c r="K418" i="28"/>
  <c r="C357" i="28"/>
  <c r="M22" i="28"/>
  <c r="K317" i="18"/>
  <c r="Q83" i="18"/>
  <c r="I402" i="18"/>
  <c r="K315" i="28"/>
  <c r="E381" i="18"/>
  <c r="E437" i="28"/>
  <c r="I372" i="18"/>
  <c r="K380" i="18"/>
  <c r="C401" i="18"/>
  <c r="E327" i="18"/>
  <c r="E321" i="18"/>
  <c r="E326" i="18"/>
  <c r="G197" i="18"/>
  <c r="I110" i="28"/>
  <c r="M203" i="28"/>
  <c r="K252" i="18"/>
  <c r="E263" i="28"/>
  <c r="M192" i="28"/>
  <c r="K317" i="28"/>
  <c r="K316" i="18"/>
  <c r="I115" i="28"/>
  <c r="O438" i="28"/>
  <c r="I292" i="28"/>
  <c r="G162" i="18"/>
  <c r="K261" i="28"/>
  <c r="G382" i="28"/>
  <c r="K377" i="28"/>
  <c r="K292" i="28"/>
  <c r="I118" i="28"/>
  <c r="G201" i="28"/>
  <c r="M16" i="28"/>
  <c r="G112" i="18"/>
  <c r="O16" i="18"/>
  <c r="Q16" i="18"/>
  <c r="I140" i="28"/>
  <c r="C195" i="28"/>
  <c r="E347" i="28"/>
  <c r="I220" i="28"/>
  <c r="G21" i="28"/>
  <c r="G207" i="18"/>
  <c r="I342" i="28"/>
  <c r="M260" i="18"/>
  <c r="E353" i="28"/>
  <c r="E141" i="18"/>
  <c r="E406" i="28"/>
  <c r="E407" i="28"/>
  <c r="M287" i="18"/>
  <c r="K137" i="18"/>
  <c r="C223" i="28"/>
  <c r="I161" i="18"/>
  <c r="E381" i="28"/>
  <c r="G443" i="18"/>
  <c r="C15" i="18"/>
  <c r="M193" i="18"/>
  <c r="K430" i="18"/>
  <c r="M412" i="18"/>
  <c r="E257" i="18"/>
  <c r="I355" i="18"/>
  <c r="C445" i="18"/>
  <c r="E380" i="18"/>
  <c r="K322" i="18"/>
  <c r="I142" i="28"/>
  <c r="G290" i="18"/>
  <c r="M237" i="28"/>
  <c r="G48" i="28"/>
  <c r="M256" i="18"/>
  <c r="M135" i="18"/>
  <c r="C280" i="18"/>
  <c r="O327" i="28"/>
  <c r="G442" i="28"/>
  <c r="M222" i="18"/>
  <c r="C10" i="28"/>
  <c r="G288" i="18"/>
  <c r="K223" i="18"/>
  <c r="E412" i="28"/>
  <c r="E352" i="18"/>
  <c r="K407" i="18"/>
  <c r="K430" i="28"/>
  <c r="M166" i="28"/>
  <c r="E415" i="18"/>
  <c r="G435" i="28"/>
  <c r="M298" i="28"/>
  <c r="C415" i="28"/>
  <c r="C263" i="18"/>
  <c r="C235" i="18"/>
  <c r="C235" i="28"/>
  <c r="E370" i="28"/>
  <c r="K130" i="28"/>
  <c r="E25" i="18"/>
  <c r="K237" i="28"/>
  <c r="I311" i="28"/>
  <c r="I166" i="28"/>
  <c r="M325" i="28"/>
  <c r="K347" i="28"/>
  <c r="K146" i="18"/>
  <c r="E177" i="18"/>
  <c r="M251" i="28"/>
  <c r="G55" i="28"/>
  <c r="O448" i="28"/>
  <c r="E318" i="28"/>
  <c r="I310" i="18"/>
  <c r="I130" i="18"/>
  <c r="I446" i="28"/>
  <c r="K197" i="28"/>
  <c r="I357" i="28"/>
  <c r="K15" i="28"/>
  <c r="M198" i="18"/>
  <c r="E252" i="28"/>
  <c r="K168" i="28"/>
  <c r="O440" i="28"/>
  <c r="G250" i="18"/>
  <c r="C401" i="28"/>
  <c r="K138" i="28"/>
  <c r="E112" i="28"/>
  <c r="M23" i="28"/>
  <c r="M205" i="28"/>
  <c r="M221" i="18"/>
  <c r="I320" i="18"/>
  <c r="E292" i="18"/>
  <c r="M296" i="28"/>
  <c r="E268" i="28"/>
  <c r="C108" i="18"/>
  <c r="M286" i="28"/>
  <c r="E383" i="18"/>
  <c r="I388" i="28"/>
  <c r="G16" i="28"/>
  <c r="O370" i="28"/>
  <c r="K266" i="28"/>
  <c r="C376" i="28"/>
  <c r="E413" i="28"/>
  <c r="I21" i="21"/>
  <c r="I19" i="21"/>
  <c r="I23" i="21"/>
  <c r="I18" i="21"/>
  <c r="I20" i="21"/>
  <c r="I22" i="21"/>
  <c r="I24" i="21"/>
  <c r="G58" i="18"/>
  <c r="M190" i="18"/>
  <c r="C106" i="28"/>
  <c r="K442" i="18"/>
  <c r="K10" i="28"/>
  <c r="G116" i="18"/>
  <c r="C403" i="28"/>
  <c r="M233" i="28"/>
  <c r="E106" i="28"/>
  <c r="G353" i="18"/>
  <c r="M208" i="28"/>
  <c r="I263" i="28"/>
  <c r="O430" i="28"/>
  <c r="G341" i="18"/>
  <c r="I408" i="28"/>
  <c r="C348" i="28"/>
  <c r="G346" i="18"/>
  <c r="C341" i="28"/>
  <c r="E132" i="18"/>
  <c r="K316" i="28"/>
  <c r="E282" i="28"/>
  <c r="I26" i="18"/>
  <c r="O418" i="18"/>
  <c r="I228" i="18"/>
  <c r="C221" i="28"/>
  <c r="K192" i="28"/>
  <c r="G12" i="28"/>
  <c r="K356" i="18"/>
  <c r="M116" i="28"/>
  <c r="I436" i="18"/>
  <c r="K373" i="18"/>
  <c r="K323" i="18"/>
  <c r="C22" i="28"/>
  <c r="C297" i="18"/>
  <c r="M200" i="18"/>
  <c r="E10" i="29"/>
  <c r="E13" i="29"/>
  <c r="E15" i="29"/>
  <c r="E11" i="29"/>
  <c r="E16" i="29"/>
  <c r="E14" i="29"/>
  <c r="E12" i="29"/>
  <c r="C292" i="28"/>
  <c r="G23" i="18"/>
  <c r="I197" i="18"/>
  <c r="I190" i="28"/>
  <c r="C131" i="18"/>
  <c r="E118" i="28"/>
  <c r="I376" i="18"/>
  <c r="G165" i="18"/>
  <c r="C296" i="18"/>
  <c r="I51" i="28"/>
  <c r="E418" i="28"/>
  <c r="K230" i="28"/>
  <c r="G376" i="18"/>
  <c r="K11" i="28"/>
  <c r="K10" i="18"/>
  <c r="E377" i="18"/>
  <c r="C286" i="28"/>
  <c r="K402" i="18"/>
  <c r="E265" i="18"/>
  <c r="M348" i="18"/>
  <c r="C50" i="18"/>
  <c r="G226" i="28"/>
  <c r="M382" i="28"/>
  <c r="M102" i="18"/>
  <c r="K133" i="18"/>
  <c r="M176" i="28"/>
  <c r="G178" i="18"/>
  <c r="K321" i="28"/>
  <c r="M107" i="28"/>
  <c r="O311" i="28"/>
  <c r="Q38" i="18"/>
  <c r="G371" i="18"/>
  <c r="G283" i="18"/>
  <c r="M380" i="18"/>
  <c r="K166" i="28"/>
  <c r="M255" i="28"/>
  <c r="I135" i="18"/>
  <c r="K138" i="18"/>
  <c r="M177" i="28"/>
  <c r="M415" i="18"/>
  <c r="E321" i="28"/>
  <c r="E197" i="18"/>
  <c r="I25" i="18"/>
  <c r="I117" i="28"/>
  <c r="C445" i="28"/>
  <c r="C442" i="18"/>
  <c r="M446" i="28"/>
  <c r="E238" i="18"/>
  <c r="K283" i="18"/>
  <c r="E446" i="18"/>
  <c r="C148" i="28"/>
  <c r="K318" i="18"/>
  <c r="I110" i="18"/>
  <c r="C231" i="28"/>
  <c r="K170" i="28"/>
  <c r="C196" i="18"/>
  <c r="K388" i="28"/>
  <c r="K326" i="18"/>
  <c r="K296" i="18"/>
  <c r="E266" i="18"/>
  <c r="E111" i="28"/>
  <c r="O405" i="18"/>
  <c r="K342" i="28"/>
  <c r="I233" i="28"/>
  <c r="O388" i="28"/>
  <c r="M403" i="28"/>
  <c r="K291" i="28"/>
  <c r="G167" i="18"/>
  <c r="M235" i="18"/>
  <c r="C17" i="18"/>
  <c r="G253" i="18"/>
  <c r="G447" i="28"/>
  <c r="M448" i="18"/>
  <c r="C143" i="28"/>
  <c r="M402" i="18"/>
  <c r="K250" i="18"/>
  <c r="G230" i="28"/>
  <c r="M432" i="18"/>
  <c r="K177" i="28"/>
  <c r="G135" i="18"/>
  <c r="G373" i="28"/>
  <c r="G281" i="28"/>
  <c r="I370" i="18"/>
  <c r="E178" i="28"/>
  <c r="G445" i="28"/>
  <c r="E250" i="18"/>
  <c r="K353" i="18"/>
  <c r="M108" i="18"/>
  <c r="O437" i="18"/>
  <c r="C41" i="18"/>
  <c r="E386" i="18"/>
  <c r="K268" i="28"/>
  <c r="G106" i="18"/>
  <c r="O385" i="18"/>
  <c r="O375" i="18"/>
  <c r="G170" i="18"/>
  <c r="M401" i="28"/>
  <c r="G432" i="28"/>
  <c r="K325" i="28"/>
  <c r="E190" i="28"/>
  <c r="O351" i="18"/>
  <c r="M342" i="28"/>
  <c r="K52" i="18"/>
  <c r="Q52" i="18"/>
  <c r="C321" i="28"/>
  <c r="C132" i="28"/>
  <c r="C380" i="28"/>
  <c r="I16" i="18"/>
  <c r="E130" i="18"/>
  <c r="E323" i="28"/>
  <c r="C343" i="28"/>
  <c r="M223" i="28"/>
  <c r="I177" i="18"/>
  <c r="C372" i="18"/>
  <c r="O10" i="28"/>
  <c r="I345" i="28"/>
  <c r="K261" i="18"/>
  <c r="M388" i="18"/>
  <c r="E45" i="28"/>
  <c r="C253" i="28"/>
  <c r="E208" i="18"/>
  <c r="M406" i="28"/>
  <c r="Q26" i="18"/>
  <c r="O26" i="18"/>
  <c r="Q20" i="21"/>
  <c r="Q22" i="21"/>
  <c r="Q23" i="21"/>
  <c r="Q18" i="21"/>
  <c r="Q24" i="21"/>
  <c r="Q19" i="21"/>
  <c r="Q21" i="21"/>
  <c r="K196" i="18"/>
  <c r="G220" i="18"/>
  <c r="I290" i="18"/>
  <c r="M15" i="28"/>
  <c r="E208" i="28"/>
  <c r="C402" i="28"/>
  <c r="G262" i="18"/>
  <c r="M442" i="18"/>
  <c r="G140" i="18"/>
  <c r="E441" i="28"/>
  <c r="K26" i="28"/>
  <c r="C176" i="18"/>
  <c r="M321" i="18"/>
  <c r="K17" i="28"/>
  <c r="M146" i="28"/>
  <c r="I140" i="18"/>
  <c r="C418" i="28"/>
  <c r="M356" i="18"/>
  <c r="E310" i="28"/>
  <c r="C15" i="28"/>
  <c r="M258" i="28"/>
  <c r="O443" i="28"/>
  <c r="M385" i="18"/>
  <c r="M178" i="18"/>
  <c r="I205" i="18"/>
  <c r="I103" i="18"/>
  <c r="I326" i="18"/>
  <c r="K205" i="18"/>
  <c r="G195" i="18"/>
  <c r="K287" i="28"/>
  <c r="K142" i="28"/>
  <c r="I441" i="18"/>
  <c r="C437" i="28"/>
  <c r="C28" i="18"/>
  <c r="C407" i="18"/>
  <c r="I283" i="18"/>
  <c r="G442" i="18"/>
  <c r="G26" i="28"/>
  <c r="G227" i="18"/>
  <c r="G320" i="18"/>
  <c r="O411" i="28"/>
  <c r="G45" i="18"/>
  <c r="E197" i="28"/>
  <c r="M170" i="18"/>
  <c r="E260" i="18"/>
  <c r="K357" i="28"/>
  <c r="K410" i="18"/>
  <c r="C226" i="28"/>
  <c r="O438" i="18"/>
  <c r="O416" i="18"/>
  <c r="K320" i="28"/>
  <c r="K43" i="28"/>
  <c r="I41" i="18"/>
  <c r="K267" i="18"/>
  <c r="C412" i="18"/>
  <c r="K137" i="28"/>
  <c r="I382" i="28"/>
  <c r="G322" i="28"/>
  <c r="K167" i="28"/>
  <c r="E325" i="28"/>
  <c r="I401" i="18"/>
  <c r="G102" i="18"/>
  <c r="M12" i="18"/>
  <c r="C411" i="28"/>
  <c r="O13" i="29"/>
  <c r="O14" i="29"/>
  <c r="O12" i="29"/>
  <c r="O15" i="29"/>
  <c r="O16" i="29"/>
  <c r="O11" i="29"/>
  <c r="O10" i="29"/>
  <c r="E130" i="28"/>
  <c r="K311" i="18"/>
  <c r="I163" i="28"/>
  <c r="K15" i="18"/>
  <c r="G192" i="28"/>
  <c r="C145" i="28"/>
  <c r="O352" i="28"/>
  <c r="E132" i="28"/>
  <c r="C312" i="18"/>
  <c r="G410" i="28"/>
  <c r="K176" i="18"/>
  <c r="E258" i="28"/>
  <c r="E345" i="18"/>
  <c r="C167" i="18"/>
  <c r="C291" i="28"/>
  <c r="C230" i="18"/>
  <c r="G147" i="28"/>
  <c r="I26" i="28"/>
</calcChain>
</file>

<file path=xl/comments1.xml><?xml version="1.0" encoding="utf-8"?>
<comments xmlns="http://schemas.openxmlformats.org/spreadsheetml/2006/main">
  <authors>
    <author>Lee, Cynthia M.</author>
    <author>Lisa Cowan</author>
    <author>jmarks</author>
    <author>adiaz</author>
  </authors>
  <commentList>
    <comment ref="B166" authorId="0">
      <text>
        <r>
          <rPr>
            <b/>
            <sz val="8"/>
            <color indexed="81"/>
            <rFont val="Tahoma"/>
            <family val="2"/>
          </rPr>
          <t>Lee, Cynthia M.:</t>
        </r>
        <r>
          <rPr>
            <sz val="8"/>
            <color indexed="81"/>
            <rFont val="Tahoma"/>
            <family val="2"/>
          </rPr>
          <t xml:space="preserve">
DeKalb was renamed to Georgia Piedmont as of 10/1/11</t>
        </r>
      </text>
    </comment>
    <comment ref="BU181" authorId="1">
      <text>
        <r>
          <rPr>
            <b/>
            <sz val="8"/>
            <color indexed="81"/>
            <rFont val="Tahoma"/>
            <family val="2"/>
          </rPr>
          <t>Lisa Cowan:</t>
        </r>
        <r>
          <rPr>
            <sz val="8"/>
            <color indexed="81"/>
            <rFont val="Tahoma"/>
            <family val="2"/>
          </rPr>
          <t xml:space="preserve">
Weighted average of Heart of Georgia and Sandersville</t>
        </r>
      </text>
    </comment>
    <comment ref="A303" authorId="2">
      <text>
        <r>
          <rPr>
            <b/>
            <sz val="10"/>
            <color indexed="81"/>
            <rFont val="Tahoma"/>
            <family val="2"/>
          </rPr>
          <t xml:space="preserve">jmarks: </t>
        </r>
        <r>
          <rPr>
            <sz val="10"/>
            <color indexed="81"/>
            <rFont val="Tahoma"/>
            <family val="2"/>
          </rPr>
          <t>General note for all NC CCs: Beginning with the 2010-11 classfication new formulae were used to more accurately account for courses using contact hours rather than credit hours. The overall effect is to lower the calculated credit hour count and thus the FTE counts. This is, in effect, a recalibration and a number of instutitons have been reclassified as a result.</t>
        </r>
      </text>
    </comment>
    <comment ref="AJ303" authorId="3">
      <text>
        <r>
          <rPr>
            <b/>
            <sz val="8"/>
            <color indexed="81"/>
            <rFont val="Tahoma"/>
            <family val="2"/>
          </rPr>
          <t>Faculty Salary:  Three colleges had very large increases.  I checked with these colleges and they restructured their faculty salary plan and moved everyone from 11-12 month contracts to 9 month contracts and kept their salaries the same.  The colleges were determined to increase their average closer to the national average.  The figures are legitimate.  Those colleges were Catawba Valley CC, Martin CC, and McDowell CC.</t>
        </r>
      </text>
    </comment>
    <comment ref="AD516" authorId="2">
      <text>
        <r>
          <rPr>
            <b/>
            <sz val="9"/>
            <color indexed="81"/>
            <rFont val="Tahoma"/>
            <family val="2"/>
          </rPr>
          <t>jmarks:</t>
        </r>
        <r>
          <rPr>
            <sz val="9"/>
            <color indexed="81"/>
            <rFont val="Tahoma"/>
            <family val="2"/>
          </rPr>
          <t xml:space="preserve">
</t>
        </r>
        <r>
          <rPr>
            <b/>
            <sz val="11"/>
            <color indexed="10"/>
            <rFont val="Tahoma"/>
            <family val="2"/>
          </rPr>
          <t>Revised calculations based on original to right of database.</t>
        </r>
      </text>
    </comment>
  </commentList>
</comments>
</file>

<file path=xl/sharedStrings.xml><?xml version="1.0" encoding="utf-8"?>
<sst xmlns="http://schemas.openxmlformats.org/spreadsheetml/2006/main" count="4834" uniqueCount="1089">
  <si>
    <t>NOT A Review Table</t>
  </si>
  <si>
    <t>University of Arkansas at Fort Smith</t>
  </si>
  <si>
    <t>9-10 month</t>
  </si>
  <si>
    <t>Unranked/Other</t>
  </si>
  <si>
    <t>Georgia*</t>
  </si>
  <si>
    <t>Old All Ranks</t>
  </si>
  <si>
    <t>% change</t>
  </si>
  <si>
    <t>Sub-total</t>
  </si>
  <si>
    <t>Technical Institute or College 1</t>
  </si>
  <si>
    <t>Technical Institute or College 2</t>
  </si>
  <si>
    <t>All Technical Institutes or Colleges</t>
  </si>
  <si>
    <t>Grand Total</t>
  </si>
  <si>
    <t>Data</t>
  </si>
  <si>
    <t xml:space="preserve"> Tot # Asc. Prof New</t>
  </si>
  <si>
    <t xml:space="preserve"> Old Prof avg</t>
  </si>
  <si>
    <t>Total  Old Prof avg</t>
  </si>
  <si>
    <t xml:space="preserve"> New Prof avg</t>
  </si>
  <si>
    <t>Total  New Prof avg</t>
  </si>
  <si>
    <t xml:space="preserve"> % change Prof</t>
  </si>
  <si>
    <t>Total  % change Prof</t>
  </si>
  <si>
    <t xml:space="preserve"> Old Asc. avg</t>
  </si>
  <si>
    <t>Total  Old Asc. avg</t>
  </si>
  <si>
    <t xml:space="preserve"> New Asc. avg</t>
  </si>
  <si>
    <t>Total  New Asc. avg</t>
  </si>
  <si>
    <t xml:space="preserve"> % change Asc. Prof</t>
  </si>
  <si>
    <t>Total  % change Asc. Prof</t>
  </si>
  <si>
    <t xml:space="preserve"> Old Ast. avg</t>
  </si>
  <si>
    <t>Total  Old Ast. avg</t>
  </si>
  <si>
    <t xml:space="preserve"> New Ast. avg</t>
  </si>
  <si>
    <t>Total  New Ast. avg</t>
  </si>
  <si>
    <t xml:space="preserve"> % change Ast. Prof</t>
  </si>
  <si>
    <t>Total  % change Ast. Prof</t>
  </si>
  <si>
    <t xml:space="preserve"> Old Inst. avg</t>
  </si>
  <si>
    <t>Total  Old Inst. avg</t>
  </si>
  <si>
    <t xml:space="preserve"> New Inst. avg</t>
  </si>
  <si>
    <t>Total  New Inst. avg</t>
  </si>
  <si>
    <t xml:space="preserve"> % change Instr avg</t>
  </si>
  <si>
    <t>Total  % change Instr avg</t>
  </si>
  <si>
    <t xml:space="preserve"> Old Undesg. avg</t>
  </si>
  <si>
    <t>Total  Old Undesg. avg</t>
  </si>
  <si>
    <t xml:space="preserve"> New Undesg. avg</t>
  </si>
  <si>
    <t>Total  New Undesg. avg</t>
  </si>
  <si>
    <t xml:space="preserve"> % change Undesg avg</t>
  </si>
  <si>
    <t>Total  % change Undesg avg</t>
  </si>
  <si>
    <t xml:space="preserve"> Old Single Rnk avg</t>
  </si>
  <si>
    <t>Total  Old Single Rnk avg</t>
  </si>
  <si>
    <t xml:space="preserve"> New Single Rnk avg</t>
  </si>
  <si>
    <t>Total  New Single Rnk avg</t>
  </si>
  <si>
    <t xml:space="preserve"> % change Single Rnk avg</t>
  </si>
  <si>
    <t>Total  % change Single Rnk avg</t>
  </si>
  <si>
    <t xml:space="preserve"> Old All Ranks avg</t>
  </si>
  <si>
    <t>Total  Old All Ranks avg</t>
  </si>
  <si>
    <t xml:space="preserve"> New All Ranks avg</t>
  </si>
  <si>
    <t>Total  New All Ranks avg</t>
  </si>
  <si>
    <t xml:space="preserve"> % change All Ranks avg</t>
  </si>
  <si>
    <t>Total  % change All Ranks avg</t>
  </si>
  <si>
    <t>Category2</t>
  </si>
  <si>
    <t>Technical Institutes</t>
  </si>
  <si>
    <t xml:space="preserve"> Total # Prof New</t>
  </si>
  <si>
    <t>Total  Total # Prof New</t>
  </si>
  <si>
    <t>Total  Tot # Asc. Prof New</t>
  </si>
  <si>
    <t xml:space="preserve"> Tot # Ast. Prof New</t>
  </si>
  <si>
    <t>Total  Tot # Ast. Prof New</t>
  </si>
  <si>
    <t xml:space="preserve"> Tot # Instr. New</t>
  </si>
  <si>
    <t>Total  Tot # Instr. New</t>
  </si>
  <si>
    <t xml:space="preserve"> Tot # Undes. New</t>
  </si>
  <si>
    <t>Total  Tot # Undes. New</t>
  </si>
  <si>
    <t xml:space="preserve"> Tot # Single Rnk New</t>
  </si>
  <si>
    <t>Total  Tot # Single Rnk New</t>
  </si>
  <si>
    <t xml:space="preserve"> All Ranks # New</t>
  </si>
  <si>
    <t>Total  All Ranks # New</t>
  </si>
  <si>
    <t>with Bach- elor's</t>
  </si>
  <si>
    <t>size un- known</t>
  </si>
  <si>
    <t>Two-Year with Bachelor's</t>
  </si>
  <si>
    <t>Two-Year 3</t>
  </si>
  <si>
    <t>All Two-Year</t>
  </si>
  <si>
    <t>LA</t>
  </si>
  <si>
    <t>TX</t>
  </si>
  <si>
    <t>TN</t>
  </si>
  <si>
    <t>OK</t>
  </si>
  <si>
    <t>[combined 9/10-month and 11/12-month contract groups]</t>
  </si>
  <si>
    <t>Percent</t>
  </si>
  <si>
    <t>Single Rank</t>
  </si>
  <si>
    <t>Other</t>
  </si>
  <si>
    <t>All Ranks</t>
  </si>
  <si>
    <t>SREB</t>
  </si>
  <si>
    <t>Four-Year</t>
  </si>
  <si>
    <t>Two-Year</t>
  </si>
  <si>
    <t>All 4-Yr</t>
  </si>
  <si>
    <t>Undesignated/</t>
  </si>
  <si>
    <t>Product</t>
  </si>
  <si>
    <t>Notes: Salaries reported as 11-12 month appointments have been converted to 9-10 month equivalence by reducing the reported amounts by 2/11. States with distinct 10, 11 and 12 month appointments have been converted by reducing the amounts by 1/10, 2/11 and 3/12 respectively.</t>
  </si>
  <si>
    <t xml:space="preserve">Notes: Salaries reported as 11-12 month appointments have been converted to 9-10 month equivalence by reducing the reported amounts by 2/11. States with distinct 10, 11 and 12 month appointments have been converted by reducing the amounts by 1/10, 2/11 and 3/12 respectively. </t>
  </si>
  <si>
    <t>Institution</t>
  </si>
  <si>
    <t>ID #</t>
  </si>
  <si>
    <t>Category</t>
  </si>
  <si>
    <t>Number</t>
  </si>
  <si>
    <t>AL</t>
  </si>
  <si>
    <t>State</t>
  </si>
  <si>
    <t>Professor</t>
  </si>
  <si>
    <t>Associate Professor</t>
  </si>
  <si>
    <t>Assistant Professor</t>
  </si>
  <si>
    <t>Instructor</t>
  </si>
  <si>
    <t>Average</t>
  </si>
  <si>
    <t>Salary</t>
  </si>
  <si>
    <t>AR</t>
  </si>
  <si>
    <t>DE</t>
  </si>
  <si>
    <t>MD</t>
  </si>
  <si>
    <t>MS</t>
  </si>
  <si>
    <t>NC</t>
  </si>
  <si>
    <t>WV</t>
  </si>
  <si>
    <t>VA</t>
  </si>
  <si>
    <t>GA</t>
  </si>
  <si>
    <t>SC</t>
  </si>
  <si>
    <t>FL</t>
  </si>
  <si>
    <t>KY</t>
  </si>
  <si>
    <t>Old # Prof9</t>
  </si>
  <si>
    <t>Old Sal Prof9</t>
  </si>
  <si>
    <t>New # Prof9</t>
  </si>
  <si>
    <t>New Sal Prof9</t>
  </si>
  <si>
    <t>Old # Asc9</t>
  </si>
  <si>
    <t>Old Sal Asc9</t>
  </si>
  <si>
    <t>New # Asc9</t>
  </si>
  <si>
    <t>New Sal Asc9</t>
  </si>
  <si>
    <t>Old # Ast9</t>
  </si>
  <si>
    <t>Old Sal Ast9</t>
  </si>
  <si>
    <t>New # Ast9</t>
  </si>
  <si>
    <t>New Sal Ast9</t>
  </si>
  <si>
    <t>Old # Inst9</t>
  </si>
  <si>
    <t>Old Sal Inst9</t>
  </si>
  <si>
    <t>New # Inst9</t>
  </si>
  <si>
    <t>New Sal Inst9</t>
  </si>
  <si>
    <t>Old # Undsg9</t>
  </si>
  <si>
    <t>Old Sal Undsg9</t>
  </si>
  <si>
    <t>New # Undsg9</t>
  </si>
  <si>
    <t>New Sal Undsg9</t>
  </si>
  <si>
    <t>Old # SR9</t>
  </si>
  <si>
    <t>Old Sal SR9</t>
  </si>
  <si>
    <t>New # SR9</t>
  </si>
  <si>
    <t>New Sal SR9</t>
  </si>
  <si>
    <t>Old * Prof9</t>
  </si>
  <si>
    <t>New*Prof9</t>
  </si>
  <si>
    <t>Old*Asc9</t>
  </si>
  <si>
    <t>New*Asc9</t>
  </si>
  <si>
    <t>Old*Ast9</t>
  </si>
  <si>
    <t>New*Ast9</t>
  </si>
  <si>
    <t>Old*Inst9</t>
  </si>
  <si>
    <t>New*Inst9</t>
  </si>
  <si>
    <t>Old*Undsg9</t>
  </si>
  <si>
    <t>Nrw*Undsg9</t>
  </si>
  <si>
    <t>Old*SR9</t>
  </si>
  <si>
    <t>New*SR9</t>
  </si>
  <si>
    <t>Old Sal Prof11</t>
  </si>
  <si>
    <t>Old * Prof11</t>
  </si>
  <si>
    <t>New # Prof11</t>
  </si>
  <si>
    <t>New Sal Prof11</t>
  </si>
  <si>
    <t>New*Prof11</t>
  </si>
  <si>
    <t>Old # Asc11</t>
  </si>
  <si>
    <t>Old Sal Asc11</t>
  </si>
  <si>
    <t>Old*Asc11</t>
  </si>
  <si>
    <t>New # Asc11</t>
  </si>
  <si>
    <t>New Sal Asc11</t>
  </si>
  <si>
    <t>New*Asc11</t>
  </si>
  <si>
    <t>Old # Ast11</t>
  </si>
  <si>
    <t>Old Sal Ast11</t>
  </si>
  <si>
    <t>Old*Ast11</t>
  </si>
  <si>
    <t>New # Ast11</t>
  </si>
  <si>
    <t>New Sal Ast11</t>
  </si>
  <si>
    <t>New*Ast11</t>
  </si>
  <si>
    <t>Old # Inst11</t>
  </si>
  <si>
    <t>Old Sal Inst11</t>
  </si>
  <si>
    <t>Old*Inst11</t>
  </si>
  <si>
    <t>New # Inst11</t>
  </si>
  <si>
    <t>New Sal Inst11</t>
  </si>
  <si>
    <t>New*Inst11</t>
  </si>
  <si>
    <t>Old # Undsg11</t>
  </si>
  <si>
    <t>Old Sal Undsg11</t>
  </si>
  <si>
    <t>Old*Undsg11</t>
  </si>
  <si>
    <t>New # Undsg11</t>
  </si>
  <si>
    <t>New Sal Undsg11</t>
  </si>
  <si>
    <t>Nrw*Undsg11</t>
  </si>
  <si>
    <t>Old # SR11</t>
  </si>
  <si>
    <t>Old Sal SR11</t>
  </si>
  <si>
    <t>Old*SR11</t>
  </si>
  <si>
    <t>New # SR11</t>
  </si>
  <si>
    <t>New Sal SR11</t>
  </si>
  <si>
    <t>New*SR11</t>
  </si>
  <si>
    <t>Old # Prof11</t>
  </si>
  <si>
    <t>Weighted Average Full-Time Faculty Salaries</t>
  </si>
  <si>
    <t>Associate</t>
  </si>
  <si>
    <t>Assistant</t>
  </si>
  <si>
    <t>Single</t>
  </si>
  <si>
    <t>All</t>
  </si>
  <si>
    <t>Rank</t>
  </si>
  <si>
    <t>Ranks</t>
  </si>
  <si>
    <t>Four-Year 1</t>
  </si>
  <si>
    <t>Four-Year 2</t>
  </si>
  <si>
    <t>Four-Year 3</t>
  </si>
  <si>
    <t>Four-Year 4</t>
  </si>
  <si>
    <t>Four-Year 5</t>
  </si>
  <si>
    <t>Four-Year 6</t>
  </si>
  <si>
    <t>All Four-Year</t>
  </si>
  <si>
    <t>Two-Year 1</t>
  </si>
  <si>
    <t>Two-Year 2</t>
  </si>
  <si>
    <t>Weighted Average Salaries of Full-Time Faculty</t>
  </si>
  <si>
    <t>Alabama</t>
  </si>
  <si>
    <t>Arkansas</t>
  </si>
  <si>
    <t>Florida</t>
  </si>
  <si>
    <t>Georgia</t>
  </si>
  <si>
    <t>Kentucky</t>
  </si>
  <si>
    <t>Louisiana</t>
  </si>
  <si>
    <t>Maryland</t>
  </si>
  <si>
    <t>Mississippi</t>
  </si>
  <si>
    <t>North Carolina</t>
  </si>
  <si>
    <t>Oklahoma</t>
  </si>
  <si>
    <t>South Carolina</t>
  </si>
  <si>
    <t>Tennessee</t>
  </si>
  <si>
    <t>Texas</t>
  </si>
  <si>
    <t>Virginia</t>
  </si>
  <si>
    <t>West Virginia</t>
  </si>
  <si>
    <t>Weighted Average Salaries and Salary Rankings of Full-Time Faculty</t>
  </si>
  <si>
    <t>Delaware</t>
  </si>
  <si>
    <t>SREB states</t>
  </si>
  <si>
    <t xml:space="preserve"> </t>
  </si>
  <si>
    <t>All 
4-Yr</t>
  </si>
  <si>
    <t>All 
2-Yr</t>
  </si>
  <si>
    <t>Undesignated/ Other</t>
  </si>
  <si>
    <t>Technical     Institute or    College 1</t>
  </si>
  <si>
    <t>University of Arkansas, Fayetteville</t>
  </si>
  <si>
    <t>Arkansas State University</t>
  </si>
  <si>
    <t>University of Arkansas at Little Rock</t>
  </si>
  <si>
    <t xml:space="preserve">University of Central Arkansas </t>
  </si>
  <si>
    <t>Arkansas Tech University</t>
  </si>
  <si>
    <t>Henderson State University</t>
  </si>
  <si>
    <t>Southern Arkansas University</t>
  </si>
  <si>
    <t>University of Arkansas at Monticello</t>
  </si>
  <si>
    <t>University of Arkansas at Pine Bluff</t>
  </si>
  <si>
    <t>Pulaski Technical College</t>
  </si>
  <si>
    <t>Arkansas State University-Beebe</t>
  </si>
  <si>
    <t xml:space="preserve">Northwest Arkansas Community College </t>
  </si>
  <si>
    <t>Arkansas Northeastern College</t>
  </si>
  <si>
    <t>Arkansas State University Mountain Home</t>
  </si>
  <si>
    <t>Arkansas State University-Newport</t>
  </si>
  <si>
    <t>Black River Technical College</t>
  </si>
  <si>
    <t>Cossatot Community College of the University of Arkansas</t>
  </si>
  <si>
    <t xml:space="preserve">East Arkansas Community College </t>
  </si>
  <si>
    <t xml:space="preserve">Mid-South Community College </t>
  </si>
  <si>
    <t>National Park Community College</t>
  </si>
  <si>
    <t>North Arkansas College</t>
  </si>
  <si>
    <t xml:space="preserve">Ozarka College </t>
  </si>
  <si>
    <t>Phillips Community College of the Univ of Arkansas</t>
  </si>
  <si>
    <t xml:space="preserve">Rich Mountain Community College </t>
  </si>
  <si>
    <t>South Arkansas Community College</t>
  </si>
  <si>
    <t>Southeast Arkansas College</t>
  </si>
  <si>
    <t>Southern Arkansas University Tech</t>
  </si>
  <si>
    <t>University of Arkansas Community College at Batesville</t>
  </si>
  <si>
    <t>University of Arkansas Community College at Hope</t>
  </si>
  <si>
    <t>University of Arkansas Community College at Morrilton</t>
  </si>
  <si>
    <t>Distribution of Full-Time Instructional Faculty</t>
  </si>
  <si>
    <t>Table 143</t>
  </si>
  <si>
    <t>Table 144</t>
  </si>
  <si>
    <t>Table 145</t>
  </si>
  <si>
    <t>Table 146</t>
  </si>
  <si>
    <t>Table 147</t>
  </si>
  <si>
    <t>Table 148</t>
  </si>
  <si>
    <t>Table 149</t>
  </si>
  <si>
    <t>Table 150</t>
  </si>
  <si>
    <t>Table 151</t>
  </si>
  <si>
    <t>Table 152</t>
  </si>
  <si>
    <t>Table 153</t>
  </si>
  <si>
    <t>Table 154</t>
  </si>
  <si>
    <t>Table 155</t>
  </si>
  <si>
    <t>Table 156</t>
  </si>
  <si>
    <t>Table 157</t>
  </si>
  <si>
    <t>Table 158</t>
  </si>
  <si>
    <t>Table 159</t>
  </si>
  <si>
    <t>Table 160</t>
  </si>
  <si>
    <t>Table 161</t>
  </si>
  <si>
    <t xml:space="preserve"> Total # Prof Old</t>
  </si>
  <si>
    <t>Total  Total # Prof Old</t>
  </si>
  <si>
    <t xml:space="preserve"> Tot # Asc. Prof Old</t>
  </si>
  <si>
    <t>Total  Tot # Asc. Prof Old</t>
  </si>
  <si>
    <t xml:space="preserve"> Tot # Ast. Prof Old</t>
  </si>
  <si>
    <t>Total  Tot # Ast. Prof Old</t>
  </si>
  <si>
    <t xml:space="preserve"> Tot # Instr. Old</t>
  </si>
  <si>
    <t>Total  Tot # Instr. Old</t>
  </si>
  <si>
    <t xml:space="preserve"> Tot # Undes. Old</t>
  </si>
  <si>
    <t>Total  Tot # Undes. Old</t>
  </si>
  <si>
    <t xml:space="preserve"> Tot # Single Rnk Old</t>
  </si>
  <si>
    <t>Total  Tot # Single Rnk Old</t>
  </si>
  <si>
    <t xml:space="preserve"> All Ranks # Old</t>
  </si>
  <si>
    <t>Total  All Ranks # Old</t>
  </si>
  <si>
    <t>Section 9:  Faculty Salary</t>
  </si>
  <si>
    <t>Single Rank [for two-year collleges only]</t>
  </si>
  <si>
    <r>
      <t xml:space="preserve">Data Columns:  </t>
    </r>
    <r>
      <rPr>
        <sz val="10"/>
        <rFont val="Arial"/>
        <family val="2"/>
      </rPr>
      <t>White = New Data, Peach = Old Data, Purple/Grey = Calculated Data</t>
    </r>
  </si>
  <si>
    <r>
      <t xml:space="preserve">Text Color:  </t>
    </r>
    <r>
      <rPr>
        <sz val="10"/>
        <rFont val="Arial"/>
        <family val="2"/>
      </rPr>
      <t>Red = More/Less Than 10%(#) or 5%($) Change Since Last Year, Blue = Calculated</t>
    </r>
  </si>
  <si>
    <r>
      <t xml:space="preserve">Review Phase:  </t>
    </r>
    <r>
      <rPr>
        <sz val="10"/>
        <rFont val="Arial"/>
        <family val="2"/>
      </rPr>
      <t>Please</t>
    </r>
    <r>
      <rPr>
        <b/>
        <sz val="10"/>
        <rFont val="Arial"/>
        <family val="2"/>
      </rPr>
      <t xml:space="preserve"> c</t>
    </r>
    <r>
      <rPr>
        <sz val="10"/>
        <rFont val="Arial"/>
        <family val="2"/>
      </rPr>
      <t>heck cells highlighted in RED; highlight changes in YELLOW</t>
    </r>
  </si>
  <si>
    <r>
      <t xml:space="preserve">Comments: </t>
    </r>
    <r>
      <rPr>
        <sz val="10"/>
        <rFont val="Arial"/>
        <family val="2"/>
      </rPr>
      <t xml:space="preserve"> Please look for comments and answer questions; add comments as needed</t>
    </r>
  </si>
  <si>
    <t>IPEDS #</t>
  </si>
  <si>
    <t>2010-11</t>
  </si>
  <si>
    <t>Note</t>
  </si>
  <si>
    <t>Public Universities, Colleges and Technical Institutes, 2010-11</t>
  </si>
  <si>
    <t>Public Technical Institute or College Size Unknown, 2010-11</t>
  </si>
  <si>
    <t>Public Technical Institute or College 2, 2010-11</t>
  </si>
  <si>
    <t>Public Technical Institute or College 1, 2010-11</t>
  </si>
  <si>
    <t>Public Technical Institutes or Colleges, 2010-11</t>
  </si>
  <si>
    <t>Public Two-Year Size Unknown, 2010-11</t>
  </si>
  <si>
    <t>Public Two-Year 3, 2010-11</t>
  </si>
  <si>
    <t>Public Two-Year 2, 2010-11</t>
  </si>
  <si>
    <t>Public Two-Year 1, 2010-11</t>
  </si>
  <si>
    <t>Public Two-Year with Bachelor's, 2010-11</t>
  </si>
  <si>
    <t>Public Two-Year, 2010-11</t>
  </si>
  <si>
    <t>Public Four-Year 6 Institutions, 2010-11</t>
  </si>
  <si>
    <t>Public Four-Year 5 Institutions, 2010-11</t>
  </si>
  <si>
    <t>Public Four-Year 4 Institutions, 2010-11</t>
  </si>
  <si>
    <t>Public Four-Year 3 Institutions, 2010-11</t>
  </si>
  <si>
    <t>Public Four-Year 2 Institutions, 2010-11</t>
  </si>
  <si>
    <t>Public Four-Year 1 Institutions, 2010-11</t>
  </si>
  <si>
    <t>Public Four-Year Institutions, 2010-11</t>
  </si>
  <si>
    <t>Public Two-Year Institutions, 2010-11</t>
  </si>
  <si>
    <t>Public Institutions, SREB States, 2010-11</t>
  </si>
  <si>
    <t>NA</t>
  </si>
  <si>
    <t>Group2</t>
  </si>
  <si>
    <t>Table 142</t>
  </si>
  <si>
    <t>Size Un-kown</t>
  </si>
  <si>
    <t>Met the criteria for Four-Year 3 in 2010-11 and 2011-12.</t>
  </si>
  <si>
    <t>Reclassified: met the criteria for Four-Year 4 in 2009-10, 2010-11 and 2011-12.</t>
  </si>
  <si>
    <t>Reclassified: met the criteria for Two-Year 1 in 2009-10, 2010-11 and 2011-12.</t>
  </si>
  <si>
    <t>Met the criteria for Two-Year 2 in 2010-11 and 2011-12.</t>
  </si>
  <si>
    <t>College of the Ouachitas</t>
  </si>
  <si>
    <t>Formerly Ouachita Technical College.</t>
  </si>
  <si>
    <t>2011-12</t>
  </si>
  <si>
    <t>Auburn University</t>
  </si>
  <si>
    <t xml:space="preserve">University of Alabama </t>
  </si>
  <si>
    <t>University of Alabama at Birmingham</t>
  </si>
  <si>
    <t>University of Alabama in Huntsville</t>
  </si>
  <si>
    <t>Alabama Agricultural &amp; Mechanical University</t>
  </si>
  <si>
    <t xml:space="preserve">Jacksonville State University </t>
  </si>
  <si>
    <t>Troy University</t>
  </si>
  <si>
    <t>University of South Alabama</t>
  </si>
  <si>
    <t xml:space="preserve">Alabama State University </t>
  </si>
  <si>
    <t>Auburn University at Montgomery</t>
  </si>
  <si>
    <t>University of North Alabama</t>
  </si>
  <si>
    <t>University of Montevallo</t>
  </si>
  <si>
    <t>University of West Alabama</t>
  </si>
  <si>
    <t>Athens State University</t>
  </si>
  <si>
    <t>Jefferson State Community College</t>
  </si>
  <si>
    <t xml:space="preserve">John C. Calhoun State Community College </t>
  </si>
  <si>
    <t>Bevill State Community College</t>
  </si>
  <si>
    <t>Bishop State Community College</t>
  </si>
  <si>
    <t>Gadsden State Community College</t>
  </si>
  <si>
    <t>George C. Wallace State Community College - Dothan</t>
  </si>
  <si>
    <t>James H. Faulkner State Community College</t>
  </si>
  <si>
    <t xml:space="preserve">Lawson State Community College </t>
  </si>
  <si>
    <t xml:space="preserve">Northeast Alabama State Community College </t>
  </si>
  <si>
    <t>Northwest-Shoals Community College</t>
  </si>
  <si>
    <t>Shelton State Community College</t>
  </si>
  <si>
    <t>Southern Union State Community College</t>
  </si>
  <si>
    <t>Wallace Community College - Hanceville</t>
  </si>
  <si>
    <t>Alabama Southern Community College</t>
  </si>
  <si>
    <t>Central Alabama Community College</t>
  </si>
  <si>
    <t xml:space="preserve">Chattahoochee Valley State Community College </t>
  </si>
  <si>
    <t>Enterprise-Ozark Community College</t>
  </si>
  <si>
    <t>George Corley Wallace State Community College - Selma</t>
  </si>
  <si>
    <t>Jefferson Davis Community College</t>
  </si>
  <si>
    <t xml:space="preserve">Lurleen B. Wallace Community College </t>
  </si>
  <si>
    <t xml:space="preserve">Snead State Community College </t>
  </si>
  <si>
    <t xml:space="preserve">Trenholm State Technical College </t>
  </si>
  <si>
    <t xml:space="preserve">J.F. Drake State Technical College </t>
  </si>
  <si>
    <t xml:space="preserve">J.F. Ingram State Technical College </t>
  </si>
  <si>
    <t xml:space="preserve">Reid State Technical College </t>
  </si>
  <si>
    <t>University of Delaware</t>
  </si>
  <si>
    <t>Delaware State University</t>
  </si>
  <si>
    <t>Delaware Technical and Community College--Owens</t>
  </si>
  <si>
    <t>Delaware Technical and Community College--Stanton-Wilmington</t>
  </si>
  <si>
    <t>Delaware Technical and Community College--Terry</t>
  </si>
  <si>
    <t>Florida International University</t>
  </si>
  <si>
    <t xml:space="preserve">Florida State University </t>
  </si>
  <si>
    <t xml:space="preserve">University of Central Florida </t>
  </si>
  <si>
    <t>University of Florida</t>
  </si>
  <si>
    <t xml:space="preserve">University of South Florida </t>
  </si>
  <si>
    <t xml:space="preserve">Florida Atlantic University </t>
  </si>
  <si>
    <t xml:space="preserve">Florida Agricultural &amp; Mechanical University </t>
  </si>
  <si>
    <t>University of North Florida</t>
  </si>
  <si>
    <t>University of West Florida</t>
  </si>
  <si>
    <t>Florida Gulf Coast University</t>
  </si>
  <si>
    <t>New College of Florida</t>
  </si>
  <si>
    <t>Met the criteria for Four-Year 2 in 2010-11 and 2011-12.</t>
  </si>
  <si>
    <t>Reclassified: Met the criteria for Two-Year 1 in 2009-10, 2010-11 and 2011-12.</t>
  </si>
  <si>
    <t>Reclassified: Met the criteria for Two-Year 2 in 2009-10, 2010-11 and 2011-12.</t>
  </si>
  <si>
    <t>Reclassified: Met the criteria for Two-Year 2 in 2009-10, 2010-11 and 2011-12. Formerly listed as Enterprise-Ozark Community College -- name changed in 2009.</t>
  </si>
  <si>
    <t>Met the criteria for Two-Year 2 in 2011-12.</t>
  </si>
  <si>
    <t>Met the criteria for Four-Year 2 in 2011-12.</t>
  </si>
  <si>
    <t xml:space="preserve">Georgia State University </t>
  </si>
  <si>
    <t>University of Georgia</t>
  </si>
  <si>
    <t>Georgia Institute of Technology</t>
  </si>
  <si>
    <t>Georgia Southern University</t>
  </si>
  <si>
    <t>University of West Georgia</t>
  </si>
  <si>
    <t xml:space="preserve">Valdosta State University </t>
  </si>
  <si>
    <t xml:space="preserve">Albany State University </t>
  </si>
  <si>
    <t>Armstrong Atlantic State University</t>
  </si>
  <si>
    <t>Columbus State University</t>
  </si>
  <si>
    <t>Georgia College and State University</t>
  </si>
  <si>
    <t>Kennesaw State University</t>
  </si>
  <si>
    <t>Augusta State University</t>
  </si>
  <si>
    <t>Fort Valley State University</t>
  </si>
  <si>
    <t>Georgia Southwestern State University</t>
  </si>
  <si>
    <t>North Georgia College and State University</t>
  </si>
  <si>
    <t>Savannah State University</t>
  </si>
  <si>
    <t>Clayton State University</t>
  </si>
  <si>
    <t xml:space="preserve">Macon State College </t>
  </si>
  <si>
    <t xml:space="preserve">Dalton State College </t>
  </si>
  <si>
    <t xml:space="preserve">Gainesville State College </t>
  </si>
  <si>
    <t xml:space="preserve">Georgia Perimeter College </t>
  </si>
  <si>
    <t xml:space="preserve">Abraham Baldwin Agricultural College </t>
  </si>
  <si>
    <t xml:space="preserve">Bainbridge College </t>
  </si>
  <si>
    <t xml:space="preserve">College of Coastal Georgia </t>
  </si>
  <si>
    <t xml:space="preserve">Darton College </t>
  </si>
  <si>
    <t>Georgia Highlands College</t>
  </si>
  <si>
    <t xml:space="preserve">Gordon College </t>
  </si>
  <si>
    <t xml:space="preserve">Middle Georgia College </t>
  </si>
  <si>
    <t>Atlanta Metropolitan College</t>
  </si>
  <si>
    <t>East Georgia College</t>
  </si>
  <si>
    <t xml:space="preserve">South Georgia College </t>
  </si>
  <si>
    <t xml:space="preserve">Waycross College </t>
  </si>
  <si>
    <t>Georgia Gwinnett College</t>
  </si>
  <si>
    <t>Albany Technical College</t>
  </si>
  <si>
    <t>Altamaha Technical College</t>
  </si>
  <si>
    <t>Athens Technical College</t>
  </si>
  <si>
    <t>Atlanta Technical College</t>
  </si>
  <si>
    <t>Augusta Technical College</t>
  </si>
  <si>
    <t>Central Georgia Technical College</t>
  </si>
  <si>
    <t>Chattahoochee Technical College</t>
  </si>
  <si>
    <t>Columbus Technical College</t>
  </si>
  <si>
    <t>Georgia Northwestern Technical College</t>
  </si>
  <si>
    <t>Gwinnett Technical College</t>
  </si>
  <si>
    <t>Lanier Technical College</t>
  </si>
  <si>
    <t>Middle Georgia Technical College</t>
  </si>
  <si>
    <t>Moultrie Technical College</t>
  </si>
  <si>
    <t>North Georgia Technical College</t>
  </si>
  <si>
    <t>Ogeechee Technical College</t>
  </si>
  <si>
    <t>Okefenokee Technical College</t>
  </si>
  <si>
    <t>Savannah Technical College</t>
  </si>
  <si>
    <t>South Georgia Technical College</t>
  </si>
  <si>
    <t>Southeastern Technical College</t>
  </si>
  <si>
    <t>Southern Crescent Technical College</t>
  </si>
  <si>
    <t>Southwest Georgia Technical College</t>
  </si>
  <si>
    <t>West Georgia Technical College</t>
  </si>
  <si>
    <t>Wiregrass Georgia Technical College</t>
  </si>
  <si>
    <t>Oconee Fall Line Technical College</t>
  </si>
  <si>
    <t>Is the merger of Heart of Georgia Tech and Sandersville Tech</t>
  </si>
  <si>
    <t>University of Kentucky</t>
  </si>
  <si>
    <t>University of Louisville</t>
  </si>
  <si>
    <t xml:space="preserve">Eastern Kentucky University </t>
  </si>
  <si>
    <t xml:space="preserve">Morehead State University </t>
  </si>
  <si>
    <t xml:space="preserve">Murray State University </t>
  </si>
  <si>
    <t xml:space="preserve">Western Kentucky University </t>
  </si>
  <si>
    <t xml:space="preserve">Kentucky State University </t>
  </si>
  <si>
    <t xml:space="preserve">Northern Kentucky University </t>
  </si>
  <si>
    <t>Bluegrass Community and Technical College</t>
  </si>
  <si>
    <t xml:space="preserve">Jefferson Community and Technical College </t>
  </si>
  <si>
    <t>Ashland Community and Technical College</t>
  </si>
  <si>
    <t xml:space="preserve">Big Sandy Community and Technical College </t>
  </si>
  <si>
    <t xml:space="preserve">Elizabethtown Community and Technical College </t>
  </si>
  <si>
    <t>Madisonville Community College</t>
  </si>
  <si>
    <t xml:space="preserve">Maysville Community and Technical College </t>
  </si>
  <si>
    <t xml:space="preserve">Owensboro Community and Technical College </t>
  </si>
  <si>
    <t xml:space="preserve">Somerset Community and Technical College </t>
  </si>
  <si>
    <t>Southeast Kentucky Community and Technical College</t>
  </si>
  <si>
    <t>West Kentucky Community and Technical College</t>
  </si>
  <si>
    <t>Hazard Community and Technical College</t>
  </si>
  <si>
    <t xml:space="preserve">Henderson Community College </t>
  </si>
  <si>
    <t xml:space="preserve">Hopkinsville Community College </t>
  </si>
  <si>
    <t>Bowling Green Technical College</t>
  </si>
  <si>
    <t>Gateway Community and Technical College</t>
  </si>
  <si>
    <t>Louisiana State University and A&amp;M College</t>
  </si>
  <si>
    <t xml:space="preserve">Louisiana Tech University </t>
  </si>
  <si>
    <t>University of Louisiana at Lafayette</t>
  </si>
  <si>
    <t>University of New Orleans</t>
  </si>
  <si>
    <t xml:space="preserve">Southeastern Louisiana University </t>
  </si>
  <si>
    <t xml:space="preserve">Southern University and A&amp;M College at Baton Rouge </t>
  </si>
  <si>
    <t>University of Louisiana at Monroe</t>
  </si>
  <si>
    <t>Grambling State University</t>
  </si>
  <si>
    <t>Louisiana State University in Shreveport</t>
  </si>
  <si>
    <t>McNeese State University</t>
  </si>
  <si>
    <t xml:space="preserve">Nicholls State University </t>
  </si>
  <si>
    <t>Northwestern State University</t>
  </si>
  <si>
    <t>Southern University at New Orleans</t>
  </si>
  <si>
    <t>Louisiana State University at Alexandria</t>
  </si>
  <si>
    <t>Baton Rouge Community College</t>
  </si>
  <si>
    <t xml:space="preserve">Delgado Community College </t>
  </si>
  <si>
    <t>Bossier Parish Community College</t>
  </si>
  <si>
    <t>Louisiana State University at Eunice</t>
  </si>
  <si>
    <t>South Louisiana Community College</t>
  </si>
  <si>
    <t>Louisiana Delta Community College</t>
  </si>
  <si>
    <t>Nunez Community College</t>
  </si>
  <si>
    <t>River Parishes Community College</t>
  </si>
  <si>
    <t>Southern University in Shreveport</t>
  </si>
  <si>
    <t>Acadiana Technical College</t>
  </si>
  <si>
    <t>Capital Area Technical College</t>
  </si>
  <si>
    <t>Central LA Technical College</t>
  </si>
  <si>
    <t>Northeast Technical College</t>
  </si>
  <si>
    <t>Northshore Technical College</t>
  </si>
  <si>
    <t>Northwest LA Technical College</t>
  </si>
  <si>
    <t>South Central LA Technical College</t>
  </si>
  <si>
    <t>Sowela Technical Community College</t>
  </si>
  <si>
    <t>L.E. Fletcher Technical Community College</t>
  </si>
  <si>
    <t>Met the criteria for Four-Year 3 in 2011-12.</t>
  </si>
  <si>
    <t>Met the criteria for Four-Year 4 in 2010-11 and 2011-12.</t>
  </si>
  <si>
    <t>Reclassified: met the criteria for Four-Year 5 in 2009-10, 2010-11 and 2011-12.</t>
  </si>
  <si>
    <t>Met the criteia for Four-Year 6 in 2011-12 but still (?) in start up phase?</t>
  </si>
  <si>
    <t xml:space="preserve">Met the criteria for Two-Year with Bachelor's in 2011-12. </t>
  </si>
  <si>
    <t>Reclassified: met the criteria for Two-Year with Bachelor's in 2009-10, 2010-11 and 2011-12.</t>
  </si>
  <si>
    <t>Reclassified: met the criteria for Two-Year 2 in 2009-10, 2010-11 and 2011-12.</t>
  </si>
  <si>
    <t>Georgia Piedmont Technical College</t>
  </si>
  <si>
    <t>Formerly DeKalb Technical College.</t>
  </si>
  <si>
    <t>Met the criteria for classification as a Two-Year 1 in 2011-12.</t>
  </si>
  <si>
    <t>Met the criteria for classification as a Two-Year 2 in 2010-11 and 2011-12.</t>
  </si>
  <si>
    <t>Reclassified: Met the criteria for Four-Year 6 in 2009-10, 2010-11 and 2011-12.</t>
  </si>
  <si>
    <t>Met the criteria for Two-Year 1 in 2010-11 and 2011-12.</t>
  </si>
  <si>
    <t>Reclassified: Met the criteria for Technical Institute or College 1 in 2009-10, 2010-11 and 2011-12.</t>
  </si>
  <si>
    <t>Mississippi State University</t>
  </si>
  <si>
    <t>University of Southern Mississippi</t>
  </si>
  <si>
    <t xml:space="preserve">Jackson State University </t>
  </si>
  <si>
    <t>University of Mississippi</t>
  </si>
  <si>
    <t>Alcorn State University</t>
  </si>
  <si>
    <t>Delta State University</t>
  </si>
  <si>
    <t>Mississippi Valley State University</t>
  </si>
  <si>
    <t>Mississippi University for Women</t>
  </si>
  <si>
    <t xml:space="preserve">North Carolina State University </t>
  </si>
  <si>
    <t xml:space="preserve">University of North Carolina at Chapel Hill </t>
  </si>
  <si>
    <t>University of North Carolina at Charlotte</t>
  </si>
  <si>
    <t>University of North Carolina at Greensboro</t>
  </si>
  <si>
    <t xml:space="preserve">Appalachian State University </t>
  </si>
  <si>
    <t xml:space="preserve">East Carolina University </t>
  </si>
  <si>
    <t>North Carolina A&amp;T State University</t>
  </si>
  <si>
    <t xml:space="preserve">North Carolina Central University </t>
  </si>
  <si>
    <t>University of North Carolina at Wilmington</t>
  </si>
  <si>
    <t xml:space="preserve">Western Carolina University </t>
  </si>
  <si>
    <t xml:space="preserve">Fayetteville State University </t>
  </si>
  <si>
    <t>University of North Carolina at Pembroke</t>
  </si>
  <si>
    <t xml:space="preserve">Winston-Salem State University </t>
  </si>
  <si>
    <t xml:space="preserve">Elizabeth City State University </t>
  </si>
  <si>
    <t>University of North Carolina at Asheville</t>
  </si>
  <si>
    <t xml:space="preserve">Canadian Valley Technology Center                 </t>
  </si>
  <si>
    <t xml:space="preserve">Francis Tuttle Technology Center                  </t>
  </si>
  <si>
    <t xml:space="preserve">Great Plains Technology Center                    </t>
  </si>
  <si>
    <t xml:space="preserve">Metro Technology Centers                          </t>
  </si>
  <si>
    <t xml:space="preserve">Tulsa Technology Center-Broken Arrow Campus       </t>
  </si>
  <si>
    <t xml:space="preserve">Autry Technology Center                           </t>
  </si>
  <si>
    <t xml:space="preserve">Caddo Kiowa Technology Center                     </t>
  </si>
  <si>
    <t xml:space="preserve">Central Technology Center                         </t>
  </si>
  <si>
    <t xml:space="preserve">Chisholm Trail Technology Center                  </t>
  </si>
  <si>
    <t xml:space="preserve">Eastern Oklahoma County Technology Center         </t>
  </si>
  <si>
    <t xml:space="preserve">Gordon Cooper Technology Center                   </t>
  </si>
  <si>
    <t xml:space="preserve">Green Country Technology Center                   </t>
  </si>
  <si>
    <t xml:space="preserve">High Plains Technology Center                     </t>
  </si>
  <si>
    <t xml:space="preserve">Indian Capital Technology Center-Muskogee         </t>
  </si>
  <si>
    <t xml:space="preserve">Indian Capital Technology Center-Sallisaw         </t>
  </si>
  <si>
    <t xml:space="preserve">Indian Capital Technology Center-Stilwell         </t>
  </si>
  <si>
    <t xml:space="preserve">Indian Capital Technology Center-Tahlequah        </t>
  </si>
  <si>
    <t xml:space="preserve">Kiamichi Technology Center-Atoka                  </t>
  </si>
  <si>
    <t xml:space="preserve">Kiamichi Technology Center-Durant                 </t>
  </si>
  <si>
    <t xml:space="preserve">Kiamichi Technology Center-Hugo                   </t>
  </si>
  <si>
    <t xml:space="preserve">Kiamichi Technology Center-Idabel                 </t>
  </si>
  <si>
    <t xml:space="preserve">Kiamichi Technology Center-McAlester              </t>
  </si>
  <si>
    <t xml:space="preserve">Kiamichi Technology Center-Poteau                 </t>
  </si>
  <si>
    <t xml:space="preserve">Kiamichi Technology Center-Spiro                  </t>
  </si>
  <si>
    <t xml:space="preserve">Kiamichi Technology Center-Stigler                </t>
  </si>
  <si>
    <t xml:space="preserve">Kiamichi Technology Center-Talihina               </t>
  </si>
  <si>
    <t xml:space="preserve">Meridian Technology Center                        </t>
  </si>
  <si>
    <t xml:space="preserve">Mid-America Technology Center                     </t>
  </si>
  <si>
    <t xml:space="preserve">Mid-Del Technology Center                         </t>
  </si>
  <si>
    <t xml:space="preserve">Moore Norman Technology Center                    </t>
  </si>
  <si>
    <t xml:space="preserve">Northeast Technology Center-Afton                 </t>
  </si>
  <si>
    <t xml:space="preserve">Northeast Technology Center-Kansas                </t>
  </si>
  <si>
    <t xml:space="preserve">Northeast Technology Center-Pryor                 </t>
  </si>
  <si>
    <t xml:space="preserve">Northwest Technology Center-Alva                  </t>
  </si>
  <si>
    <t xml:space="preserve">Northwest Technology Center-Fairview              </t>
  </si>
  <si>
    <t xml:space="preserve">Pioneer Technology Center                         </t>
  </si>
  <si>
    <t xml:space="preserve">Pontotoc Technology Center                        </t>
  </si>
  <si>
    <t xml:space="preserve">Red River Technology Center                       </t>
  </si>
  <si>
    <t xml:space="preserve">Southern Oklahoma Technology Center               </t>
  </si>
  <si>
    <t xml:space="preserve">Southwest Technology Center                       </t>
  </si>
  <si>
    <t xml:space="preserve">Tri County Technology Center                      </t>
  </si>
  <si>
    <t xml:space="preserve">Tulsa County Area Voc Tech School Dist 18-Peoria  </t>
  </si>
  <si>
    <t xml:space="preserve">Tulsa Technology Center-Lemley Campus             </t>
  </si>
  <si>
    <t xml:space="preserve">Tulsa Technology Center-Riverside Campus          </t>
  </si>
  <si>
    <t xml:space="preserve">Wes Watkins Technology Center                     </t>
  </si>
  <si>
    <t xml:space="preserve">Western Technology Center                         </t>
  </si>
  <si>
    <t>Northeast Technology Center-Claremore</t>
  </si>
  <si>
    <t>Oklahoma State University Main Campus</t>
  </si>
  <si>
    <t>University of Oklahoma Norman Campus</t>
  </si>
  <si>
    <t>Northeastern State University</t>
  </si>
  <si>
    <t>University of Central Oklahoma</t>
  </si>
  <si>
    <t xml:space="preserve">Cameron University </t>
  </si>
  <si>
    <t xml:space="preserve">East Central University </t>
  </si>
  <si>
    <t>Langston University</t>
  </si>
  <si>
    <t xml:space="preserve">Northwestern Oklahoma State University </t>
  </si>
  <si>
    <t xml:space="preserve">Southeastern Oklahoma State University </t>
  </si>
  <si>
    <t>Southwestern Oklahoma State University</t>
  </si>
  <si>
    <t xml:space="preserve">Oklahoma Panhandle State University </t>
  </si>
  <si>
    <t>Rogers State University</t>
  </si>
  <si>
    <t>University of Science and Arts of Oklahoma</t>
  </si>
  <si>
    <t xml:space="preserve">Oklahoma State University Technical Branch-Okmulgee </t>
  </si>
  <si>
    <t xml:space="preserve">Oklahoma City Community College </t>
  </si>
  <si>
    <t xml:space="preserve">Tulsa Community College </t>
  </si>
  <si>
    <t xml:space="preserve">Northern Oklahoma College </t>
  </si>
  <si>
    <t xml:space="preserve">Oklahoma State University-Oklahoma City </t>
  </si>
  <si>
    <t xml:space="preserve">Rose State College </t>
  </si>
  <si>
    <t>Carl Albert State College</t>
  </si>
  <si>
    <t xml:space="preserve">Connors State College </t>
  </si>
  <si>
    <t xml:space="preserve">Eastern Oklahoma State College </t>
  </si>
  <si>
    <t xml:space="preserve">Murray State College </t>
  </si>
  <si>
    <t xml:space="preserve">Northeastern Oklahoma A &amp; M College </t>
  </si>
  <si>
    <t>Redlands Community College</t>
  </si>
  <si>
    <t xml:space="preserve">Seminole State College </t>
  </si>
  <si>
    <t xml:space="preserve">Western Oklahoma State College </t>
  </si>
  <si>
    <t>Clemson University</t>
  </si>
  <si>
    <t>University of South Carolina-Columbia</t>
  </si>
  <si>
    <t>College of Charleston</t>
  </si>
  <si>
    <t xml:space="preserve">Winthrop University </t>
  </si>
  <si>
    <t xml:space="preserve">The Citadel, the Military College of South Carolina </t>
  </si>
  <si>
    <t>Coastal Carolina University</t>
  </si>
  <si>
    <t xml:space="preserve">Francis Marion University </t>
  </si>
  <si>
    <t xml:space="preserve">South Carolina State University </t>
  </si>
  <si>
    <t>Lander University</t>
  </si>
  <si>
    <t>University of South Carolina-Aiken</t>
  </si>
  <si>
    <t>University of South Carolina-Upstate</t>
  </si>
  <si>
    <t>University of South Carolina-Beaufort</t>
  </si>
  <si>
    <t xml:space="preserve">Greenville Technical College </t>
  </si>
  <si>
    <t xml:space="preserve">Midlands Technical College </t>
  </si>
  <si>
    <t xml:space="preserve">Trident Technical College </t>
  </si>
  <si>
    <t xml:space="preserve">Aiken Technical College </t>
  </si>
  <si>
    <t xml:space="preserve">Central Carolina Technical College </t>
  </si>
  <si>
    <t xml:space="preserve">Florence-Darlington Technical College </t>
  </si>
  <si>
    <t xml:space="preserve">Horry-Georgetown Technical College </t>
  </si>
  <si>
    <t xml:space="preserve">Orangeburg-Calhoun Technical College </t>
  </si>
  <si>
    <t xml:space="preserve">Piedmont Technical College </t>
  </si>
  <si>
    <t xml:space="preserve">Spartanburg Community College </t>
  </si>
  <si>
    <t xml:space="preserve">Tri-County Technical College </t>
  </si>
  <si>
    <t xml:space="preserve">York Technical College </t>
  </si>
  <si>
    <t xml:space="preserve">Denmark Technical College </t>
  </si>
  <si>
    <t xml:space="preserve">Northeastern Technical College </t>
  </si>
  <si>
    <t>Technical College of the Lowcountry</t>
  </si>
  <si>
    <t>University of South Carolina-Lancaster</t>
  </si>
  <si>
    <t>University of South Carolina-Salkehatchie</t>
  </si>
  <si>
    <t>University of South Carolina-Sumter</t>
  </si>
  <si>
    <t>University of South Carolina-Union</t>
  </si>
  <si>
    <t xml:space="preserve">Willamsburg Technical College </t>
  </si>
  <si>
    <t>University of Memphis</t>
  </si>
  <si>
    <t>University of Tennessee, Knoxville</t>
  </si>
  <si>
    <t xml:space="preserve">Austin Peay State University </t>
  </si>
  <si>
    <t xml:space="preserve">East Tennessee State University </t>
  </si>
  <si>
    <t xml:space="preserve">Middle Tennessee State University </t>
  </si>
  <si>
    <t xml:space="preserve">Tennessee State University </t>
  </si>
  <si>
    <t xml:space="preserve">Tennessee Technological University </t>
  </si>
  <si>
    <t>University of Tennessee at Chattanooga</t>
  </si>
  <si>
    <t>University of Tennessee at Martin</t>
  </si>
  <si>
    <t xml:space="preserve">Chattanooga State Technical Community College </t>
  </si>
  <si>
    <t>Pellissippi State Technical Community College</t>
  </si>
  <si>
    <t>Southwest Tennessee Community College</t>
  </si>
  <si>
    <t xml:space="preserve">Cleveland State Community College </t>
  </si>
  <si>
    <t xml:space="preserve">Columbia State Community College </t>
  </si>
  <si>
    <t xml:space="preserve">Jackson State Community College </t>
  </si>
  <si>
    <t xml:space="preserve">Motlow State Community College </t>
  </si>
  <si>
    <t>Nashville State Technical Community College</t>
  </si>
  <si>
    <t>Northeast State Technical Community College</t>
  </si>
  <si>
    <t xml:space="preserve">Roane State Community College </t>
  </si>
  <si>
    <t xml:space="preserve">Volunteer State Community College </t>
  </si>
  <si>
    <t xml:space="preserve">Walters State Community College </t>
  </si>
  <si>
    <t xml:space="preserve">Dyersburg State Community College </t>
  </si>
  <si>
    <t>Tennessee Technology Center at Athens</t>
  </si>
  <si>
    <t>Tennessee Technology Center at Chattanooga</t>
  </si>
  <si>
    <t>219824B</t>
  </si>
  <si>
    <t>Tennessee Technology Center at Covington</t>
  </si>
  <si>
    <t>Tennessee Technology Center at Crossville</t>
  </si>
  <si>
    <t>Tennessee Technology Center at Crump</t>
  </si>
  <si>
    <t>Tennessee Technology Center at Dickson</t>
  </si>
  <si>
    <t>Tennessee Technology Center at Elizabethton</t>
  </si>
  <si>
    <t>Tennessee Technology Center at Harriman</t>
  </si>
  <si>
    <t>Tennessee Technology Center at Hartsville</t>
  </si>
  <si>
    <t>Tennessee Technology Center at Hohenwald</t>
  </si>
  <si>
    <t>Tennessee Technology Center at Jacksboro</t>
  </si>
  <si>
    <t>Tennessee Technology Center at Jackson</t>
  </si>
  <si>
    <t>Tennessee Technology Center at Knoxville</t>
  </si>
  <si>
    <t>Tennessee Technology Center at Livingston</t>
  </si>
  <si>
    <t>Tennessee Technology Center at McKenzie</t>
  </si>
  <si>
    <t>Tennessee Technology Center at McMinnville</t>
  </si>
  <si>
    <t>Tennessee Technology Center at Memphis</t>
  </si>
  <si>
    <t>Tennessee Technology Center at Morristown</t>
  </si>
  <si>
    <t>Tennessee Technology Center at Murfreesboro</t>
  </si>
  <si>
    <t>Tennessee Technology Center at Nashville</t>
  </si>
  <si>
    <t>Tennessee Technology Center at Newbern</t>
  </si>
  <si>
    <t>Tennessee Technology Center at Oneida</t>
  </si>
  <si>
    <t>Tennessee Technology Center at Paris</t>
  </si>
  <si>
    <t>Tennessee Technology Center at Pulaski</t>
  </si>
  <si>
    <t>Tennessee Technology Center at Ripley</t>
  </si>
  <si>
    <t>Tennessee Technology Center at Shelbyville</t>
  </si>
  <si>
    <t>Tennessee Technology Center at Whiteville</t>
  </si>
  <si>
    <t xml:space="preserve">Texas A&amp;M University </t>
  </si>
  <si>
    <t xml:space="preserve">Texas Tech University </t>
  </si>
  <si>
    <t>University of Houston</t>
  </si>
  <si>
    <t>University of North Texas</t>
  </si>
  <si>
    <t>University of Texas at Arlington</t>
  </si>
  <si>
    <t>University of Texas at Austin</t>
  </si>
  <si>
    <t>University of Texas at Dallas</t>
  </si>
  <si>
    <t>Texas Woman's University</t>
  </si>
  <si>
    <t>University of Texas at El Paso</t>
  </si>
  <si>
    <t>University of Texas at San Antonio</t>
  </si>
  <si>
    <t>Angelo State University</t>
  </si>
  <si>
    <t>Lamar University</t>
  </si>
  <si>
    <t>Midwestern State University</t>
  </si>
  <si>
    <t>Prairie View A&amp;M University</t>
  </si>
  <si>
    <t xml:space="preserve">Sam Houston State University </t>
  </si>
  <si>
    <t>Stephen F. Austin State University</t>
  </si>
  <si>
    <t xml:space="preserve">Sul Ross State University </t>
  </si>
  <si>
    <t>Tarleton State University</t>
  </si>
  <si>
    <t>Texas A&amp;M International University</t>
  </si>
  <si>
    <t>Texas A&amp;M University-Commerce</t>
  </si>
  <si>
    <t xml:space="preserve">Texas A&amp;M University-Corpus Christi </t>
  </si>
  <si>
    <t>Texas A&amp;M University-Kingsville</t>
  </si>
  <si>
    <t xml:space="preserve">Texas Southern University </t>
  </si>
  <si>
    <t>Texas State University-San Marcos</t>
  </si>
  <si>
    <t xml:space="preserve">University of Houston-Clear Lake </t>
  </si>
  <si>
    <t>University of Texas at Brownsville</t>
  </si>
  <si>
    <t>University of Texas at Tyler</t>
  </si>
  <si>
    <t>University of Texas-Pan American</t>
  </si>
  <si>
    <t>West Texas A&amp;M University</t>
  </si>
  <si>
    <t>Texas A&amp;M -Texarkana</t>
  </si>
  <si>
    <t>University of Houston-Victoria</t>
  </si>
  <si>
    <t>University of Texas of the Permian Basin</t>
  </si>
  <si>
    <t>Sul Ross State University-Rio Grande College</t>
  </si>
  <si>
    <t>228501B</t>
  </si>
  <si>
    <t>University of Houston-Downtown</t>
  </si>
  <si>
    <t>Texas A&amp;M University at Galveston</t>
  </si>
  <si>
    <t xml:space="preserve">Brazosport College </t>
  </si>
  <si>
    <t xml:space="preserve">Midland College </t>
  </si>
  <si>
    <t>South Texas College</t>
  </si>
  <si>
    <t xml:space="preserve">Amarillo College </t>
  </si>
  <si>
    <t xml:space="preserve">Austin Community College </t>
  </si>
  <si>
    <t xml:space="preserve">Blinn College </t>
  </si>
  <si>
    <t>Brookhaven College (DCCCD)</t>
  </si>
  <si>
    <t xml:space="preserve">Central Texas College </t>
  </si>
  <si>
    <t>Collin County Community College District</t>
  </si>
  <si>
    <t xml:space="preserve">Del Mar College </t>
  </si>
  <si>
    <t>Eastfield College (DCCCD)</t>
  </si>
  <si>
    <t>El Centro College  (DCCCD)</t>
  </si>
  <si>
    <t>El Paso County Community College District</t>
  </si>
  <si>
    <t>Houston Community College</t>
  </si>
  <si>
    <t xml:space="preserve">Laredo Community College </t>
  </si>
  <si>
    <t>Lone Star College System District</t>
  </si>
  <si>
    <t xml:space="preserve">McLennan Community College </t>
  </si>
  <si>
    <t xml:space="preserve">Navarro College </t>
  </si>
  <si>
    <t>North Central Texas Community College</t>
  </si>
  <si>
    <t>North Lake College (DCCCD)</t>
  </si>
  <si>
    <t>Northwest Vista College (ACCD)</t>
  </si>
  <si>
    <t>Palo Alto College (ACCD)</t>
  </si>
  <si>
    <t>Richland College (DCCCD)</t>
  </si>
  <si>
    <t>San Antonio College (ACCD)</t>
  </si>
  <si>
    <t>San Jacinto College</t>
  </si>
  <si>
    <t xml:space="preserve">South Plains College </t>
  </si>
  <si>
    <t>St. Philip's College (ACCD)</t>
  </si>
  <si>
    <t>Tarrant County College</t>
  </si>
  <si>
    <t xml:space="preserve">Texas Southmost College </t>
  </si>
  <si>
    <t xml:space="preserve">Tyler Junior College </t>
  </si>
  <si>
    <t xml:space="preserve">Alvin Community College </t>
  </si>
  <si>
    <t xml:space="preserve">Angelina College </t>
  </si>
  <si>
    <t>Cedar Valley College (DCCCD)</t>
  </si>
  <si>
    <t xml:space="preserve">Cisco Junior College </t>
  </si>
  <si>
    <t>Coastal Bend College</t>
  </si>
  <si>
    <t>College of the Mainland</t>
  </si>
  <si>
    <t xml:space="preserve">Grayson County College </t>
  </si>
  <si>
    <t>Hill College</t>
  </si>
  <si>
    <t>Howard College (HCJCD)</t>
  </si>
  <si>
    <t xml:space="preserve">Kilgore College </t>
  </si>
  <si>
    <t>Lamar Institute of Technology</t>
  </si>
  <si>
    <t xml:space="preserve">Lee College </t>
  </si>
  <si>
    <t>Mountain View College  (DCCCD)</t>
  </si>
  <si>
    <t xml:space="preserve">Odessa College </t>
  </si>
  <si>
    <t>Paris Junior College</t>
  </si>
  <si>
    <t xml:space="preserve">Southwest Texas Junior College </t>
  </si>
  <si>
    <t xml:space="preserve">Temple College </t>
  </si>
  <si>
    <t xml:space="preserve">Texarkana College </t>
  </si>
  <si>
    <t xml:space="preserve">Texas State Technical College-Harlingen </t>
  </si>
  <si>
    <t>Texas State Technical College-Waco</t>
  </si>
  <si>
    <t>Trinity Valley Community College</t>
  </si>
  <si>
    <t xml:space="preserve">Vernon College </t>
  </si>
  <si>
    <t xml:space="preserve">Victoria College </t>
  </si>
  <si>
    <t xml:space="preserve">Weatherford College </t>
  </si>
  <si>
    <t xml:space="preserve">Wharton County Junior College </t>
  </si>
  <si>
    <t xml:space="preserve">Clarendon College </t>
  </si>
  <si>
    <t xml:space="preserve">Frank Phillips College </t>
  </si>
  <si>
    <t xml:space="preserve">Galveston College </t>
  </si>
  <si>
    <t>Lamar State College-Orange</t>
  </si>
  <si>
    <t>Lamar State College-Port Arthur</t>
  </si>
  <si>
    <t>Northeast Lakeview College (ACCD)</t>
  </si>
  <si>
    <t>???</t>
  </si>
  <si>
    <t xml:space="preserve">Northeast Texas Community College </t>
  </si>
  <si>
    <t>Panola College</t>
  </si>
  <si>
    <t xml:space="preserve">Ranger College </t>
  </si>
  <si>
    <t>Southwest Collegiate Institute for the Deaf (HCJCD)</t>
  </si>
  <si>
    <t>Texas State Technical College-Marshall</t>
  </si>
  <si>
    <t>Texas State Technical College-West Texas</t>
  </si>
  <si>
    <t xml:space="preserve">Western Texas College </t>
  </si>
  <si>
    <t>Texas A &amp; M University - Central Texas</t>
  </si>
  <si>
    <t>Texas A &amp; M University - San Antonio</t>
  </si>
  <si>
    <t>University of North Texas at Dallas</t>
  </si>
  <si>
    <t>New fall 2009. No degrees yet granted.</t>
  </si>
  <si>
    <t xml:space="preserve">George Mason University </t>
  </si>
  <si>
    <t xml:space="preserve">Old Dominion University </t>
  </si>
  <si>
    <t>University of Virginia</t>
  </si>
  <si>
    <t xml:space="preserve">Virginia Tech </t>
  </si>
  <si>
    <t>College of William &amp; Mary</t>
  </si>
  <si>
    <t>Virginia Commonwealth University</t>
  </si>
  <si>
    <t xml:space="preserve">James Madison University  </t>
  </si>
  <si>
    <t xml:space="preserve">Norfolk State University </t>
  </si>
  <si>
    <t>Radford University</t>
  </si>
  <si>
    <t xml:space="preserve">Virginia State University </t>
  </si>
  <si>
    <t>Christopher Newport University</t>
  </si>
  <si>
    <t xml:space="preserve">Longwood University </t>
  </si>
  <si>
    <t xml:space="preserve">University of Mary Washington </t>
  </si>
  <si>
    <t xml:space="preserve">University of Virginia's College at Wise </t>
  </si>
  <si>
    <t>J.S. Reynolds Community College</t>
  </si>
  <si>
    <t xml:space="preserve">Northern Virginia Community College </t>
  </si>
  <si>
    <t xml:space="preserve">Thomas Nelson Community College </t>
  </si>
  <si>
    <t xml:space="preserve">Tidewater Community College </t>
  </si>
  <si>
    <t xml:space="preserve">Blue Ridge Community College </t>
  </si>
  <si>
    <t xml:space="preserve">Central Virginia Community College </t>
  </si>
  <si>
    <t xml:space="preserve">Danville Community College </t>
  </si>
  <si>
    <t>Germanna Community College</t>
  </si>
  <si>
    <t>John Tyler Community College</t>
  </si>
  <si>
    <t xml:space="preserve">Lord Fairfax Community College  </t>
  </si>
  <si>
    <t xml:space="preserve">New River Community College </t>
  </si>
  <si>
    <t xml:space="preserve">Piedmont Virginia Community College </t>
  </si>
  <si>
    <t xml:space="preserve">Southside Virginia Community College  </t>
  </si>
  <si>
    <t xml:space="preserve">Southwest Virginia Community College </t>
  </si>
  <si>
    <t xml:space="preserve">Virginia Western Community College </t>
  </si>
  <si>
    <t xml:space="preserve">D.S. Lancaster Community College </t>
  </si>
  <si>
    <t xml:space="preserve">Eastern Shore Community College  </t>
  </si>
  <si>
    <t>Mountain Empire Community College</t>
  </si>
  <si>
    <t xml:space="preserve">Patrick Henry Community College </t>
  </si>
  <si>
    <t xml:space="preserve">Paul D. Camp Community College  </t>
  </si>
  <si>
    <t xml:space="preserve">Rappahannock Community College  </t>
  </si>
  <si>
    <t xml:space="preserve">Virginia Highlands Community College </t>
  </si>
  <si>
    <t xml:space="preserve">Wytheville Community College </t>
  </si>
  <si>
    <t xml:space="preserve">Richard Bland College </t>
  </si>
  <si>
    <t>All Community Colleges except R.Bland</t>
  </si>
  <si>
    <t>All CC x Bland</t>
  </si>
  <si>
    <t>West Virginia University</t>
  </si>
  <si>
    <t xml:space="preserve">Marshall University </t>
  </si>
  <si>
    <t>Fairmont State University</t>
  </si>
  <si>
    <t xml:space="preserve">Shepherd University </t>
  </si>
  <si>
    <t xml:space="preserve">Bluefield State College </t>
  </si>
  <si>
    <t xml:space="preserve">Concord University </t>
  </si>
  <si>
    <t xml:space="preserve">Glenville State College </t>
  </si>
  <si>
    <t>West Liberty University</t>
  </si>
  <si>
    <t xml:space="preserve">West Virginia State University </t>
  </si>
  <si>
    <t>West Virginia University Institute of Technology</t>
  </si>
  <si>
    <t>Potomac State College of West Virginia University</t>
  </si>
  <si>
    <t>West Virginia University at Parkersburg</t>
  </si>
  <si>
    <t>Blue Ridge Community &amp; Technical College</t>
  </si>
  <si>
    <t>Bridgemont Community &amp; Technical College</t>
  </si>
  <si>
    <t>Eastern West Virginia Community &amp; Technical College</t>
  </si>
  <si>
    <t>Kanawha Valley Community &amp; Technical College</t>
  </si>
  <si>
    <t>Mountwest Community &amp; Technical College</t>
  </si>
  <si>
    <t>New River Community &amp; Technical College</t>
  </si>
  <si>
    <t>Pierpont Community &amp; Technical College</t>
  </si>
  <si>
    <t xml:space="preserve">Southern West Virginia Community &amp; Technical College </t>
  </si>
  <si>
    <t>West Virginia Northern Community College</t>
  </si>
  <si>
    <t>Met the criteria for Four-Year 1 in 2011-12.</t>
  </si>
  <si>
    <t>Reclassified: met the criteria for Four-Year 1 in 2009-10, 2010-11 and 2011-12.</t>
  </si>
  <si>
    <t>Met the criteria for Four-Year 1 in 2010-11 and 2011-12.</t>
  </si>
  <si>
    <t>Reclassified: Met the criteria for Four-Year 3 in 2009-10, 2010-11 and 2011-12.</t>
  </si>
  <si>
    <t>New fall 2009. Met the criteria for Four-Year 4 in 2010-11 and 2011-12.</t>
  </si>
  <si>
    <t>New fall 2009. Met the criteria for Four-Year 5 in 2010-11 and 2011-12.</t>
  </si>
  <si>
    <t>Reclassified: met criteria for Technical Institute or College 2 in 2009-10, 2010-11 and 2011-12.</t>
  </si>
  <si>
    <t xml:space="preserve">New institution no longer in start up phase. </t>
  </si>
  <si>
    <t>Reclassified: Met criteria for Two-Year 1 in 2009-10, 2010-11 and 2011-12.</t>
  </si>
  <si>
    <t>Met the criteria for Two-Year 1 in 2010-11 amd 2011-12.</t>
  </si>
  <si>
    <t>Reclassified: Met criteria for Two-Year 2 in 2009-10, 2010-11 and 2011-12.</t>
  </si>
  <si>
    <t>Met criteria for Two-Year 2 in 2010-11 and 2011-12.</t>
  </si>
  <si>
    <t>Asheville-Buncombe Technical Community College</t>
  </si>
  <si>
    <t>Cape Fear Community College</t>
  </si>
  <si>
    <t xml:space="preserve">Central Piedmont Community College </t>
  </si>
  <si>
    <t>Fayetteville Technical Community College</t>
  </si>
  <si>
    <t>Forsyth Technical Community College</t>
  </si>
  <si>
    <t xml:space="preserve">Gaston College </t>
  </si>
  <si>
    <t>Guilford Technical Community College</t>
  </si>
  <si>
    <t>Pitt Community College</t>
  </si>
  <si>
    <t>Rowan-Cabarrus Community College</t>
  </si>
  <si>
    <t>Wake Technical Community College</t>
  </si>
  <si>
    <t>Alamance Community College</t>
  </si>
  <si>
    <t>Caldwell Community College &amp; Technical Institute</t>
  </si>
  <si>
    <t>Catawba Valley Community College</t>
  </si>
  <si>
    <t>Central Carolina Commuity College</t>
  </si>
  <si>
    <t>Cleveland Community College</t>
  </si>
  <si>
    <t xml:space="preserve">Coastal Carolina Community College </t>
  </si>
  <si>
    <t xml:space="preserve">Craven Community College </t>
  </si>
  <si>
    <t xml:space="preserve">Davidson County Community College </t>
  </si>
  <si>
    <t>Durham Technical Community College</t>
  </si>
  <si>
    <t>Edgecombe Community College</t>
  </si>
  <si>
    <t>Haywood Community College</t>
  </si>
  <si>
    <t xml:space="preserve">Isothermal Community College </t>
  </si>
  <si>
    <t>Johnston Community College</t>
  </si>
  <si>
    <t xml:space="preserve">Lenoir Community College </t>
  </si>
  <si>
    <t xml:space="preserve">Mitchell Community College </t>
  </si>
  <si>
    <t>Nash Community College</t>
  </si>
  <si>
    <t>Randolph Community College</t>
  </si>
  <si>
    <t>Robeson Community College</t>
  </si>
  <si>
    <t xml:space="preserve">Sandhills Community College </t>
  </si>
  <si>
    <t>Stanly Community College</t>
  </si>
  <si>
    <t xml:space="preserve">Surry Community College </t>
  </si>
  <si>
    <t xml:space="preserve">Vance-Granville Community College </t>
  </si>
  <si>
    <t>Wayne Community College</t>
  </si>
  <si>
    <t xml:space="preserve">Western Piedmont Community College </t>
  </si>
  <si>
    <t xml:space="preserve">Wilkes Community College </t>
  </si>
  <si>
    <t xml:space="preserve">Beaufort County Community College </t>
  </si>
  <si>
    <t>Bladen Community College</t>
  </si>
  <si>
    <t>Blue Ridge Community College</t>
  </si>
  <si>
    <t>Brunswick Community College</t>
  </si>
  <si>
    <t>Carteret Community College</t>
  </si>
  <si>
    <t>College of the Albemarle</t>
  </si>
  <si>
    <t xml:space="preserve">Halifax Community College </t>
  </si>
  <si>
    <t>James Sprunt Community College</t>
  </si>
  <si>
    <t xml:space="preserve">Martin Community College </t>
  </si>
  <si>
    <t>Mayland Community College</t>
  </si>
  <si>
    <t>McDowell Technical Community College</t>
  </si>
  <si>
    <t>Montgomery Community College</t>
  </si>
  <si>
    <t>Pamlico Community College</t>
  </si>
  <si>
    <t>Piedmont Community College</t>
  </si>
  <si>
    <t>Richmond Community College</t>
  </si>
  <si>
    <t>Roanoke-Chowan Community College</t>
  </si>
  <si>
    <t xml:space="preserve">Rockingham Community College </t>
  </si>
  <si>
    <t>Sampson Community College</t>
  </si>
  <si>
    <t>South Piedmont Community College</t>
  </si>
  <si>
    <t xml:space="preserve">Southeastern Community College </t>
  </si>
  <si>
    <t xml:space="preserve">Southwestern Community College </t>
  </si>
  <si>
    <t xml:space="preserve">Tri-County Community College </t>
  </si>
  <si>
    <t>Wilson Community College</t>
  </si>
  <si>
    <t>Met criteria for Two-Year 2 in 2011-12.</t>
  </si>
  <si>
    <t>Met criteria for Two-Year 3 in 2011-12.</t>
  </si>
  <si>
    <t>Reclassified: Met the criteria for Four-Year 2 in 2009-10, 2010-11, and 2011-12.</t>
  </si>
  <si>
    <t>Met the criteria for Four-Year 4 in 2011-12.</t>
  </si>
  <si>
    <t>Reclassified: Met the criteria for Two-year 1 in 2009-10, 2010-11, and 2011-12.</t>
  </si>
  <si>
    <t>Reclassified: Met the criteria for Two-year 2 in 2009-10, 2010-11, and 2011-12.</t>
  </si>
  <si>
    <t>Met the criteria for Technical Institute or College 1 in 2010-11 and 2011-12.</t>
  </si>
  <si>
    <t>Met the criteria for Technical Institute or College 1 in 2011-12.</t>
  </si>
  <si>
    <t>University of Maryland College Park</t>
  </si>
  <si>
    <t>University of Maryland, Baltimore County</t>
  </si>
  <si>
    <t>Morgan State University</t>
  </si>
  <si>
    <t xml:space="preserve">Towson University </t>
  </si>
  <si>
    <t xml:space="preserve">Bowie State University </t>
  </si>
  <si>
    <t>Coppin State University</t>
  </si>
  <si>
    <t xml:space="preserve">Frostburg State University </t>
  </si>
  <si>
    <t xml:space="preserve">Salisbury University </t>
  </si>
  <si>
    <t>University of Baltimore</t>
  </si>
  <si>
    <t xml:space="preserve">University of Maryland Eastern Shore </t>
  </si>
  <si>
    <t>Saint Mary's College of Maryland</t>
  </si>
  <si>
    <t xml:space="preserve">Anne Arundel Community College </t>
  </si>
  <si>
    <t>Community College of Baltimore County (all campuses)</t>
  </si>
  <si>
    <t>Montgomery College (all campuses)</t>
  </si>
  <si>
    <t xml:space="preserve">Prince George's Community College </t>
  </si>
  <si>
    <t>Allegany College of Maryland</t>
  </si>
  <si>
    <t>Baltimore City Community College</t>
  </si>
  <si>
    <t>Carroll Community College</t>
  </si>
  <si>
    <t>College of Southern Maryland</t>
  </si>
  <si>
    <t xml:space="preserve">Frederick Community College </t>
  </si>
  <si>
    <t xml:space="preserve">Hagerstown Community College </t>
  </si>
  <si>
    <t xml:space="preserve">Harford Community College </t>
  </si>
  <si>
    <t xml:space="preserve">Howard Community College </t>
  </si>
  <si>
    <t xml:space="preserve">Wor-Wic Community College </t>
  </si>
  <si>
    <t xml:space="preserve">Cecil Community College </t>
  </si>
  <si>
    <t xml:space="preserve">Chesapeake College </t>
  </si>
  <si>
    <t xml:space="preserve">Garrett College </t>
  </si>
  <si>
    <t>Reclassified: Met the criteria for  Four-Year 2 in 2009-10, 2010-11 and 2011-12.</t>
  </si>
  <si>
    <t>Met the criteria for Four-Year 5 in 2010-11 and 2011-12.</t>
  </si>
  <si>
    <t>Met the criteria for Two-Year 1 in 2011-12.</t>
  </si>
  <si>
    <t>Reclassified: Met the criteria for Two-Year 1 in 2009-10, 2010-11, and 2011-12.</t>
  </si>
  <si>
    <t xml:space="preserve">Hinds Community College </t>
  </si>
  <si>
    <t xml:space="preserve">Itawamba Community College </t>
  </si>
  <si>
    <t xml:space="preserve">Mississippi Gulf Coast Community College </t>
  </si>
  <si>
    <t xml:space="preserve">Northwest Mississippi Community College </t>
  </si>
  <si>
    <t xml:space="preserve">Copiah-Lincoln Community College </t>
  </si>
  <si>
    <t xml:space="preserve">East Central Community College </t>
  </si>
  <si>
    <t xml:space="preserve">East Mississippi Community College </t>
  </si>
  <si>
    <t xml:space="preserve">Holmes Community College </t>
  </si>
  <si>
    <t xml:space="preserve">Jones County Junior College </t>
  </si>
  <si>
    <t xml:space="preserve">Meridian Community College </t>
  </si>
  <si>
    <t xml:space="preserve">Mississippi Delta Community College </t>
  </si>
  <si>
    <t xml:space="preserve">Northeast Mississippi Community College </t>
  </si>
  <si>
    <t xml:space="preserve">Pearl River Community College </t>
  </si>
  <si>
    <t xml:space="preserve">Coahoma Community College </t>
  </si>
  <si>
    <t>Southwest Mississippi Community College</t>
  </si>
  <si>
    <t>Met criteria for Two-Year 2 2011-12.</t>
  </si>
  <si>
    <t>Met criteria for Two-Year 3 2011-12.</t>
  </si>
  <si>
    <t>Met the criteria for Four-Year 1 in 2011-2012</t>
  </si>
  <si>
    <t>Met the criteria for Four-Year 3 in 2011-2012</t>
  </si>
  <si>
    <t>Met the criteria for Four-Year 4 in 2011-2012</t>
  </si>
  <si>
    <t>Reclassified: Met the criteria for Two-Year 2 in 2009-10, 2010-11, and 2011-12.</t>
  </si>
  <si>
    <t xml:space="preserve">Brevard Community College </t>
  </si>
  <si>
    <t xml:space="preserve">Broward College </t>
  </si>
  <si>
    <t>College of Central Florida</t>
  </si>
  <si>
    <t xml:space="preserve">Chipola College </t>
  </si>
  <si>
    <t xml:space="preserve">Daytona State College </t>
  </si>
  <si>
    <t xml:space="preserve">Edison State College </t>
  </si>
  <si>
    <t>Florida State College at Jacksonville</t>
  </si>
  <si>
    <t xml:space="preserve">Florida Keys Community College </t>
  </si>
  <si>
    <t xml:space="preserve">Gulf Coast Community College </t>
  </si>
  <si>
    <t xml:space="preserve">Hillsborough Community College </t>
  </si>
  <si>
    <t xml:space="preserve">Indian River State College </t>
  </si>
  <si>
    <t xml:space="preserve">Lake City Community College </t>
  </si>
  <si>
    <t xml:space="preserve">Lake-Sumter Community College </t>
  </si>
  <si>
    <t>State College of Florida, Manatee-Sarasota</t>
  </si>
  <si>
    <t xml:space="preserve">Miami Dade College </t>
  </si>
  <si>
    <t xml:space="preserve">North Florida Community College </t>
  </si>
  <si>
    <t>Northwest Florida State College</t>
  </si>
  <si>
    <t xml:space="preserve">Palm Beach State College </t>
  </si>
  <si>
    <t xml:space="preserve">Pasco-Hernando Community College </t>
  </si>
  <si>
    <t xml:space="preserve">Pensacola State College </t>
  </si>
  <si>
    <t xml:space="preserve">Polk State College </t>
  </si>
  <si>
    <t xml:space="preserve">St. Johns River Community College </t>
  </si>
  <si>
    <t xml:space="preserve">St. Petersburg College </t>
  </si>
  <si>
    <t xml:space="preserve">Santa Fe College </t>
  </si>
  <si>
    <t>Seminole State College of Florida</t>
  </si>
  <si>
    <t xml:space="preserve">South Florida Community College </t>
  </si>
  <si>
    <t xml:space="preserve">Tallahassee Community College </t>
  </si>
  <si>
    <t xml:space="preserve">Valencia Community College </t>
  </si>
  <si>
    <t>Reclassified: Met criteria for Two-Year with Bachelor's in 2009-10, 2010-11, and 2011-12.</t>
  </si>
  <si>
    <t>Reclassified: Met the criteria for Two-Year 1 institution in 2009-10, 2010-11, and 2011-12.</t>
  </si>
  <si>
    <t>Met the criteria for Two-Year 2 institution in 2010-11 and 2011-12.</t>
  </si>
  <si>
    <t>Met the criteria for Two-Year 2 institution in 2011-12.</t>
  </si>
  <si>
    <t>Met the criteria for Two-year 1 in 2010-11 and 2011-12.</t>
  </si>
  <si>
    <t>Section I:  9-10 Month or 9-month-equivalent (explain factors for 9-month-equivalent if used)</t>
  </si>
  <si>
    <t>Section II:  11-12 Month</t>
  </si>
  <si>
    <t>"Master" Formulas</t>
  </si>
  <si>
    <t>Technical</t>
  </si>
  <si>
    <t>=(6711940+(0.818181818181818))/BW274</t>
  </si>
  <si>
    <t>=(4581506+(0.818181818181818))/BW275</t>
  </si>
  <si>
    <t>=(3727589+(0.818181818181818))/BW276</t>
  </si>
  <si>
    <t>=(2229521+(0.818181818181818))/BW277</t>
  </si>
  <si>
    <t>=(420699+(0.818181818181818))/BW279</t>
  </si>
  <si>
    <t>=(977337+(0.818181818181818))/BW280</t>
  </si>
  <si>
    <t>=(1464959+(0.818181818181818))/BW281</t>
  </si>
  <si>
    <t>=(940494+(0.818181818181818))/BW282</t>
  </si>
  <si>
    <t>=(3046413+(0.818181818181818))/BW283</t>
  </si>
  <si>
    <t>=(395739+(0.818181818181818))/BW284</t>
  </si>
  <si>
    <t>=(1390281+(0.818181818181818))/BW285</t>
  </si>
  <si>
    <t>=(939178+(0.818181818181818))/BW287</t>
  </si>
  <si>
    <t>=(399110+(0.818181818181818))/BW288</t>
  </si>
  <si>
    <t xml:space="preserve">These formulas for column BX are not correct. If you were trying to reduce by .81818, you would multiply not add. </t>
  </si>
  <si>
    <t>Anyway, we take care of the reduction in column BY. So we've assumed the formulas are as shown.</t>
  </si>
  <si>
    <t>Public Universities, Colleges and Technical Institutes, 2011-12</t>
  </si>
  <si>
    <t xml:space="preserve"> December 2012</t>
  </si>
  <si>
    <t>Public Technical Institute or College Size Unknown, 2011-12</t>
  </si>
  <si>
    <t>Public Technical Institute or College 2, 2011-12</t>
  </si>
  <si>
    <t>Public Technical Institute or College 1, 2011-12</t>
  </si>
  <si>
    <t>Public Technical Institutes or Colleges, 2011-12</t>
  </si>
  <si>
    <t>Public Two-Year Size Unknown, 2011-12</t>
  </si>
  <si>
    <t>Public Two-Year 3, 2011-12</t>
  </si>
  <si>
    <t>Public Two-Year 2, 2011-12</t>
  </si>
  <si>
    <t>Public Two-Year 1, 2011-12</t>
  </si>
  <si>
    <t>Public Two-Year with Bachelor's, 2011-12</t>
  </si>
  <si>
    <t>Public Two-Year, 2011-12</t>
  </si>
  <si>
    <t>Public Four-Year 5 Institutions, 2011-12</t>
  </si>
  <si>
    <t>Public Four-Year 4 Institutions, 2011-12</t>
  </si>
  <si>
    <t>Public Four-Year 3 Institutions, 2011-12</t>
  </si>
  <si>
    <t>Public Four-Year 2 Institutions, 2011-12</t>
  </si>
  <si>
    <t>Public Four-Year 6 Institutions, 2011-12</t>
  </si>
  <si>
    <t>Public Four-Year Institutions, 2011-12</t>
  </si>
  <si>
    <t>Public Two-Year Institutions, 2011-12</t>
  </si>
  <si>
    <t>Public Four-Year 1 Institutions, 2011-12</t>
  </si>
  <si>
    <t>Public Institutions, SREB States, 2011-12</t>
  </si>
  <si>
    <t>9-10 month original submission</t>
  </si>
  <si>
    <t>11-12 month original submission</t>
  </si>
  <si>
    <t>Met the criteria for Two-Year with Bachelor's in 2011-12.</t>
  </si>
  <si>
    <t>Met the criteria for Four-Year 2 in 2010-11.</t>
  </si>
  <si>
    <t>Met the criteria for Four-Year 3 in 2010-11.</t>
  </si>
  <si>
    <t>Reclassified: met the criteria for Two-Year 2 in 2008-09, 2009-10 and 2010-11.</t>
  </si>
  <si>
    <t>Met the criteria for Two-Year 1 in 2010-11.</t>
  </si>
  <si>
    <t>Met the criteria for Two-Year 2 in 2010-11.</t>
  </si>
  <si>
    <t>Met the criteria for Technical Institute 1 in 2010-11.</t>
  </si>
  <si>
    <r>
      <t xml:space="preserve">Single Rank </t>
    </r>
    <r>
      <rPr>
        <u/>
        <sz val="12"/>
        <rFont val="Arial"/>
        <family val="2"/>
      </rPr>
      <t>[for two-year collleges only]</t>
    </r>
  </si>
  <si>
    <t>January 2013</t>
  </si>
  <si>
    <t>XXX Table 161 b  XXX</t>
  </si>
  <si>
    <t>Table 162</t>
  </si>
  <si>
    <t>XXX  Table 161 b  XXX</t>
  </si>
  <si>
    <t>11-12 month</t>
  </si>
  <si>
    <t xml:space="preserve"> February 2013</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</si>
</sst>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5" formatCode="&quot;$&quot;#,##0_);\(&quot;$&quot;#,##0\)"/>
    <numFmt numFmtId="44" formatCode="_(&quot;$&quot;* #,##0.00_);_(&quot;$&quot;* \(#,##0.00\);_(&quot;$&quot;* &quot;-&quot;??_);_(@_)"/>
    <numFmt numFmtId="43" formatCode="_(* #,##0.00_);_(* \(#,##0.00\);_(* &quot;-&quot;??_);_(@_)"/>
    <numFmt numFmtId="164" formatCode="0_)"/>
    <numFmt numFmtId="165" formatCode=";;;"/>
    <numFmt numFmtId="166" formatCode="_(* #,##0_);_(* \(#,##0\);_(* &quot;-&quot;??_);_(@_)"/>
    <numFmt numFmtId="167" formatCode="&quot;$&quot;#,##0"/>
    <numFmt numFmtId="168" formatCode="0.0%"/>
    <numFmt numFmtId="169" formatCode="#,##0.000_);\(#,##0.000\)"/>
    <numFmt numFmtId="170" formatCode="####0"/>
    <numFmt numFmtId="171" formatCode="###,##0"/>
    <numFmt numFmtId="172" formatCode="######0"/>
    <numFmt numFmtId="173" formatCode="General_)"/>
  </numFmts>
  <fonts count="57" x14ac:knownFonts="1">
    <font>
      <sz val="12"/>
      <name val="AGaramond"/>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name val="AGaramond"/>
      <family val="1"/>
    </font>
    <font>
      <sz val="12"/>
      <name val="AGaramond"/>
      <family val="1"/>
    </font>
    <font>
      <sz val="8"/>
      <name val="Arial"/>
      <family val="2"/>
    </font>
    <font>
      <b/>
      <sz val="14"/>
      <name val="Arial"/>
      <family val="2"/>
    </font>
    <font>
      <b/>
      <sz val="10"/>
      <name val="Arial"/>
      <family val="2"/>
    </font>
    <font>
      <b/>
      <sz val="12"/>
      <name val="Arial"/>
      <family val="2"/>
    </font>
    <font>
      <sz val="10"/>
      <name val="Arial"/>
      <family val="2"/>
    </font>
    <font>
      <b/>
      <sz val="9"/>
      <name val="Arial"/>
      <family val="2"/>
    </font>
    <font>
      <sz val="9"/>
      <name val="Arial"/>
      <family val="2"/>
    </font>
    <font>
      <sz val="12"/>
      <name val="Arial"/>
      <family val="2"/>
    </font>
    <font>
      <i/>
      <sz val="14"/>
      <name val="Arial"/>
      <family val="2"/>
    </font>
    <font>
      <b/>
      <i/>
      <sz val="12"/>
      <name val="Arial"/>
      <family val="2"/>
    </font>
    <font>
      <b/>
      <sz val="9"/>
      <color indexed="8"/>
      <name val="Arial"/>
      <family val="2"/>
    </font>
    <font>
      <sz val="10"/>
      <color indexed="8"/>
      <name val="Arial"/>
      <family val="2"/>
    </font>
    <font>
      <sz val="8"/>
      <name val="AGaramond"/>
      <family val="1"/>
    </font>
    <font>
      <sz val="14"/>
      <name val="Arial"/>
      <family val="2"/>
    </font>
    <font>
      <b/>
      <sz val="10"/>
      <color indexed="43"/>
      <name val="Arial"/>
      <family val="2"/>
    </font>
    <font>
      <b/>
      <sz val="10"/>
      <color indexed="12"/>
      <name val="Arial"/>
      <family val="2"/>
    </font>
    <font>
      <b/>
      <sz val="10"/>
      <color indexed="10"/>
      <name val="ARIAL"/>
      <family val="2"/>
    </font>
    <font>
      <i/>
      <sz val="12"/>
      <name val="Arial"/>
      <family val="2"/>
    </font>
    <font>
      <b/>
      <i/>
      <sz val="14"/>
      <color indexed="8"/>
      <name val="Arial"/>
      <family val="2"/>
    </font>
    <font>
      <sz val="10"/>
      <color indexed="12"/>
      <name val="Arial"/>
      <family val="2"/>
    </font>
    <font>
      <sz val="12"/>
      <name val="AGaramond"/>
      <family val="3"/>
    </font>
    <font>
      <i/>
      <sz val="10"/>
      <name val="Arial"/>
      <family val="2"/>
    </font>
    <font>
      <b/>
      <sz val="10"/>
      <color theme="0"/>
      <name val="Arial"/>
      <family val="2"/>
    </font>
    <font>
      <b/>
      <sz val="10"/>
      <color rgb="FF0000FF"/>
      <name val="Arial"/>
      <family val="2"/>
    </font>
    <font>
      <sz val="10"/>
      <color rgb="FF0000FF"/>
      <name val="Arial"/>
      <family val="2"/>
    </font>
    <font>
      <sz val="11"/>
      <color theme="1"/>
      <name val="Calibri"/>
      <family val="2"/>
      <scheme val="minor"/>
    </font>
    <font>
      <b/>
      <sz val="8"/>
      <name val="Times New Roman"/>
      <family val="1"/>
    </font>
    <font>
      <b/>
      <sz val="8"/>
      <color rgb="FFC00000"/>
      <name val="Times New Roman"/>
      <family val="1"/>
    </font>
    <font>
      <b/>
      <sz val="10"/>
      <color rgb="FFC00000"/>
      <name val="Arial"/>
      <family val="2"/>
    </font>
    <font>
      <sz val="10"/>
      <color theme="1"/>
      <name val="Arial"/>
      <family val="2"/>
    </font>
    <font>
      <b/>
      <sz val="8"/>
      <color indexed="81"/>
      <name val="Tahoma"/>
      <family val="2"/>
    </font>
    <font>
      <sz val="8"/>
      <color indexed="81"/>
      <name val="Tahoma"/>
      <family val="2"/>
    </font>
    <font>
      <b/>
      <sz val="10"/>
      <color indexed="81"/>
      <name val="Tahoma"/>
      <family val="2"/>
    </font>
    <font>
      <sz val="10"/>
      <color indexed="81"/>
      <name val="Tahoma"/>
      <family val="2"/>
    </font>
    <font>
      <b/>
      <sz val="8"/>
      <color rgb="FFFF0000"/>
      <name val="Times New Roman"/>
      <family val="1"/>
    </font>
    <font>
      <b/>
      <sz val="10"/>
      <color rgb="FFFF0000"/>
      <name val="Arial"/>
      <family val="2"/>
    </font>
    <font>
      <sz val="11"/>
      <color indexed="8"/>
      <name val="Calibri"/>
      <family val="2"/>
    </font>
    <font>
      <sz val="10"/>
      <name val="Courier"/>
      <family val="3"/>
    </font>
    <font>
      <sz val="10"/>
      <name val="Helv"/>
    </font>
    <font>
      <b/>
      <sz val="10"/>
      <color rgb="FFFFFF00"/>
      <name val="Arial"/>
      <family val="2"/>
    </font>
    <font>
      <sz val="9"/>
      <color indexed="81"/>
      <name val="Tahoma"/>
      <family val="2"/>
    </font>
    <font>
      <b/>
      <sz val="9"/>
      <color indexed="81"/>
      <name val="Tahoma"/>
      <family val="2"/>
    </font>
    <font>
      <b/>
      <u/>
      <sz val="10"/>
      <color rgb="FFC00000"/>
      <name val="Arial"/>
      <family val="2"/>
    </font>
    <font>
      <sz val="10"/>
      <color rgb="FFC00000"/>
      <name val="Arial"/>
      <family val="2"/>
    </font>
    <font>
      <b/>
      <sz val="11"/>
      <color indexed="10"/>
      <name val="Tahoma"/>
      <family val="2"/>
    </font>
    <font>
      <sz val="12"/>
      <name val="AGaramond"/>
      <family val="1"/>
    </font>
    <font>
      <sz val="10"/>
      <color rgb="FF000000"/>
      <name val="Times New Roman"/>
      <family val="1"/>
    </font>
    <font>
      <u/>
      <sz val="12"/>
      <name val="Arial"/>
      <family val="2"/>
    </font>
  </fonts>
  <fills count="30">
    <fill>
      <patternFill patternType="none"/>
    </fill>
    <fill>
      <patternFill patternType="gray125"/>
    </fill>
    <fill>
      <patternFill patternType="solid">
        <fgColor indexed="16"/>
        <bgColor indexed="64"/>
      </patternFill>
    </fill>
    <fill>
      <patternFill patternType="solid">
        <fgColor indexed="47"/>
        <bgColor indexed="64"/>
      </patternFill>
    </fill>
    <fill>
      <patternFill patternType="solid">
        <fgColor indexed="13"/>
        <bgColor indexed="64"/>
      </patternFill>
    </fill>
    <fill>
      <patternFill patternType="solid">
        <fgColor indexed="47"/>
        <bgColor indexed="42"/>
      </patternFill>
    </fill>
    <fill>
      <patternFill patternType="solid">
        <fgColor theme="1"/>
        <bgColor indexed="64"/>
      </patternFill>
    </fill>
    <fill>
      <patternFill patternType="solid">
        <fgColor theme="0" tint="-0.14999847407452621"/>
        <bgColor indexed="64"/>
      </patternFill>
    </fill>
    <fill>
      <patternFill patternType="solid">
        <fgColor theme="0"/>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rgb="FFC00000"/>
        <bgColor indexed="64"/>
      </patternFill>
    </fill>
    <fill>
      <patternFill patternType="solid">
        <fgColor indexed="45"/>
        <bgColor indexed="64"/>
      </patternFill>
    </fill>
    <fill>
      <patternFill patternType="solid">
        <fgColor indexed="43"/>
        <bgColor indexed="64"/>
      </patternFill>
    </fill>
    <fill>
      <patternFill patternType="solid">
        <fgColor indexed="42"/>
        <bgColor indexed="64"/>
      </patternFill>
    </fill>
    <fill>
      <patternFill patternType="solid">
        <fgColor indexed="42"/>
        <bgColor indexed="42"/>
      </patternFill>
    </fill>
    <fill>
      <patternFill patternType="solid">
        <fgColor rgb="FFFF99CC"/>
        <bgColor indexed="64"/>
      </patternFill>
    </fill>
    <fill>
      <patternFill patternType="solid">
        <fgColor indexed="44"/>
        <bgColor indexed="64"/>
      </patternFill>
    </fill>
    <fill>
      <patternFill patternType="solid">
        <fgColor indexed="44"/>
        <bgColor indexed="42"/>
      </patternFill>
    </fill>
    <fill>
      <patternFill patternType="solid">
        <fgColor rgb="FFFFFF00"/>
        <bgColor indexed="64"/>
      </patternFill>
    </fill>
    <fill>
      <patternFill patternType="solid">
        <fgColor indexed="51"/>
        <bgColor indexed="64"/>
      </patternFill>
    </fill>
    <fill>
      <patternFill patternType="solid">
        <fgColor rgb="FFFFCC00"/>
        <bgColor indexed="64"/>
      </patternFill>
    </fill>
    <fill>
      <patternFill patternType="solid">
        <fgColor indexed="42"/>
      </patternFill>
    </fill>
    <fill>
      <patternFill patternType="solid">
        <fgColor indexed="46"/>
        <bgColor indexed="64"/>
      </patternFill>
    </fill>
    <fill>
      <patternFill patternType="solid">
        <fgColor indexed="45"/>
        <bgColor indexed="42"/>
      </patternFill>
    </fill>
    <fill>
      <patternFill patternType="solid">
        <fgColor indexed="15"/>
        <bgColor indexed="64"/>
      </patternFill>
    </fill>
    <fill>
      <patternFill patternType="solid">
        <fgColor indexed="15"/>
        <bgColor indexed="42"/>
      </patternFill>
    </fill>
    <fill>
      <patternFill patternType="solid">
        <fgColor indexed="43"/>
        <bgColor indexed="42"/>
      </patternFill>
    </fill>
    <fill>
      <patternFill patternType="solid">
        <fgColor theme="5" tint="0.59999389629810485"/>
        <bgColor indexed="64"/>
      </patternFill>
    </fill>
    <fill>
      <patternFill patternType="solid">
        <fgColor rgb="FF00FFFF"/>
        <bgColor indexed="64"/>
      </patternFill>
    </fill>
  </fills>
  <borders count="57">
    <border>
      <left/>
      <right/>
      <top/>
      <bottom/>
      <diagonal/>
    </border>
    <border>
      <left/>
      <right/>
      <top/>
      <bottom style="thin">
        <color indexed="8"/>
      </bottom>
      <diagonal/>
    </border>
    <border>
      <left/>
      <right/>
      <top style="thin">
        <color indexed="8"/>
      </top>
      <bottom/>
      <diagonal/>
    </border>
    <border>
      <left/>
      <right/>
      <top style="thin">
        <color indexed="8"/>
      </top>
      <bottom style="thin">
        <color indexed="8"/>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8"/>
      </left>
      <right/>
      <top/>
      <bottom/>
      <diagonal/>
    </border>
    <border>
      <left style="thin">
        <color indexed="8"/>
      </left>
      <right/>
      <top style="thin">
        <color indexed="8"/>
      </top>
      <bottom/>
      <diagonal/>
    </border>
    <border>
      <left style="thin">
        <color indexed="65"/>
      </left>
      <right/>
      <top style="thin">
        <color indexed="8"/>
      </top>
      <bottom/>
      <diagonal/>
    </border>
    <border>
      <left style="thin">
        <color indexed="8"/>
      </left>
      <right/>
      <top style="thin">
        <color indexed="65"/>
      </top>
      <bottom/>
      <diagonal/>
    </border>
    <border>
      <left style="thin">
        <color indexed="65"/>
      </left>
      <right/>
      <top style="thin">
        <color indexed="65"/>
      </top>
      <bottom/>
      <diagonal/>
    </border>
    <border>
      <left style="thin">
        <color indexed="65"/>
      </left>
      <right/>
      <top style="thin">
        <color indexed="8"/>
      </top>
      <bottom style="thin">
        <color indexed="8"/>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8"/>
      </left>
      <right/>
      <top style="thin">
        <color indexed="8"/>
      </top>
      <bottom style="thin">
        <color indexed="8"/>
      </bottom>
      <diagonal/>
    </border>
    <border>
      <left style="thin">
        <color indexed="8"/>
      </left>
      <right/>
      <top/>
      <bottom style="thin">
        <color indexed="8"/>
      </bottom>
      <diagonal/>
    </border>
    <border>
      <left style="thin">
        <color indexed="8"/>
      </left>
      <right/>
      <top/>
      <bottom style="thin">
        <color indexed="64"/>
      </bottom>
      <diagonal/>
    </border>
    <border>
      <left style="medium">
        <color indexed="64"/>
      </left>
      <right/>
      <top/>
      <bottom/>
      <diagonal/>
    </border>
    <border>
      <left style="double">
        <color indexed="64"/>
      </left>
      <right/>
      <top/>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double">
        <color indexed="64"/>
      </right>
      <top/>
      <bottom/>
      <diagonal/>
    </border>
    <border>
      <left/>
      <right/>
      <top/>
      <bottom style="double">
        <color indexed="64"/>
      </bottom>
      <diagonal/>
    </border>
    <border>
      <left style="medium">
        <color indexed="64"/>
      </left>
      <right style="thin">
        <color indexed="64"/>
      </right>
      <top/>
      <bottom style="thin">
        <color indexed="64"/>
      </bottom>
      <diagonal/>
    </border>
    <border>
      <left style="thin">
        <color indexed="64"/>
      </left>
      <right/>
      <top style="thin">
        <color indexed="8"/>
      </top>
      <bottom/>
      <diagonal/>
    </border>
    <border>
      <left style="medium">
        <color indexed="64"/>
      </left>
      <right style="medium">
        <color indexed="64"/>
      </right>
      <top/>
      <bottom/>
      <diagonal/>
    </border>
    <border>
      <left style="thin">
        <color indexed="65"/>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thin">
        <color indexed="8"/>
      </right>
      <top style="thin">
        <color indexed="65"/>
      </top>
      <bottom/>
      <diagonal/>
    </border>
    <border>
      <left style="thin">
        <color indexed="8"/>
      </left>
      <right style="thin">
        <color indexed="8"/>
      </right>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double">
        <color indexed="64"/>
      </left>
      <right/>
      <top style="thin">
        <color indexed="64"/>
      </top>
      <bottom style="thin">
        <color indexed="64"/>
      </bottom>
      <diagonal/>
    </border>
    <border>
      <left style="thin">
        <color indexed="8"/>
      </left>
      <right style="thin">
        <color indexed="8"/>
      </right>
      <top style="thin">
        <color indexed="65"/>
      </top>
      <bottom style="thin">
        <color indexed="64"/>
      </bottom>
      <diagonal/>
    </border>
    <border>
      <left style="double">
        <color auto="1"/>
      </left>
      <right style="thin">
        <color indexed="64"/>
      </right>
      <top style="thin">
        <color indexed="64"/>
      </top>
      <bottom/>
      <diagonal/>
    </border>
    <border>
      <left style="double">
        <color auto="1"/>
      </left>
      <right style="thin">
        <color indexed="64"/>
      </right>
      <top/>
      <bottom/>
      <diagonal/>
    </border>
    <border>
      <left style="double">
        <color auto="1"/>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s>
  <cellStyleXfs count="559">
    <xf numFmtId="164" fontId="0" fillId="0" borderId="0"/>
    <xf numFmtId="43" fontId="8" fillId="0" borderId="0" applyFont="0" applyFill="0" applyBorder="0" applyAlignment="0" applyProtection="0"/>
    <xf numFmtId="169" fontId="7" fillId="0" borderId="0"/>
    <xf numFmtId="3" fontId="9" fillId="0" borderId="0"/>
    <xf numFmtId="9" fontId="8" fillId="0" borderId="0" applyFont="0" applyFill="0" applyBorder="0" applyAlignment="0" applyProtection="0"/>
    <xf numFmtId="43" fontId="7" fillId="0" borderId="0" applyFont="0" applyFill="0" applyBorder="0" applyAlignment="0" applyProtection="0"/>
    <xf numFmtId="164" fontId="7" fillId="0" borderId="0"/>
    <xf numFmtId="43" fontId="29" fillId="0" borderId="0" applyFont="0" applyFill="0" applyBorder="0" applyAlignment="0" applyProtection="0"/>
    <xf numFmtId="164" fontId="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9" fontId="7" fillId="0" borderId="0"/>
    <xf numFmtId="0" fontId="34" fillId="0" borderId="0"/>
    <xf numFmtId="43" fontId="13" fillId="0" borderId="0" applyFont="0" applyFill="0" applyBorder="0" applyAlignment="0" applyProtection="0"/>
    <xf numFmtId="164" fontId="29" fillId="0" borderId="0"/>
    <xf numFmtId="3" fontId="9" fillId="0" borderId="0"/>
    <xf numFmtId="164" fontId="7" fillId="0" borderId="0"/>
    <xf numFmtId="164" fontId="29" fillId="0" borderId="0"/>
    <xf numFmtId="169" fontId="7" fillId="0" borderId="0"/>
    <xf numFmtId="3" fontId="9" fillId="0" borderId="0"/>
    <xf numFmtId="164" fontId="7" fillId="0" borderId="0"/>
    <xf numFmtId="164" fontId="29" fillId="0" borderId="0"/>
    <xf numFmtId="164" fontId="29" fillId="0" borderId="0"/>
    <xf numFmtId="9" fontId="29" fillId="0" borderId="0" applyFont="0" applyFill="0" applyBorder="0" applyAlignment="0" applyProtection="0"/>
    <xf numFmtId="3" fontId="13" fillId="0" borderId="38" applyFont="0"/>
    <xf numFmtId="164" fontId="11" fillId="0" borderId="17" applyNumberFormat="0" applyFont="0" applyBorder="0" applyAlignment="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4" fontId="7" fillId="0" borderId="0"/>
    <xf numFmtId="9" fontId="29" fillId="0" borderId="0" applyFont="0" applyFill="0" applyBorder="0" applyAlignment="0" applyProtection="0"/>
    <xf numFmtId="9" fontId="7" fillId="0" borderId="0" applyFont="0" applyFill="0" applyBorder="0" applyAlignment="0" applyProtection="0"/>
    <xf numFmtId="0" fontId="5" fillId="0" borderId="0"/>
    <xf numFmtId="164" fontId="7" fillId="0" borderId="0"/>
    <xf numFmtId="0" fontId="5" fillId="0" borderId="0"/>
    <xf numFmtId="0" fontId="13" fillId="0" borderId="0"/>
    <xf numFmtId="0" fontId="5" fillId="0" borderId="0"/>
    <xf numFmtId="0" fontId="5" fillId="0" borderId="0"/>
    <xf numFmtId="0" fontId="38" fillId="0" borderId="0"/>
    <xf numFmtId="9" fontId="38" fillId="0" borderId="0" applyFont="0" applyFill="0" applyBorder="0" applyAlignment="0" applyProtection="0"/>
    <xf numFmtId="0" fontId="5" fillId="0" borderId="0"/>
    <xf numFmtId="0" fontId="38" fillId="0" borderId="0"/>
    <xf numFmtId="9" fontId="38" fillId="0" borderId="0" applyFont="0" applyFill="0" applyBorder="0" applyAlignment="0" applyProtection="0"/>
    <xf numFmtId="43" fontId="38" fillId="0" borderId="0" applyFont="0" applyFill="0" applyBorder="0" applyAlignment="0" applyProtection="0"/>
    <xf numFmtId="0" fontId="45" fillId="0" borderId="0"/>
    <xf numFmtId="0" fontId="45" fillId="0" borderId="0"/>
    <xf numFmtId="0" fontId="45" fillId="0" borderId="0"/>
    <xf numFmtId="0" fontId="45" fillId="0" borderId="0"/>
    <xf numFmtId="0" fontId="20" fillId="0" borderId="0"/>
    <xf numFmtId="0" fontId="20" fillId="0" borderId="0">
      <alignment vertical="top"/>
    </xf>
    <xf numFmtId="0" fontId="13" fillId="0" borderId="0"/>
    <xf numFmtId="0" fontId="13" fillId="0" borderId="0"/>
    <xf numFmtId="0" fontId="5" fillId="0" borderId="0"/>
    <xf numFmtId="0" fontId="13"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46" fillId="0" borderId="0">
      <alignment horizontal="left" wrapText="1"/>
    </xf>
    <xf numFmtId="0" fontId="38" fillId="0" borderId="0"/>
    <xf numFmtId="0" fontId="16" fillId="0" borderId="0"/>
    <xf numFmtId="0" fontId="13" fillId="0" borderId="0"/>
    <xf numFmtId="0" fontId="13" fillId="0" borderId="0"/>
    <xf numFmtId="0" fontId="5" fillId="0" borderId="0"/>
    <xf numFmtId="164" fontId="29" fillId="0" borderId="0"/>
    <xf numFmtId="43" fontId="29"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3" fontId="9" fillId="0" borderId="0"/>
    <xf numFmtId="43" fontId="7" fillId="0" borderId="0" applyFont="0" applyFill="0" applyBorder="0" applyAlignment="0" applyProtection="0"/>
    <xf numFmtId="173" fontId="47" fillId="0" borderId="0"/>
    <xf numFmtId="173" fontId="47" fillId="0" borderId="0"/>
    <xf numFmtId="3" fontId="13" fillId="0" borderId="38" applyFont="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7" fillId="0" borderId="0" applyFont="0" applyFill="0" applyBorder="0" applyAlignment="0" applyProtection="0"/>
    <xf numFmtId="164" fontId="29" fillId="0" borderId="0"/>
    <xf numFmtId="164" fontId="29" fillId="0" borderId="0"/>
    <xf numFmtId="0" fontId="38" fillId="0" borderId="0"/>
    <xf numFmtId="9" fontId="38" fillId="0" borderId="0" applyFont="0" applyFill="0" applyBorder="0" applyAlignment="0" applyProtection="0"/>
    <xf numFmtId="0" fontId="5" fillId="0" borderId="0"/>
    <xf numFmtId="0" fontId="5" fillId="0" borderId="0"/>
    <xf numFmtId="0" fontId="45" fillId="0" borderId="0"/>
    <xf numFmtId="0" fontId="45" fillId="0" borderId="0"/>
    <xf numFmtId="0" fontId="45" fillId="0" borderId="0"/>
    <xf numFmtId="0" fontId="20" fillId="0" borderId="0">
      <alignment vertical="top"/>
    </xf>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38" fillId="0" borderId="0"/>
    <xf numFmtId="0" fontId="13" fillId="0" borderId="0"/>
    <xf numFmtId="0" fontId="5" fillId="0" borderId="0"/>
    <xf numFmtId="0" fontId="5"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4" fontId="3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164" fontId="54"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173" fontId="47" fillId="0" borderId="0"/>
    <xf numFmtId="0" fontId="1" fillId="0" borderId="0"/>
    <xf numFmtId="0" fontId="1" fillId="0" borderId="0"/>
    <xf numFmtId="0" fontId="1" fillId="0" borderId="0"/>
    <xf numFmtId="0" fontId="1" fillId="0" borderId="0"/>
    <xf numFmtId="9" fontId="29"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164" fontId="54" fillId="0" borderId="0"/>
    <xf numFmtId="9" fontId="38" fillId="0" borderId="0" applyFont="0" applyFill="0" applyBorder="0" applyAlignment="0" applyProtection="0"/>
    <xf numFmtId="164" fontId="54" fillId="0" borderId="0"/>
    <xf numFmtId="0" fontId="13"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164" fontId="54" fillId="0" borderId="0"/>
    <xf numFmtId="164" fontId="54" fillId="0" borderId="0"/>
    <xf numFmtId="164" fontId="54"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164" fontId="54"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173" fontId="47"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164" fontId="54"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164" fontId="54"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73" fontId="47"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55" fillId="0" borderId="0"/>
    <xf numFmtId="0" fontId="1" fillId="0" borderId="0"/>
    <xf numFmtId="0" fontId="55" fillId="0" borderId="0"/>
    <xf numFmtId="0" fontId="1" fillId="0" borderId="0"/>
    <xf numFmtId="0" fontId="55" fillId="0" borderId="0"/>
    <xf numFmtId="0" fontId="1" fillId="0" borderId="0"/>
    <xf numFmtId="0" fontId="1" fillId="0" borderId="0"/>
  </cellStyleXfs>
  <cellXfs count="686">
    <xf numFmtId="164" fontId="0" fillId="0" borderId="0" xfId="0"/>
    <xf numFmtId="164" fontId="9" fillId="0" borderId="0" xfId="0" applyFont="1"/>
    <xf numFmtId="165" fontId="11" fillId="0" borderId="0" xfId="0" applyNumberFormat="1" applyFont="1" applyAlignment="1" applyProtection="1">
      <alignment horizontal="centerContinuous"/>
    </xf>
    <xf numFmtId="164" fontId="11" fillId="0" borderId="0" xfId="0" applyFont="1" applyAlignment="1" applyProtection="1">
      <alignment horizontal="centerContinuous"/>
    </xf>
    <xf numFmtId="164" fontId="13" fillId="0" borderId="0" xfId="0" applyFont="1" applyAlignment="1" applyProtection="1">
      <alignment horizontal="centerContinuous"/>
    </xf>
    <xf numFmtId="37" fontId="13" fillId="0" borderId="0" xfId="0" applyNumberFormat="1" applyFont="1" applyAlignment="1" applyProtection="1">
      <alignment horizontal="left"/>
    </xf>
    <xf numFmtId="37" fontId="13" fillId="0" borderId="1" xfId="0" applyNumberFormat="1" applyFont="1" applyFill="1" applyBorder="1" applyAlignment="1" applyProtection="1">
      <alignment horizontal="left"/>
    </xf>
    <xf numFmtId="164" fontId="16" fillId="0" borderId="0" xfId="0" applyFont="1"/>
    <xf numFmtId="164" fontId="18" fillId="0" borderId="0" xfId="0" applyFont="1" applyBorder="1"/>
    <xf numFmtId="164" fontId="18" fillId="0" borderId="5" xfId="0" applyFont="1" applyBorder="1"/>
    <xf numFmtId="37" fontId="20" fillId="0" borderId="0" xfId="0" applyNumberFormat="1" applyFont="1" applyAlignment="1" applyProtection="1">
      <alignment vertical="center"/>
    </xf>
    <xf numFmtId="9" fontId="20" fillId="0" borderId="4" xfId="0" applyNumberFormat="1" applyFont="1" applyBorder="1" applyAlignment="1">
      <alignment vertical="center"/>
    </xf>
    <xf numFmtId="9" fontId="20" fillId="0" borderId="6" xfId="0" applyNumberFormat="1" applyFont="1" applyBorder="1" applyAlignment="1">
      <alignment vertical="center"/>
    </xf>
    <xf numFmtId="9" fontId="20" fillId="0" borderId="7" xfId="0" applyNumberFormat="1" applyFont="1" applyBorder="1" applyAlignment="1">
      <alignment vertical="center"/>
    </xf>
    <xf numFmtId="9" fontId="20" fillId="0" borderId="0" xfId="0" applyNumberFormat="1" applyFont="1" applyBorder="1" applyAlignment="1">
      <alignment vertical="center"/>
    </xf>
    <xf numFmtId="37" fontId="20" fillId="0" borderId="5" xfId="0" applyNumberFormat="1" applyFont="1" applyBorder="1" applyAlignment="1" applyProtection="1">
      <alignment vertical="center"/>
    </xf>
    <xf numFmtId="9" fontId="20" fillId="0" borderId="8" xfId="0" applyNumberFormat="1" applyFont="1" applyBorder="1" applyAlignment="1">
      <alignment vertical="center"/>
    </xf>
    <xf numFmtId="9" fontId="20" fillId="0" borderId="5" xfId="0" applyNumberFormat="1" applyFont="1" applyBorder="1" applyAlignment="1">
      <alignment vertical="center"/>
    </xf>
    <xf numFmtId="37" fontId="20" fillId="0" borderId="0" xfId="0" applyNumberFormat="1" applyFont="1" applyBorder="1" applyAlignment="1" applyProtection="1">
      <alignment vertical="center"/>
    </xf>
    <xf numFmtId="164" fontId="16" fillId="0" borderId="0" xfId="0" applyFont="1" applyBorder="1"/>
    <xf numFmtId="37" fontId="10" fillId="0" borderId="0" xfId="0" applyNumberFormat="1" applyFont="1" applyBorder="1" applyAlignment="1" applyProtection="1">
      <alignment horizontal="centerContinuous"/>
    </xf>
    <xf numFmtId="164" fontId="14" fillId="0" borderId="2" xfId="0" applyFont="1" applyBorder="1" applyAlignment="1" applyProtection="1">
      <alignment horizontal="left" vertical="center"/>
    </xf>
    <xf numFmtId="37" fontId="14" fillId="0" borderId="2" xfId="0" applyNumberFormat="1" applyFont="1" applyBorder="1" applyAlignment="1" applyProtection="1">
      <alignment horizontal="center" vertical="center"/>
    </xf>
    <xf numFmtId="164" fontId="14" fillId="0" borderId="1" xfId="0" applyFont="1" applyBorder="1" applyAlignment="1" applyProtection="1">
      <alignment horizontal="left" vertical="center"/>
    </xf>
    <xf numFmtId="37" fontId="14" fillId="0" borderId="1" xfId="0" applyNumberFormat="1" applyFont="1" applyBorder="1" applyAlignment="1" applyProtection="1">
      <alignment horizontal="center" vertical="center"/>
    </xf>
    <xf numFmtId="164" fontId="22" fillId="0" borderId="0" xfId="0" applyFont="1" applyBorder="1" applyAlignment="1">
      <alignment horizontal="centerContinuous"/>
    </xf>
    <xf numFmtId="164" fontId="22" fillId="0" borderId="0" xfId="0" applyFont="1" applyAlignment="1">
      <alignment horizontal="centerContinuous"/>
    </xf>
    <xf numFmtId="164" fontId="17" fillId="0" borderId="0" xfId="0" applyFont="1" applyBorder="1" applyAlignment="1">
      <alignment horizontal="centerContinuous"/>
    </xf>
    <xf numFmtId="164" fontId="17" fillId="0" borderId="0" xfId="0" applyFont="1" applyAlignment="1">
      <alignment horizontal="centerContinuous"/>
    </xf>
    <xf numFmtId="164" fontId="16" fillId="0" borderId="5" xfId="0" applyFont="1" applyBorder="1"/>
    <xf numFmtId="164" fontId="15" fillId="0" borderId="9" xfId="0" applyFont="1" applyBorder="1" applyAlignment="1">
      <alignment horizontal="centerContinuous"/>
    </xf>
    <xf numFmtId="164" fontId="16" fillId="0" borderId="4" xfId="0" applyFont="1" applyBorder="1"/>
    <xf numFmtId="164" fontId="14" fillId="0" borderId="9" xfId="0" applyFont="1" applyBorder="1" applyAlignment="1">
      <alignment horizontal="center"/>
    </xf>
    <xf numFmtId="164" fontId="16" fillId="0" borderId="0" xfId="0" applyFont="1" applyAlignment="1">
      <alignment vertical="top"/>
    </xf>
    <xf numFmtId="164" fontId="14" fillId="0" borderId="10" xfId="0" applyFont="1" applyBorder="1" applyAlignment="1">
      <alignment horizontal="centerContinuous"/>
    </xf>
    <xf numFmtId="164" fontId="15" fillId="0" borderId="4" xfId="0" applyFont="1" applyBorder="1" applyAlignment="1">
      <alignment horizontal="centerContinuous"/>
    </xf>
    <xf numFmtId="166" fontId="19" fillId="0" borderId="10" xfId="1" applyNumberFormat="1" applyFont="1" applyBorder="1" applyAlignment="1" applyProtection="1">
      <alignment horizontal="centerContinuous"/>
    </xf>
    <xf numFmtId="166" fontId="19" fillId="0" borderId="7" xfId="1" applyNumberFormat="1" applyFont="1" applyBorder="1" applyAlignment="1" applyProtection="1">
      <alignment horizontal="centerContinuous"/>
    </xf>
    <xf numFmtId="164" fontId="14" fillId="0" borderId="9" xfId="0" applyFont="1" applyBorder="1" applyAlignment="1">
      <alignment horizontal="center" wrapText="1"/>
    </xf>
    <xf numFmtId="9" fontId="20" fillId="0" borderId="11" xfId="0" applyNumberFormat="1" applyFont="1" applyBorder="1" applyAlignment="1">
      <alignment vertical="center"/>
    </xf>
    <xf numFmtId="9" fontId="20" fillId="0" borderId="12" xfId="0" applyNumberFormat="1" applyFont="1" applyBorder="1" applyAlignment="1">
      <alignment vertical="center"/>
    </xf>
    <xf numFmtId="9" fontId="20" fillId="0" borderId="13" xfId="0" applyNumberFormat="1" applyFont="1" applyBorder="1" applyAlignment="1">
      <alignment vertical="center"/>
    </xf>
    <xf numFmtId="164" fontId="18" fillId="0" borderId="4" xfId="0" applyFont="1" applyBorder="1"/>
    <xf numFmtId="164" fontId="16" fillId="0" borderId="9" xfId="0" applyFont="1" applyBorder="1"/>
    <xf numFmtId="164" fontId="18" fillId="0" borderId="9" xfId="0" applyFont="1" applyBorder="1"/>
    <xf numFmtId="164" fontId="14" fillId="0" borderId="10" xfId="0" applyFont="1" applyBorder="1" applyAlignment="1">
      <alignment horizontal="center"/>
    </xf>
    <xf numFmtId="166" fontId="16" fillId="0" borderId="0" xfId="1" applyNumberFormat="1" applyFont="1"/>
    <xf numFmtId="166" fontId="13" fillId="0" borderId="0" xfId="1" applyNumberFormat="1" applyFont="1"/>
    <xf numFmtId="164" fontId="14" fillId="0" borderId="4" xfId="0" applyFont="1" applyBorder="1" applyAlignment="1">
      <alignment horizontal="centerContinuous"/>
    </xf>
    <xf numFmtId="164" fontId="14" fillId="0" borderId="20" xfId="0" applyFont="1" applyBorder="1" applyAlignment="1">
      <alignment horizontal="centerContinuous"/>
    </xf>
    <xf numFmtId="164" fontId="14" fillId="0" borderId="21" xfId="0" applyFont="1" applyBorder="1" applyAlignment="1">
      <alignment horizontal="center" wrapText="1"/>
    </xf>
    <xf numFmtId="164" fontId="22" fillId="2" borderId="0" xfId="0" applyFont="1" applyFill="1" applyAlignment="1">
      <alignment horizontal="centerContinuous"/>
    </xf>
    <xf numFmtId="164" fontId="17" fillId="2" borderId="0" xfId="0" applyFont="1" applyFill="1" applyAlignment="1">
      <alignment horizontal="centerContinuous"/>
    </xf>
    <xf numFmtId="164" fontId="16" fillId="2" borderId="0" xfId="0" applyFont="1" applyFill="1"/>
    <xf numFmtId="164" fontId="15" fillId="2" borderId="9" xfId="0" applyFont="1" applyFill="1" applyBorder="1" applyAlignment="1">
      <alignment horizontal="centerContinuous"/>
    </xf>
    <xf numFmtId="164" fontId="14" fillId="2" borderId="9" xfId="0" applyFont="1" applyFill="1" applyBorder="1" applyAlignment="1">
      <alignment horizontal="center"/>
    </xf>
    <xf numFmtId="9" fontId="20" fillId="2" borderId="0" xfId="0" applyNumberFormat="1" applyFont="1" applyFill="1" applyBorder="1" applyAlignment="1">
      <alignment vertical="center"/>
    </xf>
    <xf numFmtId="9" fontId="20" fillId="2" borderId="4" xfId="0" applyNumberFormat="1" applyFont="1" applyFill="1" applyBorder="1" applyAlignment="1">
      <alignment vertical="center"/>
    </xf>
    <xf numFmtId="166" fontId="22" fillId="0" borderId="0" xfId="1" applyNumberFormat="1" applyFont="1" applyAlignment="1">
      <alignment horizontal="centerContinuous"/>
    </xf>
    <xf numFmtId="166" fontId="22" fillId="0" borderId="0" xfId="1" applyNumberFormat="1" applyFont="1" applyBorder="1" applyAlignment="1">
      <alignment horizontal="centerContinuous"/>
    </xf>
    <xf numFmtId="166" fontId="17" fillId="0" borderId="0" xfId="1" applyNumberFormat="1" applyFont="1" applyAlignment="1">
      <alignment horizontal="centerContinuous"/>
    </xf>
    <xf numFmtId="166" fontId="17" fillId="0" borderId="0" xfId="1" applyNumberFormat="1" applyFont="1" applyBorder="1" applyAlignment="1">
      <alignment horizontal="centerContinuous"/>
    </xf>
    <xf numFmtId="166" fontId="9" fillId="0" borderId="0" xfId="1" applyNumberFormat="1" applyFont="1"/>
    <xf numFmtId="166" fontId="16" fillId="0" borderId="0" xfId="1" applyNumberFormat="1" applyFont="1" applyBorder="1"/>
    <xf numFmtId="166" fontId="15" fillId="0" borderId="9" xfId="1" applyNumberFormat="1" applyFont="1" applyBorder="1" applyAlignment="1">
      <alignment horizontal="centerContinuous"/>
    </xf>
    <xf numFmtId="166" fontId="15" fillId="0" borderId="4" xfId="1" applyNumberFormat="1" applyFont="1" applyBorder="1" applyAlignment="1">
      <alignment horizontal="centerContinuous"/>
    </xf>
    <xf numFmtId="166" fontId="14" fillId="0" borderId="10" xfId="1" applyNumberFormat="1" applyFont="1" applyBorder="1" applyAlignment="1">
      <alignment horizontal="centerContinuous"/>
    </xf>
    <xf numFmtId="166" fontId="14" fillId="0" borderId="4" xfId="1" applyNumberFormat="1" applyFont="1" applyBorder="1" applyAlignment="1">
      <alignment horizontal="centerContinuous"/>
    </xf>
    <xf numFmtId="166" fontId="14" fillId="0" borderId="20" xfId="1" applyNumberFormat="1" applyFont="1" applyBorder="1" applyAlignment="1">
      <alignment horizontal="centerContinuous"/>
    </xf>
    <xf numFmtId="166" fontId="14" fillId="0" borderId="10" xfId="1" applyNumberFormat="1" applyFont="1" applyBorder="1" applyAlignment="1">
      <alignment horizontal="center"/>
    </xf>
    <xf numFmtId="166" fontId="14" fillId="0" borderId="9" xfId="1" applyNumberFormat="1" applyFont="1" applyBorder="1" applyAlignment="1">
      <alignment horizontal="center"/>
    </xf>
    <xf numFmtId="166" fontId="14" fillId="0" borderId="9" xfId="1" applyNumberFormat="1" applyFont="1" applyBorder="1" applyAlignment="1">
      <alignment horizontal="center" wrapText="1"/>
    </xf>
    <xf numFmtId="166" fontId="14" fillId="0" borderId="21" xfId="1" applyNumberFormat="1" applyFont="1" applyBorder="1" applyAlignment="1">
      <alignment horizontal="center" wrapText="1"/>
    </xf>
    <xf numFmtId="166" fontId="20" fillId="0" borderId="8" xfId="1" applyNumberFormat="1" applyFont="1" applyBorder="1" applyAlignment="1">
      <alignment vertical="center"/>
    </xf>
    <xf numFmtId="166" fontId="20" fillId="0" borderId="5" xfId="1" applyNumberFormat="1" applyFont="1" applyBorder="1" applyAlignment="1">
      <alignment vertical="center"/>
    </xf>
    <xf numFmtId="166" fontId="20" fillId="0" borderId="22" xfId="1" applyNumberFormat="1" applyFont="1" applyBorder="1" applyAlignment="1">
      <alignment vertical="center"/>
    </xf>
    <xf numFmtId="166" fontId="20" fillId="0" borderId="6" xfId="1" applyNumberFormat="1" applyFont="1" applyBorder="1" applyAlignment="1">
      <alignment vertical="center"/>
    </xf>
    <xf numFmtId="166" fontId="20" fillId="0" borderId="0" xfId="1" applyNumberFormat="1" applyFont="1" applyBorder="1" applyAlignment="1">
      <alignment vertical="center"/>
    </xf>
    <xf numFmtId="166" fontId="20" fillId="0" borderId="23" xfId="1" applyNumberFormat="1" applyFont="1" applyBorder="1" applyAlignment="1">
      <alignment vertical="center"/>
    </xf>
    <xf numFmtId="166" fontId="20" fillId="0" borderId="7" xfId="1" applyNumberFormat="1" applyFont="1" applyBorder="1" applyAlignment="1">
      <alignment vertical="center"/>
    </xf>
    <xf numFmtId="166" fontId="20" fillId="0" borderId="4" xfId="1" applyNumberFormat="1" applyFont="1" applyBorder="1" applyAlignment="1">
      <alignment vertical="center"/>
    </xf>
    <xf numFmtId="166" fontId="20" fillId="0" borderId="24" xfId="1" applyNumberFormat="1" applyFont="1" applyBorder="1" applyAlignment="1">
      <alignment vertical="center"/>
    </xf>
    <xf numFmtId="166" fontId="16" fillId="0" borderId="0" xfId="1" applyNumberFormat="1" applyFont="1" applyAlignment="1">
      <alignment vertical="top"/>
    </xf>
    <xf numFmtId="9" fontId="23" fillId="2" borderId="0" xfId="0" applyNumberFormat="1" applyFont="1" applyFill="1" applyBorder="1" applyAlignment="1">
      <alignment vertical="center"/>
    </xf>
    <xf numFmtId="168" fontId="20" fillId="0" borderId="12" xfId="0" applyNumberFormat="1" applyFont="1" applyBorder="1" applyAlignment="1">
      <alignment vertical="center"/>
    </xf>
    <xf numFmtId="164" fontId="14" fillId="0" borderId="10" xfId="0" applyFont="1" applyBorder="1" applyAlignment="1">
      <alignment horizontal="center" wrapText="1"/>
    </xf>
    <xf numFmtId="166" fontId="14" fillId="0" borderId="10" xfId="1" applyNumberFormat="1" applyFont="1" applyBorder="1" applyAlignment="1">
      <alignment horizontal="center" wrapText="1"/>
    </xf>
    <xf numFmtId="3" fontId="13" fillId="0" borderId="0" xfId="1" applyNumberFormat="1" applyFont="1" applyAlignment="1" applyProtection="1"/>
    <xf numFmtId="3" fontId="13" fillId="0" borderId="4" xfId="1" applyNumberFormat="1" applyFont="1" applyBorder="1" applyAlignment="1" applyProtection="1"/>
    <xf numFmtId="167" fontId="13" fillId="0" borderId="0" xfId="0" applyNumberFormat="1" applyFont="1" applyAlignment="1" applyProtection="1"/>
    <xf numFmtId="3" fontId="13" fillId="0" borderId="0" xfId="0" applyNumberFormat="1" applyFont="1" applyFill="1" applyBorder="1"/>
    <xf numFmtId="168" fontId="20" fillId="0" borderId="8" xfId="0" applyNumberFormat="1" applyFont="1" applyBorder="1" applyAlignment="1">
      <alignment vertical="center"/>
    </xf>
    <xf numFmtId="164" fontId="11" fillId="0" borderId="0" xfId="0" applyFont="1" applyFill="1" applyAlignment="1" applyProtection="1">
      <alignment horizontal="centerContinuous"/>
    </xf>
    <xf numFmtId="164" fontId="13" fillId="0" borderId="0" xfId="0" applyFont="1" applyFill="1" applyAlignment="1" applyProtection="1">
      <alignment horizontal="centerContinuous"/>
    </xf>
    <xf numFmtId="37" fontId="14" fillId="0" borderId="2" xfId="0" applyNumberFormat="1" applyFont="1" applyFill="1" applyBorder="1" applyAlignment="1" applyProtection="1">
      <alignment horizontal="center" vertical="center"/>
    </xf>
    <xf numFmtId="37" fontId="14" fillId="0" borderId="1" xfId="0" applyNumberFormat="1" applyFont="1" applyFill="1" applyBorder="1" applyAlignment="1" applyProtection="1">
      <alignment horizontal="center" vertical="center"/>
    </xf>
    <xf numFmtId="167" fontId="13" fillId="0" borderId="0" xfId="0" applyNumberFormat="1" applyFont="1" applyFill="1" applyAlignment="1" applyProtection="1"/>
    <xf numFmtId="3" fontId="13" fillId="0" borderId="0" xfId="1" applyNumberFormat="1" applyFont="1" applyFill="1" applyAlignment="1" applyProtection="1"/>
    <xf numFmtId="3" fontId="13" fillId="0" borderId="4" xfId="1" applyNumberFormat="1" applyFont="1" applyFill="1" applyBorder="1" applyAlignment="1" applyProtection="1"/>
    <xf numFmtId="164" fontId="16" fillId="0" borderId="0" xfId="0" applyFont="1" applyFill="1"/>
    <xf numFmtId="164" fontId="10" fillId="0" borderId="0" xfId="0" applyFont="1" applyFill="1" applyAlignment="1" applyProtection="1"/>
    <xf numFmtId="37" fontId="26" fillId="0" borderId="0" xfId="0" applyNumberFormat="1" applyFont="1" applyBorder="1" applyAlignment="1" applyProtection="1">
      <alignment horizontal="centerContinuous"/>
    </xf>
    <xf numFmtId="10" fontId="20" fillId="0" borderId="6" xfId="0" applyNumberFormat="1" applyFont="1" applyBorder="1" applyAlignment="1">
      <alignment vertical="center"/>
    </xf>
    <xf numFmtId="10" fontId="20" fillId="0" borderId="0" xfId="0" applyNumberFormat="1" applyFont="1" applyBorder="1" applyAlignment="1">
      <alignment vertical="center"/>
    </xf>
    <xf numFmtId="166" fontId="13" fillId="0" borderId="0" xfId="1" applyNumberFormat="1" applyFont="1" applyFill="1" applyBorder="1"/>
    <xf numFmtId="164" fontId="0" fillId="0" borderId="0" xfId="0" applyFill="1" applyBorder="1"/>
    <xf numFmtId="37" fontId="11" fillId="0" borderId="0" xfId="0" applyNumberFormat="1" applyFont="1" applyAlignment="1" applyProtection="1">
      <alignment horizontal="right"/>
    </xf>
    <xf numFmtId="37" fontId="11" fillId="0" borderId="4" xfId="0" applyNumberFormat="1" applyFont="1" applyBorder="1" applyAlignment="1" applyProtection="1">
      <alignment horizontal="right"/>
    </xf>
    <xf numFmtId="166" fontId="27" fillId="0" borderId="0" xfId="1" applyNumberFormat="1" applyFont="1" applyAlignment="1">
      <alignment horizontal="centerContinuous"/>
    </xf>
    <xf numFmtId="37" fontId="20" fillId="0" borderId="4" xfId="0" applyNumberFormat="1" applyFont="1" applyBorder="1" applyAlignment="1" applyProtection="1">
      <alignment vertical="center"/>
    </xf>
    <xf numFmtId="37" fontId="20" fillId="0" borderId="13" xfId="0" applyNumberFormat="1" applyFont="1" applyBorder="1" applyAlignment="1" applyProtection="1">
      <alignment vertical="center"/>
    </xf>
    <xf numFmtId="166" fontId="24" fillId="0" borderId="0" xfId="1" applyNumberFormat="1" applyFont="1" applyFill="1" applyBorder="1" applyAlignment="1">
      <alignment horizontal="center"/>
    </xf>
    <xf numFmtId="166" fontId="13" fillId="0" borderId="0" xfId="1" applyNumberFormat="1" applyFont="1" applyFill="1" applyBorder="1" applyAlignment="1">
      <alignment wrapText="1"/>
    </xf>
    <xf numFmtId="164" fontId="0" fillId="0" borderId="0" xfId="0" applyFill="1" applyAlignment="1">
      <alignment horizontal="centerContinuous"/>
    </xf>
    <xf numFmtId="164" fontId="0" fillId="0" borderId="0" xfId="0" applyFill="1"/>
    <xf numFmtId="164" fontId="14" fillId="0" borderId="3" xfId="0" applyFont="1" applyFill="1" applyBorder="1" applyAlignment="1" applyProtection="1">
      <alignment horizontal="centerContinuous"/>
    </xf>
    <xf numFmtId="37" fontId="14" fillId="0" borderId="1" xfId="0" applyNumberFormat="1" applyFont="1" applyFill="1" applyBorder="1" applyAlignment="1" applyProtection="1">
      <alignment horizontal="center"/>
    </xf>
    <xf numFmtId="0" fontId="13" fillId="0" borderId="0" xfId="0" applyNumberFormat="1" applyFont="1" applyFill="1" applyBorder="1" applyAlignment="1" applyProtection="1">
      <alignment horizontal="right" vertical="center"/>
    </xf>
    <xf numFmtId="0" fontId="13" fillId="0" borderId="0" xfId="0" applyNumberFormat="1" applyFont="1" applyFill="1" applyBorder="1" applyAlignment="1" applyProtection="1">
      <alignment horizontal="right"/>
    </xf>
    <xf numFmtId="0" fontId="13" fillId="0" borderId="4" xfId="0" applyNumberFormat="1" applyFont="1" applyFill="1" applyBorder="1" applyAlignment="1" applyProtection="1">
      <alignment horizontal="right"/>
    </xf>
    <xf numFmtId="164" fontId="14" fillId="0" borderId="0" xfId="0" applyFont="1" applyFill="1" applyBorder="1" applyAlignment="1" applyProtection="1">
      <alignment horizontal="centerContinuous"/>
    </xf>
    <xf numFmtId="37" fontId="14" fillId="0" borderId="0" xfId="0" applyNumberFormat="1" applyFont="1" applyFill="1" applyBorder="1" applyAlignment="1" applyProtection="1">
      <alignment horizontal="right"/>
    </xf>
    <xf numFmtId="164" fontId="0" fillId="0" borderId="0" xfId="0" applyFill="1" applyBorder="1" applyAlignment="1">
      <alignment vertical="center"/>
    </xf>
    <xf numFmtId="167" fontId="13" fillId="0" borderId="0" xfId="0" applyNumberFormat="1" applyFont="1" applyFill="1" applyAlignment="1" applyProtection="1">
      <alignment horizontal="right"/>
    </xf>
    <xf numFmtId="3" fontId="13" fillId="0" borderId="0" xfId="1" applyNumberFormat="1" applyFont="1" applyFill="1" applyAlignment="1" applyProtection="1">
      <alignment horizontal="right"/>
    </xf>
    <xf numFmtId="164" fontId="0" fillId="0" borderId="0" xfId="0" applyFill="1" applyBorder="1" applyAlignment="1"/>
    <xf numFmtId="3" fontId="13" fillId="0" borderId="0" xfId="0" applyNumberFormat="1" applyFont="1" applyFill="1" applyAlignment="1" applyProtection="1">
      <alignment horizontal="right"/>
    </xf>
    <xf numFmtId="3" fontId="13" fillId="0" borderId="0" xfId="1" applyNumberFormat="1" applyFont="1" applyFill="1" applyAlignment="1" applyProtection="1">
      <alignment horizontal="right" vertical="center"/>
    </xf>
    <xf numFmtId="164" fontId="12" fillId="0" borderId="0" xfId="0" applyFont="1" applyFill="1" applyAlignment="1" applyProtection="1"/>
    <xf numFmtId="0" fontId="13" fillId="0" borderId="0" xfId="0" applyNumberFormat="1" applyFont="1" applyFill="1" applyAlignment="1" applyProtection="1">
      <alignment horizontal="right"/>
    </xf>
    <xf numFmtId="37" fontId="13" fillId="0" borderId="0" xfId="0" applyNumberFormat="1" applyFont="1" applyFill="1" applyAlignment="1" applyProtection="1">
      <alignment horizontal="right"/>
    </xf>
    <xf numFmtId="164" fontId="21" fillId="0" borderId="0" xfId="0" applyFont="1" applyFill="1" applyAlignment="1">
      <alignment wrapText="1"/>
    </xf>
    <xf numFmtId="164" fontId="13" fillId="0" borderId="0" xfId="0" applyFont="1" applyFill="1" applyAlignment="1" applyProtection="1">
      <alignment horizontal="left"/>
    </xf>
    <xf numFmtId="5" fontId="13" fillId="0" borderId="0" xfId="0" applyNumberFormat="1" applyFont="1" applyFill="1" applyAlignment="1" applyProtection="1">
      <alignment horizontal="right" vertical="center"/>
    </xf>
    <xf numFmtId="5" fontId="13" fillId="0" borderId="0" xfId="0" applyNumberFormat="1" applyFont="1" applyFill="1" applyAlignment="1" applyProtection="1">
      <alignment horizontal="right"/>
    </xf>
    <xf numFmtId="166" fontId="13" fillId="0" borderId="0" xfId="0" applyNumberFormat="1" applyFont="1" applyFill="1" applyAlignment="1" applyProtection="1">
      <alignment horizontal="right"/>
    </xf>
    <xf numFmtId="164" fontId="13" fillId="0" borderId="0" xfId="0" applyFont="1" applyFill="1" applyBorder="1" applyAlignment="1" applyProtection="1">
      <alignment horizontal="centerContinuous"/>
    </xf>
    <xf numFmtId="37" fontId="14" fillId="0" borderId="0" xfId="0" applyNumberFormat="1" applyFont="1" applyFill="1" applyBorder="1" applyAlignment="1" applyProtection="1">
      <alignment horizontal="centerContinuous"/>
    </xf>
    <xf numFmtId="5" fontId="13" fillId="0" borderId="0" xfId="0" applyNumberFormat="1" applyFont="1" applyFill="1" applyBorder="1" applyAlignment="1" applyProtection="1">
      <alignment horizontal="right" vertical="center"/>
    </xf>
    <xf numFmtId="5" fontId="13" fillId="0" borderId="0" xfId="0" applyNumberFormat="1" applyFont="1" applyFill="1" applyBorder="1" applyAlignment="1" applyProtection="1">
      <alignment horizontal="right"/>
    </xf>
    <xf numFmtId="3" fontId="13" fillId="0" borderId="0" xfId="0" applyNumberFormat="1" applyFont="1" applyFill="1" applyAlignment="1" applyProtection="1">
      <alignment horizontal="right" vertical="center"/>
    </xf>
    <xf numFmtId="0" fontId="13" fillId="0" borderId="0" xfId="0" applyNumberFormat="1" applyFont="1" applyFill="1" applyAlignment="1" applyProtection="1">
      <alignment horizontal="right" vertical="center"/>
    </xf>
    <xf numFmtId="164" fontId="14" fillId="0" borderId="2" xfId="0" applyFont="1" applyFill="1" applyBorder="1" applyAlignment="1" applyProtection="1">
      <alignment horizontal="centerContinuous"/>
    </xf>
    <xf numFmtId="37" fontId="14" fillId="0" borderId="3" xfId="0" applyNumberFormat="1" applyFont="1" applyFill="1" applyBorder="1" applyAlignment="1" applyProtection="1">
      <alignment horizontal="centerContinuous"/>
    </xf>
    <xf numFmtId="167" fontId="13" fillId="0" borderId="0" xfId="0" applyNumberFormat="1" applyFont="1" applyFill="1" applyBorder="1" applyAlignment="1" applyProtection="1">
      <alignment horizontal="right" vertical="center"/>
    </xf>
    <xf numFmtId="37" fontId="14" fillId="0" borderId="1" xfId="0" applyNumberFormat="1" applyFont="1" applyFill="1" applyBorder="1" applyAlignment="1" applyProtection="1">
      <alignment horizontal="right"/>
    </xf>
    <xf numFmtId="167" fontId="13" fillId="0" borderId="0" xfId="0" applyNumberFormat="1" applyFont="1" applyFill="1" applyAlignment="1" applyProtection="1">
      <alignment horizontal="right" vertical="center"/>
    </xf>
    <xf numFmtId="164" fontId="13" fillId="0" borderId="0" xfId="0" applyFont="1" applyFill="1"/>
    <xf numFmtId="164" fontId="14" fillId="0" borderId="0" xfId="0" applyFont="1" applyFill="1" applyBorder="1" applyAlignment="1" applyProtection="1">
      <alignment horizontal="centerContinuous" vertical="center"/>
    </xf>
    <xf numFmtId="164" fontId="13" fillId="0" borderId="0" xfId="0" applyFont="1" applyFill="1" applyAlignment="1" applyProtection="1">
      <alignment horizontal="right" vertical="center"/>
    </xf>
    <xf numFmtId="164" fontId="13" fillId="0" borderId="0" xfId="0" applyFont="1" applyFill="1" applyAlignment="1" applyProtection="1">
      <alignment horizontal="right"/>
    </xf>
    <xf numFmtId="167" fontId="13" fillId="0" borderId="2" xfId="0" applyNumberFormat="1" applyFont="1" applyFill="1" applyBorder="1" applyAlignment="1" applyProtection="1">
      <alignment horizontal="right" vertical="center"/>
    </xf>
    <xf numFmtId="168" fontId="20" fillId="0" borderId="5" xfId="0" applyNumberFormat="1" applyFont="1" applyBorder="1" applyAlignment="1">
      <alignment vertical="center"/>
    </xf>
    <xf numFmtId="168" fontId="20" fillId="0" borderId="0" xfId="0" applyNumberFormat="1" applyFont="1" applyBorder="1" applyAlignment="1">
      <alignment vertical="center"/>
    </xf>
    <xf numFmtId="168" fontId="20" fillId="0" borderId="6" xfId="0" applyNumberFormat="1" applyFont="1" applyBorder="1" applyAlignment="1">
      <alignment vertical="center"/>
    </xf>
    <xf numFmtId="49" fontId="13" fillId="0" borderId="0" xfId="1" applyNumberFormat="1" applyFont="1" applyFill="1" applyBorder="1" applyAlignment="1">
      <alignment horizontal="center"/>
    </xf>
    <xf numFmtId="49" fontId="13" fillId="0" borderId="0" xfId="1" applyNumberFormat="1" applyFont="1" applyFill="1" applyBorder="1" applyAlignment="1">
      <alignment horizontal="left"/>
    </xf>
    <xf numFmtId="49" fontId="9" fillId="0" borderId="0" xfId="0" applyNumberFormat="1" applyFont="1" applyFill="1" applyAlignment="1">
      <alignment horizontal="right"/>
    </xf>
    <xf numFmtId="49" fontId="13" fillId="4" borderId="0" xfId="5" applyNumberFormat="1" applyFont="1" applyFill="1" applyBorder="1" applyAlignment="1" applyProtection="1">
      <alignment horizontal="center"/>
    </xf>
    <xf numFmtId="49" fontId="13" fillId="4" borderId="0" xfId="5" applyNumberFormat="1" applyFont="1" applyFill="1" applyBorder="1" applyAlignment="1" applyProtection="1">
      <alignment horizontal="left"/>
    </xf>
    <xf numFmtId="166" fontId="13" fillId="4" borderId="0" xfId="5" applyNumberFormat="1" applyFont="1" applyFill="1" applyBorder="1" applyAlignment="1" applyProtection="1">
      <alignment horizontal="center" wrapText="1"/>
    </xf>
    <xf numFmtId="0" fontId="10" fillId="0" borderId="0" xfId="0" applyNumberFormat="1" applyFont="1" applyAlignment="1" applyProtection="1">
      <alignment horizontal="centerContinuous"/>
    </xf>
    <xf numFmtId="0" fontId="13" fillId="0" borderId="0" xfId="0" applyNumberFormat="1" applyFont="1" applyAlignment="1" applyProtection="1">
      <alignment horizontal="centerContinuous"/>
    </xf>
    <xf numFmtId="0" fontId="13" fillId="0" borderId="0" xfId="0" applyNumberFormat="1" applyFont="1" applyFill="1" applyAlignment="1" applyProtection="1">
      <alignment horizontal="centerContinuous"/>
    </xf>
    <xf numFmtId="0" fontId="0" fillId="0" borderId="0" xfId="0" applyNumberFormat="1" applyAlignment="1">
      <alignment horizontal="centerContinuous"/>
    </xf>
    <xf numFmtId="0" fontId="0" fillId="0" borderId="0" xfId="0" applyNumberFormat="1" applyFill="1" applyAlignment="1">
      <alignment horizontal="centerContinuous"/>
    </xf>
    <xf numFmtId="0" fontId="13" fillId="0" borderId="0" xfId="0" applyNumberFormat="1" applyFont="1" applyAlignment="1">
      <alignment horizontal="centerContinuous"/>
    </xf>
    <xf numFmtId="37" fontId="12" fillId="0" borderId="0" xfId="0" applyNumberFormat="1" applyFont="1" applyBorder="1" applyAlignment="1" applyProtection="1">
      <alignment horizontal="centerContinuous"/>
    </xf>
    <xf numFmtId="164" fontId="16" fillId="0" borderId="0" xfId="0" applyFont="1" applyBorder="1" applyAlignment="1">
      <alignment horizontal="centerContinuous"/>
    </xf>
    <xf numFmtId="37" fontId="30" fillId="0" borderId="0" xfId="0" applyNumberFormat="1" applyFont="1" applyBorder="1" applyAlignment="1" applyProtection="1">
      <alignment horizontal="centerContinuous"/>
    </xf>
    <xf numFmtId="0" fontId="11" fillId="0" borderId="0" xfId="5" applyNumberFormat="1" applyFont="1" applyFill="1" applyBorder="1" applyProtection="1">
      <protection locked="0"/>
    </xf>
    <xf numFmtId="0" fontId="11" fillId="0" borderId="0" xfId="5" applyNumberFormat="1" applyFont="1" applyFill="1" applyBorder="1" applyAlignment="1" applyProtection="1">
      <alignment horizontal="left"/>
      <protection locked="0"/>
    </xf>
    <xf numFmtId="166" fontId="11" fillId="9" borderId="31" xfId="5" applyNumberFormat="1" applyFont="1" applyFill="1" applyBorder="1" applyAlignment="1" applyProtection="1">
      <alignment horizontal="center"/>
      <protection locked="0"/>
    </xf>
    <xf numFmtId="166" fontId="11" fillId="9" borderId="22" xfId="5" applyNumberFormat="1" applyFont="1" applyFill="1" applyBorder="1" applyAlignment="1" applyProtection="1">
      <alignment horizontal="center"/>
      <protection locked="0"/>
    </xf>
    <xf numFmtId="0" fontId="32" fillId="10" borderId="22" xfId="5" applyNumberFormat="1" applyFont="1" applyFill="1" applyBorder="1" applyAlignment="1" applyProtection="1">
      <alignment horizontal="center"/>
      <protection locked="0"/>
    </xf>
    <xf numFmtId="166" fontId="11" fillId="0" borderId="23" xfId="5" applyNumberFormat="1" applyFont="1" applyFill="1" applyBorder="1" applyAlignment="1" applyProtection="1">
      <alignment horizontal="center"/>
      <protection locked="0"/>
    </xf>
    <xf numFmtId="166" fontId="32" fillId="7" borderId="0" xfId="5" applyNumberFormat="1" applyFont="1" applyFill="1" applyBorder="1" applyAlignment="1" applyProtection="1">
      <alignment horizontal="center"/>
      <protection locked="0"/>
    </xf>
    <xf numFmtId="166" fontId="11" fillId="0" borderId="6" xfId="5" applyNumberFormat="1" applyFont="1" applyFill="1" applyBorder="1" applyAlignment="1" applyProtection="1">
      <alignment horizontal="center"/>
      <protection locked="0"/>
    </xf>
    <xf numFmtId="166" fontId="11" fillId="0" borderId="0" xfId="5" applyNumberFormat="1" applyFont="1" applyFill="1" applyBorder="1" applyProtection="1">
      <protection locked="0"/>
    </xf>
    <xf numFmtId="166" fontId="11" fillId="9" borderId="32" xfId="5" applyNumberFormat="1" applyFont="1" applyFill="1" applyBorder="1" applyAlignment="1" applyProtection="1">
      <alignment horizontal="center"/>
      <protection locked="0"/>
    </xf>
    <xf numFmtId="166" fontId="11" fillId="9" borderId="23" xfId="5" applyNumberFormat="1" applyFont="1" applyFill="1" applyBorder="1" applyAlignment="1" applyProtection="1">
      <alignment horizontal="center"/>
      <protection locked="0"/>
    </xf>
    <xf numFmtId="166" fontId="32" fillId="10" borderId="23" xfId="5" applyNumberFormat="1" applyFont="1" applyFill="1" applyBorder="1" applyAlignment="1" applyProtection="1">
      <alignment horizontal="center"/>
      <protection locked="0"/>
    </xf>
    <xf numFmtId="0" fontId="31" fillId="6" borderId="35" xfId="7" applyNumberFormat="1" applyFont="1" applyFill="1" applyBorder="1" applyAlignment="1" applyProtection="1">
      <alignment horizontal="center"/>
      <protection locked="0"/>
    </xf>
    <xf numFmtId="0" fontId="31" fillId="6" borderId="35" xfId="25" applyNumberFormat="1" applyFont="1" applyFill="1" applyBorder="1" applyAlignment="1" applyProtection="1">
      <alignment horizontal="left" wrapText="1"/>
      <protection locked="0"/>
    </xf>
    <xf numFmtId="0" fontId="31" fillId="6" borderId="35" xfId="25" applyNumberFormat="1" applyFont="1" applyFill="1" applyBorder="1" applyAlignment="1" applyProtection="1">
      <alignment horizontal="center"/>
      <protection locked="0"/>
    </xf>
    <xf numFmtId="1" fontId="31" fillId="6" borderId="35" xfId="25" applyNumberFormat="1" applyFont="1" applyFill="1" applyBorder="1" applyAlignment="1" applyProtection="1">
      <alignment horizontal="center"/>
      <protection locked="0"/>
    </xf>
    <xf numFmtId="166" fontId="11" fillId="9" borderId="36" xfId="5" applyNumberFormat="1" applyFont="1" applyFill="1" applyBorder="1" applyAlignment="1" applyProtection="1">
      <alignment horizontal="center"/>
      <protection locked="0"/>
    </xf>
    <xf numFmtId="166" fontId="11" fillId="9" borderId="24" xfId="5" applyNumberFormat="1" applyFont="1" applyFill="1" applyBorder="1" applyAlignment="1" applyProtection="1">
      <alignment horizontal="center"/>
      <protection locked="0"/>
    </xf>
    <xf numFmtId="166" fontId="32" fillId="10" borderId="24" xfId="5" applyNumberFormat="1" applyFont="1" applyFill="1" applyBorder="1" applyAlignment="1" applyProtection="1">
      <alignment horizontal="center"/>
    </xf>
    <xf numFmtId="166" fontId="11" fillId="0" borderId="24" xfId="5" applyNumberFormat="1" applyFont="1" applyFill="1" applyBorder="1" applyAlignment="1" applyProtection="1">
      <alignment horizontal="center"/>
      <protection locked="0"/>
    </xf>
    <xf numFmtId="166" fontId="32" fillId="7" borderId="4" xfId="5" applyNumberFormat="1" applyFont="1" applyFill="1" applyBorder="1" applyAlignment="1" applyProtection="1">
      <alignment horizontal="center"/>
    </xf>
    <xf numFmtId="3" fontId="11" fillId="0" borderId="6" xfId="2" applyNumberFormat="1" applyFont="1" applyFill="1" applyBorder="1" applyAlignment="1" applyProtection="1">
      <alignment vertical="top"/>
      <protection locked="0"/>
    </xf>
    <xf numFmtId="3" fontId="11" fillId="0" borderId="6" xfId="2" applyNumberFormat="1" applyFont="1" applyFill="1" applyBorder="1" applyAlignment="1" applyProtection="1">
      <alignment horizontal="right"/>
      <protection locked="0"/>
    </xf>
    <xf numFmtId="166" fontId="13" fillId="0" borderId="0" xfId="5" applyNumberFormat="1" applyFont="1" applyFill="1" applyBorder="1" applyProtection="1">
      <protection locked="0"/>
    </xf>
    <xf numFmtId="3" fontId="11" fillId="0" borderId="23" xfId="2" applyNumberFormat="1" applyFont="1" applyFill="1" applyBorder="1" applyAlignment="1" applyProtection="1">
      <alignment horizontal="right"/>
      <protection locked="0"/>
    </xf>
    <xf numFmtId="49" fontId="13" fillId="3" borderId="0" xfId="6" applyNumberFormat="1" applyFont="1" applyFill="1" applyBorder="1" applyAlignment="1" applyProtection="1">
      <alignment horizontal="center"/>
      <protection locked="0"/>
    </xf>
    <xf numFmtId="49" fontId="13" fillId="3" borderId="0" xfId="6" applyNumberFormat="1" applyFont="1" applyFill="1" applyBorder="1" applyAlignment="1" applyProtection="1">
      <alignment horizontal="left"/>
      <protection locked="0"/>
    </xf>
    <xf numFmtId="49" fontId="13" fillId="3" borderId="0" xfId="3" applyNumberFormat="1" applyFont="1" applyFill="1" applyBorder="1" applyAlignment="1" applyProtection="1">
      <alignment horizontal="center"/>
      <protection locked="0"/>
    </xf>
    <xf numFmtId="49" fontId="13" fillId="3" borderId="0" xfId="3" applyNumberFormat="1" applyFont="1" applyFill="1" applyBorder="1" applyAlignment="1" applyProtection="1">
      <alignment horizontal="left"/>
      <protection locked="0"/>
    </xf>
    <xf numFmtId="1" fontId="13" fillId="3" borderId="0" xfId="6" applyNumberFormat="1" applyFont="1" applyFill="1" applyBorder="1" applyAlignment="1" applyProtection="1">
      <alignment horizontal="center"/>
      <protection locked="0"/>
    </xf>
    <xf numFmtId="1" fontId="13" fillId="5" borderId="0" xfId="8" applyNumberFormat="1" applyFont="1" applyFill="1" applyBorder="1" applyAlignment="1" applyProtection="1">
      <alignment horizontal="center"/>
      <protection locked="0"/>
    </xf>
    <xf numFmtId="3" fontId="33" fillId="10" borderId="23" xfId="5" applyNumberFormat="1" applyFont="1" applyFill="1" applyBorder="1" applyAlignment="1" applyProtection="1">
      <alignment horizontal="right"/>
    </xf>
    <xf numFmtId="3" fontId="32" fillId="7" borderId="6" xfId="5" applyNumberFormat="1" applyFont="1" applyFill="1" applyBorder="1" applyAlignment="1" applyProtection="1">
      <alignment horizontal="right"/>
    </xf>
    <xf numFmtId="3" fontId="13" fillId="9" borderId="6" xfId="5" applyNumberFormat="1" applyFont="1" applyFill="1" applyBorder="1" applyAlignment="1" applyProtection="1">
      <alignment horizontal="right"/>
      <protection locked="0"/>
    </xf>
    <xf numFmtId="3" fontId="33" fillId="10" borderId="6" xfId="5" applyNumberFormat="1" applyFont="1" applyFill="1" applyBorder="1" applyAlignment="1" applyProtection="1">
      <alignment horizontal="right"/>
    </xf>
    <xf numFmtId="3" fontId="32" fillId="7" borderId="33" xfId="5" applyNumberFormat="1" applyFont="1" applyFill="1" applyBorder="1" applyAlignment="1" applyProtection="1">
      <alignment horizontal="right"/>
    </xf>
    <xf numFmtId="3" fontId="32" fillId="7" borderId="34" xfId="5" applyNumberFormat="1" applyFont="1" applyFill="1" applyBorder="1" applyAlignment="1" applyProtection="1">
      <alignment horizontal="right"/>
    </xf>
    <xf numFmtId="3" fontId="32" fillId="7" borderId="23" xfId="5" applyNumberFormat="1" applyFont="1" applyFill="1" applyBorder="1" applyAlignment="1" applyProtection="1">
      <alignment horizontal="right"/>
    </xf>
    <xf numFmtId="3" fontId="13" fillId="9" borderId="23" xfId="2" applyNumberFormat="1" applyFont="1" applyFill="1" applyBorder="1" applyAlignment="1" applyProtection="1">
      <alignment horizontal="right"/>
      <protection locked="0"/>
    </xf>
    <xf numFmtId="166" fontId="25" fillId="0" borderId="0" xfId="1" applyNumberFormat="1" applyFont="1"/>
    <xf numFmtId="166" fontId="11" fillId="0" borderId="0" xfId="1" applyNumberFormat="1" applyFont="1"/>
    <xf numFmtId="166" fontId="25" fillId="0" borderId="0" xfId="1" applyNumberFormat="1" applyFont="1" applyFill="1" applyBorder="1"/>
    <xf numFmtId="166" fontId="13" fillId="0" borderId="0" xfId="1" applyNumberFormat="1" applyFont="1" applyFill="1"/>
    <xf numFmtId="166" fontId="11" fillId="0" borderId="0" xfId="1" applyNumberFormat="1" applyFont="1" applyFill="1" applyBorder="1"/>
    <xf numFmtId="164" fontId="13" fillId="0" borderId="15" xfId="0" applyFont="1" applyFill="1" applyBorder="1"/>
    <xf numFmtId="164" fontId="13" fillId="0" borderId="16" xfId="0" applyFont="1" applyFill="1" applyBorder="1"/>
    <xf numFmtId="164" fontId="13" fillId="0" borderId="17" xfId="0" applyFont="1" applyFill="1" applyBorder="1"/>
    <xf numFmtId="164" fontId="13" fillId="0" borderId="18" xfId="0" applyFont="1" applyFill="1" applyBorder="1"/>
    <xf numFmtId="164" fontId="13" fillId="0" borderId="15" xfId="0" applyNumberFormat="1" applyFont="1" applyFill="1" applyBorder="1"/>
    <xf numFmtId="164" fontId="13" fillId="0" borderId="2" xfId="0" applyNumberFormat="1" applyFont="1" applyFill="1" applyBorder="1"/>
    <xf numFmtId="164" fontId="11" fillId="0" borderId="15" xfId="0" applyFont="1" applyFill="1" applyBorder="1"/>
    <xf numFmtId="3" fontId="13" fillId="0" borderId="15" xfId="0" applyNumberFormat="1" applyFont="1" applyFill="1" applyBorder="1"/>
    <xf numFmtId="3" fontId="13" fillId="0" borderId="2" xfId="0" applyNumberFormat="1" applyFont="1" applyFill="1" applyBorder="1"/>
    <xf numFmtId="164" fontId="13" fillId="0" borderId="14" xfId="0" applyFont="1" applyFill="1" applyBorder="1"/>
    <xf numFmtId="3" fontId="13" fillId="0" borderId="14" xfId="0" applyNumberFormat="1" applyFont="1" applyFill="1" applyBorder="1"/>
    <xf numFmtId="164" fontId="11" fillId="0" borderId="27" xfId="0" applyFont="1" applyFill="1" applyBorder="1"/>
    <xf numFmtId="164" fontId="11" fillId="0" borderId="4" xfId="0" applyNumberFormat="1" applyFont="1" applyFill="1" applyBorder="1"/>
    <xf numFmtId="164" fontId="11" fillId="0" borderId="27" xfId="0" applyNumberFormat="1" applyFont="1" applyFill="1" applyBorder="1"/>
    <xf numFmtId="164" fontId="13" fillId="0" borderId="0" xfId="0" applyFont="1" applyFill="1" applyBorder="1"/>
    <xf numFmtId="164" fontId="13" fillId="0" borderId="0" xfId="0" applyNumberFormat="1" applyFont="1" applyFill="1" applyBorder="1"/>
    <xf numFmtId="164" fontId="11" fillId="0" borderId="0" xfId="0" applyNumberFormat="1" applyFont="1" applyFill="1" applyBorder="1"/>
    <xf numFmtId="164" fontId="9" fillId="0" borderId="0" xfId="0" applyFont="1" applyBorder="1" applyAlignment="1">
      <alignment horizontal="right"/>
    </xf>
    <xf numFmtId="49" fontId="13" fillId="11" borderId="0" xfId="6" applyNumberFormat="1" applyFont="1" applyFill="1" applyBorder="1" applyAlignment="1" applyProtection="1">
      <alignment horizontal="center"/>
      <protection locked="0"/>
    </xf>
    <xf numFmtId="49" fontId="35" fillId="3" borderId="0" xfId="6" applyNumberFormat="1" applyFont="1" applyFill="1" applyBorder="1" applyAlignment="1" applyProtection="1">
      <alignment horizontal="left"/>
      <protection locked="0"/>
    </xf>
    <xf numFmtId="3" fontId="13" fillId="9" borderId="12" xfId="2" applyNumberFormat="1" applyFont="1" applyFill="1" applyBorder="1" applyAlignment="1" applyProtection="1">
      <alignment horizontal="right"/>
      <protection locked="0"/>
    </xf>
    <xf numFmtId="49" fontId="35" fillId="3" borderId="0" xfId="3" applyNumberFormat="1" applyFont="1" applyFill="1" applyBorder="1" applyAlignment="1" applyProtection="1">
      <alignment horizontal="left"/>
      <protection locked="0"/>
    </xf>
    <xf numFmtId="164" fontId="13" fillId="3" borderId="0" xfId="6" applyFont="1" applyFill="1" applyBorder="1" applyAlignment="1" applyProtection="1">
      <protection locked="0"/>
    </xf>
    <xf numFmtId="164" fontId="35" fillId="3" borderId="0" xfId="6" applyFont="1" applyFill="1" applyBorder="1" applyAlignment="1" applyProtection="1">
      <protection locked="0"/>
    </xf>
    <xf numFmtId="49" fontId="36" fillId="3" borderId="0" xfId="6" applyNumberFormat="1" applyFont="1" applyFill="1" applyBorder="1" applyAlignment="1" applyProtection="1">
      <alignment horizontal="left"/>
      <protection locked="0"/>
    </xf>
    <xf numFmtId="1" fontId="37" fillId="3" borderId="0" xfId="6" applyNumberFormat="1" applyFont="1" applyFill="1" applyBorder="1" applyAlignment="1" applyProtection="1">
      <alignment horizontal="center"/>
      <protection locked="0"/>
    </xf>
    <xf numFmtId="49" fontId="13" fillId="12" borderId="0" xfId="6" applyNumberFormat="1" applyFont="1" applyFill="1" applyBorder="1" applyAlignment="1" applyProtection="1">
      <alignment horizontal="center"/>
      <protection locked="0"/>
    </xf>
    <xf numFmtId="49" fontId="13" fillId="12" borderId="0" xfId="6" applyNumberFormat="1" applyFont="1" applyFill="1" applyBorder="1" applyAlignment="1" applyProtection="1">
      <alignment horizontal="left"/>
      <protection locked="0"/>
    </xf>
    <xf numFmtId="49" fontId="35" fillId="12" borderId="0" xfId="6" applyNumberFormat="1" applyFont="1" applyFill="1" applyBorder="1" applyAlignment="1" applyProtection="1">
      <alignment horizontal="left"/>
      <protection locked="0"/>
    </xf>
    <xf numFmtId="1" fontId="13" fillId="12" borderId="0" xfId="6" applyNumberFormat="1" applyFont="1" applyFill="1" applyBorder="1" applyAlignment="1" applyProtection="1">
      <alignment horizontal="center"/>
      <protection locked="0"/>
    </xf>
    <xf numFmtId="166" fontId="11" fillId="0" borderId="0" xfId="5" applyNumberFormat="1" applyFont="1" applyFill="1" applyBorder="1" applyAlignment="1" applyProtection="1">
      <alignment horizontal="center"/>
      <protection locked="0"/>
    </xf>
    <xf numFmtId="49" fontId="13" fillId="12" borderId="0" xfId="29" applyNumberFormat="1" applyFont="1" applyFill="1" applyBorder="1" applyAlignment="1" applyProtection="1">
      <alignment horizontal="left"/>
      <protection locked="0"/>
    </xf>
    <xf numFmtId="49" fontId="35" fillId="12" borderId="0" xfId="29" applyNumberFormat="1" applyFont="1" applyFill="1" applyBorder="1" applyAlignment="1" applyProtection="1">
      <alignment horizontal="left"/>
      <protection locked="0"/>
    </xf>
    <xf numFmtId="3" fontId="13" fillId="12" borderId="0" xfId="3" applyFont="1" applyFill="1" applyBorder="1" applyAlignment="1" applyProtection="1">
      <protection locked="0"/>
    </xf>
    <xf numFmtId="3" fontId="35" fillId="12" borderId="0" xfId="3" applyFont="1" applyFill="1" applyBorder="1" applyAlignment="1" applyProtection="1">
      <protection locked="0"/>
    </xf>
    <xf numFmtId="49" fontId="13" fillId="13" borderId="0" xfId="5" applyNumberFormat="1" applyFont="1" applyFill="1" applyBorder="1" applyAlignment="1" applyProtection="1">
      <alignment horizontal="center"/>
      <protection locked="0"/>
    </xf>
    <xf numFmtId="49" fontId="13" fillId="13" borderId="0" xfId="5" applyNumberFormat="1" applyFont="1" applyFill="1" applyBorder="1" applyAlignment="1" applyProtection="1">
      <alignment horizontal="left"/>
      <protection locked="0"/>
    </xf>
    <xf numFmtId="49" fontId="35" fillId="13" borderId="0" xfId="5" applyNumberFormat="1" applyFont="1" applyFill="1" applyBorder="1" applyAlignment="1" applyProtection="1">
      <alignment horizontal="left"/>
      <protection locked="0"/>
    </xf>
    <xf numFmtId="49" fontId="13" fillId="13" borderId="0" xfId="6" applyNumberFormat="1" applyFont="1" applyFill="1" applyBorder="1" applyAlignment="1" applyProtection="1">
      <alignment horizontal="left"/>
      <protection locked="0"/>
    </xf>
    <xf numFmtId="49" fontId="35" fillId="13" borderId="0" xfId="6" applyNumberFormat="1" applyFont="1" applyFill="1" applyBorder="1" applyAlignment="1" applyProtection="1">
      <alignment horizontal="left"/>
      <protection locked="0"/>
    </xf>
    <xf numFmtId="49" fontId="13" fillId="13" borderId="0" xfId="30" applyNumberFormat="1" applyFont="1" applyFill="1" applyBorder="1" applyAlignment="1" applyProtection="1">
      <alignment horizontal="left"/>
      <protection locked="0"/>
    </xf>
    <xf numFmtId="49" fontId="35" fillId="13" borderId="0" xfId="30" applyNumberFormat="1" applyFont="1" applyFill="1" applyBorder="1" applyAlignment="1" applyProtection="1">
      <alignment horizontal="left"/>
      <protection locked="0"/>
    </xf>
    <xf numFmtId="49" fontId="13" fillId="14" borderId="0" xfId="5" applyNumberFormat="1" applyFont="1" applyFill="1" applyBorder="1" applyAlignment="1" applyProtection="1">
      <alignment horizontal="center"/>
      <protection locked="0"/>
    </xf>
    <xf numFmtId="49" fontId="13" fillId="14" borderId="0" xfId="6" applyNumberFormat="1" applyFont="1" applyFill="1" applyBorder="1" applyAlignment="1" applyProtection="1">
      <alignment horizontal="left"/>
      <protection locked="0"/>
    </xf>
    <xf numFmtId="49" fontId="35" fillId="14" borderId="0" xfId="6" applyNumberFormat="1" applyFont="1" applyFill="1" applyBorder="1" applyAlignment="1" applyProtection="1">
      <alignment horizontal="left"/>
      <protection locked="0"/>
    </xf>
    <xf numFmtId="49" fontId="13" fillId="14" borderId="0" xfId="6" applyNumberFormat="1" applyFont="1" applyFill="1" applyBorder="1" applyAlignment="1" applyProtection="1">
      <alignment horizontal="center"/>
      <protection locked="0"/>
    </xf>
    <xf numFmtId="1" fontId="13" fillId="14" borderId="0" xfId="6" applyNumberFormat="1" applyFont="1" applyFill="1" applyBorder="1" applyAlignment="1" applyProtection="1">
      <alignment horizontal="center"/>
      <protection locked="0"/>
    </xf>
    <xf numFmtId="3" fontId="13" fillId="0" borderId="23" xfId="2" applyNumberFormat="1" applyFont="1" applyFill="1" applyBorder="1" applyAlignment="1" applyProtection="1">
      <alignment horizontal="right"/>
      <protection locked="0"/>
    </xf>
    <xf numFmtId="3" fontId="13" fillId="0" borderId="6" xfId="2" applyNumberFormat="1" applyFont="1" applyFill="1" applyBorder="1" applyAlignment="1" applyProtection="1">
      <alignment horizontal="right"/>
      <protection locked="0"/>
    </xf>
    <xf numFmtId="3" fontId="13" fillId="0" borderId="6" xfId="2" applyNumberFormat="1" applyFont="1" applyFill="1" applyBorder="1" applyAlignment="1" applyProtection="1">
      <alignment vertical="top"/>
      <protection locked="0"/>
    </xf>
    <xf numFmtId="1" fontId="6" fillId="0" borderId="0" xfId="27" applyNumberFormat="1" applyFont="1" applyBorder="1"/>
    <xf numFmtId="49" fontId="13" fillId="14" borderId="0" xfId="5" applyNumberFormat="1" applyFont="1" applyFill="1" applyBorder="1" applyAlignment="1" applyProtection="1">
      <alignment horizontal="left"/>
      <protection locked="0"/>
    </xf>
    <xf numFmtId="49" fontId="35" fillId="14" borderId="0" xfId="5" applyNumberFormat="1" applyFont="1" applyFill="1" applyBorder="1" applyAlignment="1" applyProtection="1">
      <alignment horizontal="left"/>
      <protection locked="0"/>
    </xf>
    <xf numFmtId="49" fontId="13" fillId="15" borderId="0" xfId="5" applyNumberFormat="1" applyFont="1" applyFill="1" applyBorder="1" applyAlignment="1" applyProtection="1">
      <alignment horizontal="center"/>
      <protection locked="0"/>
    </xf>
    <xf numFmtId="0" fontId="0" fillId="0" borderId="14" xfId="0" applyNumberFormat="1" applyFont="1" applyBorder="1"/>
    <xf numFmtId="49" fontId="36" fillId="16" borderId="0" xfId="31" applyNumberFormat="1" applyFont="1" applyFill="1" applyBorder="1" applyAlignment="1" applyProtection="1">
      <alignment horizontal="left"/>
      <protection locked="0"/>
    </xf>
    <xf numFmtId="1" fontId="37" fillId="12" borderId="0" xfId="6" applyNumberFormat="1" applyFont="1" applyFill="1" applyBorder="1" applyAlignment="1" applyProtection="1">
      <alignment horizontal="center"/>
      <protection locked="0"/>
    </xf>
    <xf numFmtId="49" fontId="36" fillId="13" borderId="0" xfId="5" applyNumberFormat="1" applyFont="1" applyFill="1" applyBorder="1" applyAlignment="1" applyProtection="1">
      <alignment horizontal="left"/>
      <protection locked="0"/>
    </xf>
    <xf numFmtId="1" fontId="37" fillId="13" borderId="0" xfId="6" applyNumberFormat="1" applyFont="1" applyFill="1" applyBorder="1" applyAlignment="1" applyProtection="1">
      <alignment horizontal="center"/>
      <protection locked="0"/>
    </xf>
    <xf numFmtId="49" fontId="13" fillId="17" borderId="0" xfId="6" applyNumberFormat="1" applyFont="1" applyFill="1" applyBorder="1" applyAlignment="1" applyProtection="1">
      <alignment horizontal="center"/>
      <protection locked="0"/>
    </xf>
    <xf numFmtId="49" fontId="13" fillId="17" borderId="0" xfId="6" applyNumberFormat="1" applyFont="1" applyFill="1" applyBorder="1" applyAlignment="1" applyProtection="1">
      <alignment horizontal="left"/>
      <protection locked="0"/>
    </xf>
    <xf numFmtId="49" fontId="35" fillId="17" borderId="0" xfId="6" applyNumberFormat="1" applyFont="1" applyFill="1" applyBorder="1" applyAlignment="1" applyProtection="1">
      <alignment horizontal="left"/>
      <protection locked="0"/>
    </xf>
    <xf numFmtId="1" fontId="13" fillId="17" borderId="0" xfId="6" applyNumberFormat="1" applyFont="1" applyFill="1" applyBorder="1" applyAlignment="1" applyProtection="1">
      <alignment horizontal="center"/>
      <protection locked="0"/>
    </xf>
    <xf numFmtId="49" fontId="13" fillId="17" borderId="0" xfId="3" applyNumberFormat="1" applyFont="1" applyFill="1" applyBorder="1" applyAlignment="1" applyProtection="1">
      <alignment horizontal="center"/>
      <protection locked="0"/>
    </xf>
    <xf numFmtId="164" fontId="13" fillId="17" borderId="0" xfId="6" applyFont="1" applyFill="1" applyBorder="1" applyAlignment="1" applyProtection="1">
      <protection locked="0"/>
    </xf>
    <xf numFmtId="164" fontId="35" fillId="17" borderId="0" xfId="6" applyFont="1" applyFill="1" applyBorder="1" applyAlignment="1" applyProtection="1">
      <protection locked="0"/>
    </xf>
    <xf numFmtId="1" fontId="13" fillId="18" borderId="0" xfId="8" applyNumberFormat="1" applyFont="1" applyFill="1" applyBorder="1" applyAlignment="1" applyProtection="1">
      <alignment horizontal="center"/>
      <protection locked="0"/>
    </xf>
    <xf numFmtId="3" fontId="13" fillId="17" borderId="0" xfId="3" applyFont="1" applyFill="1" applyBorder="1" applyAlignment="1" applyProtection="1">
      <protection locked="0"/>
    </xf>
    <xf numFmtId="3" fontId="35" fillId="17" borderId="0" xfId="3" applyFont="1" applyFill="1" applyBorder="1" applyAlignment="1" applyProtection="1">
      <protection locked="0"/>
    </xf>
    <xf numFmtId="49" fontId="13" fillId="17" borderId="0" xfId="3" applyNumberFormat="1" applyFont="1" applyFill="1" applyBorder="1" applyAlignment="1" applyProtection="1">
      <alignment horizontal="left"/>
      <protection locked="0"/>
    </xf>
    <xf numFmtId="49" fontId="35" fillId="17" borderId="0" xfId="3" applyNumberFormat="1" applyFont="1" applyFill="1" applyBorder="1" applyAlignment="1" applyProtection="1">
      <alignment horizontal="left"/>
      <protection locked="0"/>
    </xf>
    <xf numFmtId="49" fontId="13" fillId="17" borderId="6" xfId="6" applyNumberFormat="1" applyFont="1" applyFill="1" applyBorder="1" applyAlignment="1" applyProtection="1">
      <alignment horizontal="center"/>
      <protection locked="0"/>
    </xf>
    <xf numFmtId="49" fontId="13" fillId="12" borderId="0" xfId="31" applyNumberFormat="1" applyFont="1" applyFill="1" applyBorder="1" applyAlignment="1" applyProtection="1">
      <alignment horizontal="center"/>
      <protection locked="0"/>
    </xf>
    <xf numFmtId="49" fontId="13" fillId="12" borderId="0" xfId="31" applyNumberFormat="1" applyFont="1" applyFill="1" applyBorder="1" applyAlignment="1" applyProtection="1">
      <alignment horizontal="left"/>
      <protection locked="0"/>
    </xf>
    <xf numFmtId="49" fontId="35" fillId="12" borderId="0" xfId="31" applyNumberFormat="1" applyFont="1" applyFill="1" applyBorder="1" applyAlignment="1" applyProtection="1">
      <alignment horizontal="left"/>
      <protection locked="0"/>
    </xf>
    <xf numFmtId="1" fontId="13" fillId="12" borderId="0" xfId="31" applyNumberFormat="1" applyFont="1" applyFill="1" applyBorder="1" applyAlignment="1" applyProtection="1">
      <alignment horizontal="center"/>
      <protection locked="0"/>
    </xf>
    <xf numFmtId="0" fontId="38" fillId="0" borderId="0" xfId="0" applyNumberFormat="1" applyFont="1"/>
    <xf numFmtId="3" fontId="38" fillId="0" borderId="0" xfId="0" applyNumberFormat="1" applyFont="1"/>
    <xf numFmtId="49" fontId="13" fillId="12" borderId="6" xfId="3" applyNumberFormat="1" applyFont="1" applyFill="1" applyBorder="1" applyAlignment="1" applyProtection="1">
      <alignment horizontal="center"/>
      <protection locked="0"/>
    </xf>
    <xf numFmtId="49" fontId="13" fillId="16" borderId="0" xfId="31" applyNumberFormat="1" applyFont="1" applyFill="1" applyBorder="1" applyAlignment="1" applyProtection="1">
      <alignment horizontal="left"/>
      <protection locked="0"/>
    </xf>
    <xf numFmtId="49" fontId="35" fillId="16" borderId="0" xfId="31" applyNumberFormat="1" applyFont="1" applyFill="1" applyBorder="1" applyAlignment="1" applyProtection="1">
      <alignment horizontal="left"/>
      <protection locked="0"/>
    </xf>
    <xf numFmtId="1" fontId="13" fillId="12" borderId="0" xfId="3" applyNumberFormat="1" applyFont="1" applyFill="1" applyBorder="1" applyAlignment="1" applyProtection="1">
      <alignment horizontal="center"/>
      <protection locked="0"/>
    </xf>
    <xf numFmtId="49" fontId="13" fillId="12" borderId="6" xfId="31" applyNumberFormat="1" applyFont="1" applyFill="1" applyBorder="1" applyAlignment="1" applyProtection="1">
      <alignment horizontal="center"/>
      <protection locked="0"/>
    </xf>
    <xf numFmtId="49" fontId="11" fillId="19" borderId="6" xfId="32" applyNumberFormat="1" applyFont="1" applyFill="1" applyBorder="1" applyAlignment="1" applyProtection="1">
      <alignment horizontal="center"/>
      <protection locked="0"/>
    </xf>
    <xf numFmtId="49" fontId="11" fillId="19" borderId="0" xfId="31" applyNumberFormat="1" applyFont="1" applyFill="1" applyBorder="1" applyAlignment="1" applyProtection="1">
      <alignment horizontal="left"/>
      <protection locked="0"/>
    </xf>
    <xf numFmtId="1" fontId="11" fillId="19" borderId="0" xfId="32" applyNumberFormat="1" applyFont="1" applyFill="1" applyBorder="1" applyAlignment="1" applyProtection="1">
      <alignment horizontal="center"/>
      <protection locked="0"/>
    </xf>
    <xf numFmtId="3" fontId="11" fillId="0" borderId="0" xfId="2" applyNumberFormat="1" applyFont="1" applyFill="1" applyBorder="1" applyAlignment="1" applyProtection="1">
      <alignment horizontal="right"/>
      <protection locked="0"/>
    </xf>
    <xf numFmtId="49" fontId="13" fillId="3" borderId="0" xfId="33" applyNumberFormat="1" applyFont="1" applyFill="1" applyBorder="1" applyAlignment="1" applyProtection="1">
      <alignment horizontal="center"/>
      <protection locked="0"/>
    </xf>
    <xf numFmtId="49" fontId="13" fillId="3" borderId="0" xfId="33" applyNumberFormat="1" applyFont="1" applyFill="1" applyBorder="1" applyAlignment="1" applyProtection="1">
      <alignment horizontal="left"/>
      <protection locked="0"/>
    </xf>
    <xf numFmtId="49" fontId="35" fillId="3" borderId="0" xfId="33" applyNumberFormat="1" applyFont="1" applyFill="1" applyBorder="1" applyAlignment="1" applyProtection="1">
      <alignment horizontal="left"/>
      <protection locked="0"/>
    </xf>
    <xf numFmtId="49" fontId="13" fillId="3" borderId="0" xfId="31" applyNumberFormat="1" applyFont="1" applyFill="1" applyBorder="1" applyAlignment="1" applyProtection="1">
      <alignment horizontal="left"/>
      <protection locked="0"/>
    </xf>
    <xf numFmtId="49" fontId="35" fillId="3" borderId="0" xfId="31" applyNumberFormat="1" applyFont="1" applyFill="1" applyBorder="1" applyAlignment="1" applyProtection="1">
      <alignment horizontal="left"/>
      <protection locked="0"/>
    </xf>
    <xf numFmtId="49" fontId="13" fillId="20" borderId="0" xfId="33" applyNumberFormat="1" applyFont="1" applyFill="1" applyBorder="1" applyAlignment="1" applyProtection="1">
      <alignment horizontal="center"/>
      <protection locked="0"/>
    </xf>
    <xf numFmtId="49" fontId="13" fillId="20" borderId="0" xfId="33" applyNumberFormat="1" applyFont="1" applyFill="1" applyBorder="1" applyAlignment="1" applyProtection="1">
      <alignment horizontal="left"/>
      <protection locked="0"/>
    </xf>
    <xf numFmtId="49" fontId="35" fillId="20" borderId="0" xfId="33" applyNumberFormat="1" applyFont="1" applyFill="1" applyBorder="1" applyAlignment="1" applyProtection="1">
      <alignment horizontal="left"/>
      <protection locked="0"/>
    </xf>
    <xf numFmtId="1" fontId="13" fillId="20" borderId="0" xfId="6" applyNumberFormat="1" applyFont="1" applyFill="1" applyBorder="1" applyAlignment="1" applyProtection="1">
      <alignment horizontal="center"/>
      <protection locked="0"/>
    </xf>
    <xf numFmtId="170" fontId="11" fillId="0" borderId="23" xfId="9" applyNumberFormat="1" applyFont="1" applyFill="1" applyBorder="1" applyAlignment="1" applyProtection="1">
      <alignment horizontal="right"/>
      <protection locked="0"/>
    </xf>
    <xf numFmtId="171" fontId="11" fillId="0" borderId="23" xfId="9" applyNumberFormat="1" applyFont="1" applyFill="1" applyBorder="1" applyAlignment="1" applyProtection="1">
      <alignment horizontal="right"/>
      <protection locked="0"/>
    </xf>
    <xf numFmtId="3" fontId="11" fillId="0" borderId="6" xfId="10" applyNumberFormat="1" applyFont="1" applyFill="1" applyBorder="1" applyAlignment="1" applyProtection="1">
      <alignment horizontal="right"/>
      <protection locked="0"/>
    </xf>
    <xf numFmtId="171" fontId="11" fillId="0" borderId="6" xfId="10" applyNumberFormat="1" applyFont="1" applyFill="1" applyBorder="1" applyAlignment="1" applyProtection="1">
      <alignment horizontal="right"/>
      <protection locked="0"/>
    </xf>
    <xf numFmtId="170" fontId="11" fillId="0" borderId="6" xfId="12" applyNumberFormat="1" applyFont="1" applyFill="1" applyBorder="1" applyAlignment="1" applyProtection="1">
      <alignment horizontal="right"/>
      <protection locked="0"/>
    </xf>
    <xf numFmtId="172" fontId="11" fillId="0" borderId="6" xfId="12" applyNumberFormat="1" applyFont="1" applyFill="1" applyBorder="1" applyAlignment="1" applyProtection="1">
      <alignment horizontal="right"/>
      <protection locked="0"/>
    </xf>
    <xf numFmtId="170" fontId="11" fillId="0" borderId="6" xfId="13" applyNumberFormat="1" applyFont="1" applyFill="1" applyBorder="1" applyAlignment="1" applyProtection="1">
      <alignment horizontal="right"/>
      <protection locked="0"/>
    </xf>
    <xf numFmtId="172" fontId="11" fillId="0" borderId="6" xfId="13" applyNumberFormat="1" applyFont="1" applyFill="1" applyBorder="1" applyAlignment="1" applyProtection="1">
      <alignment horizontal="right"/>
      <protection locked="0"/>
    </xf>
    <xf numFmtId="170" fontId="13" fillId="9" borderId="12" xfId="9" applyNumberFormat="1" applyFont="1" applyFill="1" applyBorder="1" applyAlignment="1" applyProtection="1">
      <alignment horizontal="right"/>
      <protection locked="0"/>
    </xf>
    <xf numFmtId="171" fontId="13" fillId="9" borderId="23" xfId="9" applyNumberFormat="1" applyFont="1" applyFill="1" applyBorder="1" applyAlignment="1" applyProtection="1">
      <alignment horizontal="right"/>
      <protection locked="0"/>
    </xf>
    <xf numFmtId="170" fontId="11" fillId="0" borderId="6" xfId="14" applyNumberFormat="1" applyFont="1" applyFill="1" applyBorder="1" applyAlignment="1" applyProtection="1">
      <alignment horizontal="right"/>
      <protection locked="0"/>
    </xf>
    <xf numFmtId="171" fontId="11" fillId="0" borderId="6" xfId="14" applyNumberFormat="1" applyFont="1" applyFill="1" applyBorder="1" applyAlignment="1" applyProtection="1">
      <alignment horizontal="right"/>
      <protection locked="0"/>
    </xf>
    <xf numFmtId="49" fontId="13" fillId="20" borderId="6" xfId="33" applyNumberFormat="1" applyFont="1" applyFill="1" applyBorder="1" applyAlignment="1" applyProtection="1">
      <alignment horizontal="center"/>
      <protection locked="0"/>
    </xf>
    <xf numFmtId="49" fontId="13" fillId="20" borderId="0" xfId="31" applyNumberFormat="1" applyFont="1" applyFill="1" applyBorder="1" applyAlignment="1" applyProtection="1">
      <alignment horizontal="left"/>
      <protection locked="0"/>
    </xf>
    <xf numFmtId="49" fontId="35" fillId="20" borderId="0" xfId="31" applyNumberFormat="1" applyFont="1" applyFill="1" applyBorder="1" applyAlignment="1" applyProtection="1">
      <alignment horizontal="left"/>
      <protection locked="0"/>
    </xf>
    <xf numFmtId="3" fontId="13" fillId="20" borderId="0" xfId="3" applyFont="1" applyFill="1" applyBorder="1" applyAlignment="1" applyProtection="1">
      <protection locked="0"/>
    </xf>
    <xf numFmtId="3" fontId="35" fillId="20" borderId="0" xfId="3" applyFont="1" applyFill="1" applyBorder="1" applyAlignment="1" applyProtection="1">
      <protection locked="0"/>
    </xf>
    <xf numFmtId="1" fontId="13" fillId="21" borderId="0" xfId="6" applyNumberFormat="1" applyFont="1" applyFill="1" applyBorder="1" applyAlignment="1" applyProtection="1">
      <alignment horizontal="center"/>
      <protection locked="0"/>
    </xf>
    <xf numFmtId="49" fontId="13" fillId="21" borderId="6" xfId="31" applyNumberFormat="1" applyFont="1" applyFill="1" applyBorder="1" applyAlignment="1" applyProtection="1">
      <alignment horizontal="center"/>
      <protection locked="0"/>
    </xf>
    <xf numFmtId="49" fontId="13" fillId="20" borderId="0" xfId="3" applyNumberFormat="1" applyFont="1" applyFill="1" applyBorder="1" applyAlignment="1" applyProtection="1">
      <alignment horizontal="left"/>
      <protection locked="0"/>
    </xf>
    <xf numFmtId="49" fontId="35" fillId="20" borderId="0" xfId="3" applyNumberFormat="1" applyFont="1" applyFill="1" applyBorder="1" applyAlignment="1" applyProtection="1">
      <alignment horizontal="left"/>
      <protection locked="0"/>
    </xf>
    <xf numFmtId="49" fontId="13" fillId="20" borderId="6" xfId="31" applyNumberFormat="1" applyFont="1" applyFill="1" applyBorder="1" applyAlignment="1" applyProtection="1">
      <alignment horizontal="center"/>
      <protection locked="0"/>
    </xf>
    <xf numFmtId="49" fontId="13" fillId="20" borderId="6" xfId="3" applyNumberFormat="1" applyFont="1" applyFill="1" applyBorder="1" applyAlignment="1" applyProtection="1">
      <alignment horizontal="center"/>
      <protection locked="0"/>
    </xf>
    <xf numFmtId="49" fontId="13" fillId="20" borderId="0" xfId="3" applyNumberFormat="1" applyFont="1" applyFill="1" applyBorder="1" applyAlignment="1" applyProtection="1">
      <alignment horizontal="center"/>
      <protection locked="0"/>
    </xf>
    <xf numFmtId="49" fontId="13" fillId="21" borderId="0" xfId="31" applyNumberFormat="1" applyFont="1" applyFill="1" applyBorder="1" applyAlignment="1" applyProtection="1">
      <alignment horizontal="left"/>
      <protection locked="0"/>
    </xf>
    <xf numFmtId="49" fontId="35" fillId="21" borderId="0" xfId="31" applyNumberFormat="1" applyFont="1" applyFill="1" applyBorder="1" applyAlignment="1" applyProtection="1">
      <alignment horizontal="left"/>
      <protection locked="0"/>
    </xf>
    <xf numFmtId="1" fontId="13" fillId="20" borderId="0" xfId="3" applyNumberFormat="1" applyFont="1" applyFill="1" applyBorder="1" applyAlignment="1" applyProtection="1">
      <alignment horizontal="center"/>
      <protection locked="0"/>
    </xf>
    <xf numFmtId="49" fontId="36" fillId="17" borderId="0" xfId="6" applyNumberFormat="1" applyFont="1" applyFill="1" applyBorder="1" applyAlignment="1" applyProtection="1">
      <alignment horizontal="left"/>
      <protection locked="0"/>
    </xf>
    <xf numFmtId="1" fontId="37" fillId="17" borderId="0" xfId="6" applyNumberFormat="1" applyFont="1" applyFill="1" applyBorder="1" applyAlignment="1" applyProtection="1">
      <alignment horizontal="center"/>
      <protection locked="0"/>
    </xf>
    <xf numFmtId="49" fontId="36" fillId="17" borderId="0" xfId="6" applyNumberFormat="1" applyFont="1" applyFill="1" applyBorder="1" applyAlignment="1" applyProtection="1">
      <alignment horizontal="center"/>
      <protection locked="0"/>
    </xf>
    <xf numFmtId="49" fontId="36" fillId="19" borderId="0" xfId="31" applyNumberFormat="1" applyFont="1" applyFill="1" applyBorder="1" applyAlignment="1" applyProtection="1">
      <alignment horizontal="left"/>
      <protection locked="0"/>
    </xf>
    <xf numFmtId="49" fontId="36" fillId="3" borderId="0" xfId="31" applyNumberFormat="1" applyFont="1" applyFill="1" applyBorder="1" applyAlignment="1" applyProtection="1">
      <alignment horizontal="left"/>
      <protection locked="0"/>
    </xf>
    <xf numFmtId="49" fontId="36" fillId="20" borderId="0" xfId="31" applyNumberFormat="1" applyFont="1" applyFill="1" applyBorder="1" applyAlignment="1" applyProtection="1">
      <alignment horizontal="left"/>
      <protection locked="0"/>
    </xf>
    <xf numFmtId="1" fontId="37" fillId="20" borderId="0" xfId="6" applyNumberFormat="1" applyFont="1" applyFill="1" applyBorder="1" applyAlignment="1" applyProtection="1">
      <alignment horizontal="center"/>
      <protection locked="0"/>
    </xf>
    <xf numFmtId="3" fontId="33" fillId="9" borderId="6" xfId="5" applyNumberFormat="1" applyFont="1" applyFill="1" applyBorder="1" applyAlignment="1" applyProtection="1">
      <alignment horizontal="right"/>
      <protection locked="0"/>
    </xf>
    <xf numFmtId="49" fontId="13" fillId="22" borderId="0" xfId="5" applyNumberFormat="1" applyFont="1" applyFill="1" applyBorder="1" applyAlignment="1" applyProtection="1">
      <alignment horizontal="center"/>
      <protection locked="0"/>
    </xf>
    <xf numFmtId="49" fontId="13" fillId="22" borderId="0" xfId="5" applyNumberFormat="1" applyFont="1" applyFill="1" applyBorder="1" applyAlignment="1" applyProtection="1">
      <alignment horizontal="left"/>
      <protection locked="0"/>
    </xf>
    <xf numFmtId="49" fontId="35" fillId="22" borderId="0" xfId="5" applyNumberFormat="1" applyFont="1" applyFill="1" applyBorder="1" applyAlignment="1" applyProtection="1">
      <alignment horizontal="left"/>
      <protection locked="0"/>
    </xf>
    <xf numFmtId="49" fontId="13" fillId="14" borderId="0" xfId="33" applyNumberFormat="1" applyFont="1" applyFill="1" applyBorder="1" applyAlignment="1" applyProtection="1">
      <alignment horizontal="left"/>
      <protection locked="0"/>
    </xf>
    <xf numFmtId="49" fontId="35" fillId="14" borderId="0" xfId="33" applyNumberFormat="1" applyFont="1" applyFill="1" applyBorder="1" applyAlignment="1" applyProtection="1">
      <alignment horizontal="left"/>
      <protection locked="0"/>
    </xf>
    <xf numFmtId="49" fontId="13" fillId="14" borderId="0" xfId="31" applyNumberFormat="1" applyFont="1" applyFill="1" applyBorder="1" applyAlignment="1" applyProtection="1">
      <alignment horizontal="left"/>
      <protection locked="0"/>
    </xf>
    <xf numFmtId="49" fontId="13" fillId="14" borderId="0" xfId="33" applyNumberFormat="1" applyFont="1" applyFill="1" applyBorder="1" applyAlignment="1" applyProtection="1">
      <alignment horizontal="center"/>
      <protection locked="0"/>
    </xf>
    <xf numFmtId="49" fontId="13" fillId="23" borderId="6" xfId="33" applyNumberFormat="1" applyFont="1" applyFill="1" applyBorder="1" applyAlignment="1" applyProtection="1">
      <alignment horizontal="center"/>
      <protection locked="0"/>
    </xf>
    <xf numFmtId="49" fontId="13" fillId="23" borderId="0" xfId="33" applyNumberFormat="1" applyFont="1" applyFill="1" applyBorder="1" applyAlignment="1" applyProtection="1">
      <alignment horizontal="left"/>
      <protection locked="0"/>
    </xf>
    <xf numFmtId="49" fontId="35" fillId="23" borderId="0" xfId="33" applyNumberFormat="1" applyFont="1" applyFill="1" applyBorder="1" applyAlignment="1" applyProtection="1">
      <alignment horizontal="left"/>
      <protection locked="0"/>
    </xf>
    <xf numFmtId="49" fontId="13" fillId="23" borderId="0" xfId="33" applyNumberFormat="1" applyFont="1" applyFill="1" applyBorder="1" applyAlignment="1" applyProtection="1">
      <alignment horizontal="center"/>
      <protection locked="0"/>
    </xf>
    <xf numFmtId="1" fontId="13" fillId="23" borderId="0" xfId="6" applyNumberFormat="1" applyFont="1" applyFill="1" applyBorder="1" applyAlignment="1" applyProtection="1">
      <alignment horizontal="center"/>
      <protection locked="0"/>
    </xf>
    <xf numFmtId="49" fontId="13" fillId="23" borderId="0" xfId="31" applyNumberFormat="1" applyFont="1" applyFill="1" applyBorder="1" applyAlignment="1" applyProtection="1">
      <alignment horizontal="left"/>
      <protection locked="0"/>
    </xf>
    <xf numFmtId="49" fontId="35" fillId="23" borderId="0" xfId="31" applyNumberFormat="1" applyFont="1" applyFill="1" applyBorder="1" applyAlignment="1" applyProtection="1">
      <alignment horizontal="left"/>
      <protection locked="0"/>
    </xf>
    <xf numFmtId="49" fontId="13" fillId="3" borderId="6" xfId="33" applyNumberFormat="1" applyFont="1" applyFill="1" applyBorder="1" applyAlignment="1" applyProtection="1">
      <alignment horizontal="center"/>
      <protection locked="0"/>
    </xf>
    <xf numFmtId="164" fontId="13" fillId="3" borderId="0" xfId="33" applyNumberFormat="1" applyFont="1" applyFill="1" applyBorder="1" applyProtection="1">
      <protection locked="0"/>
    </xf>
    <xf numFmtId="164" fontId="35" fillId="3" borderId="0" xfId="33" applyNumberFormat="1" applyFont="1" applyFill="1" applyBorder="1" applyProtection="1">
      <protection locked="0"/>
    </xf>
    <xf numFmtId="49" fontId="13" fillId="3" borderId="0" xfId="34" applyNumberFormat="1" applyFont="1" applyFill="1" applyBorder="1" applyAlignment="1" applyProtection="1">
      <alignment horizontal="left"/>
      <protection locked="0"/>
    </xf>
    <xf numFmtId="49" fontId="35" fillId="3" borderId="0" xfId="34" applyNumberFormat="1" applyFont="1" applyFill="1" applyBorder="1" applyAlignment="1" applyProtection="1">
      <alignment horizontal="left"/>
      <protection locked="0"/>
    </xf>
    <xf numFmtId="49" fontId="13" fillId="3" borderId="0" xfId="34" applyNumberFormat="1" applyFont="1" applyFill="1" applyBorder="1" applyAlignment="1" applyProtection="1">
      <alignment horizontal="center"/>
      <protection locked="0"/>
    </xf>
    <xf numFmtId="49" fontId="13" fillId="3" borderId="6" xfId="5" applyNumberFormat="1" applyFont="1" applyFill="1" applyBorder="1" applyAlignment="1" applyProtection="1">
      <alignment horizontal="center"/>
      <protection locked="0"/>
    </xf>
    <xf numFmtId="49" fontId="13" fillId="3" borderId="0" xfId="5" applyNumberFormat="1" applyFont="1" applyFill="1" applyBorder="1" applyAlignment="1" applyProtection="1">
      <alignment horizontal="left"/>
      <protection locked="0"/>
    </xf>
    <xf numFmtId="49" fontId="35" fillId="3" borderId="0" xfId="5" applyNumberFormat="1" applyFont="1" applyFill="1" applyBorder="1" applyAlignment="1" applyProtection="1">
      <alignment horizontal="left"/>
      <protection locked="0"/>
    </xf>
    <xf numFmtId="0" fontId="13" fillId="3" borderId="0" xfId="34" applyNumberFormat="1" applyFont="1" applyFill="1" applyBorder="1" applyAlignment="1" applyProtection="1">
      <alignment horizontal="center"/>
      <protection locked="0"/>
    </xf>
    <xf numFmtId="49" fontId="13" fillId="12" borderId="6" xfId="33" applyNumberFormat="1" applyFont="1" applyFill="1" applyBorder="1" applyAlignment="1" applyProtection="1">
      <alignment horizontal="center"/>
      <protection locked="0"/>
    </xf>
    <xf numFmtId="49" fontId="13" fillId="12" borderId="0" xfId="33" applyNumberFormat="1" applyFont="1" applyFill="1" applyBorder="1" applyAlignment="1" applyProtection="1">
      <alignment horizontal="left"/>
      <protection locked="0"/>
    </xf>
    <xf numFmtId="49" fontId="35" fillId="12" borderId="0" xfId="33" applyNumberFormat="1" applyFont="1" applyFill="1" applyBorder="1" applyAlignment="1" applyProtection="1">
      <alignment horizontal="left"/>
      <protection locked="0"/>
    </xf>
    <xf numFmtId="49" fontId="13" fillId="12" borderId="0" xfId="33" applyNumberFormat="1" applyFont="1" applyFill="1" applyBorder="1" applyAlignment="1" applyProtection="1">
      <alignment horizontal="center"/>
      <protection locked="0"/>
    </xf>
    <xf numFmtId="49" fontId="13" fillId="12" borderId="0" xfId="3" applyNumberFormat="1" applyFont="1" applyFill="1" applyBorder="1" applyAlignment="1" applyProtection="1">
      <alignment horizontal="left"/>
      <protection locked="0"/>
    </xf>
    <xf numFmtId="49" fontId="35" fillId="12" borderId="0" xfId="3" applyNumberFormat="1" applyFont="1" applyFill="1" applyBorder="1" applyAlignment="1" applyProtection="1">
      <alignment horizontal="left"/>
      <protection locked="0"/>
    </xf>
    <xf numFmtId="49" fontId="13" fillId="12" borderId="0" xfId="3" applyNumberFormat="1" applyFont="1" applyFill="1" applyBorder="1" applyAlignment="1" applyProtection="1">
      <alignment horizontal="center"/>
      <protection locked="0"/>
    </xf>
    <xf numFmtId="1" fontId="13" fillId="24" borderId="0" xfId="8" applyNumberFormat="1" applyFont="1" applyFill="1" applyBorder="1" applyAlignment="1" applyProtection="1">
      <alignment horizontal="center"/>
      <protection locked="0"/>
    </xf>
    <xf numFmtId="49" fontId="13" fillId="13" borderId="6" xfId="33" applyNumberFormat="1" applyFont="1" applyFill="1" applyBorder="1" applyAlignment="1" applyProtection="1">
      <alignment horizontal="center"/>
      <protection locked="0"/>
    </xf>
    <xf numFmtId="49" fontId="13" fillId="13" borderId="0" xfId="33" applyNumberFormat="1" applyFont="1" applyFill="1" applyBorder="1" applyAlignment="1" applyProtection="1">
      <alignment horizontal="left"/>
      <protection locked="0"/>
    </xf>
    <xf numFmtId="49" fontId="35" fillId="13" borderId="0" xfId="33" applyNumberFormat="1" applyFont="1" applyFill="1" applyBorder="1" applyAlignment="1" applyProtection="1">
      <alignment horizontal="left"/>
      <protection locked="0"/>
    </xf>
    <xf numFmtId="49" fontId="13" fillId="13" borderId="0" xfId="33" applyNumberFormat="1" applyFont="1" applyFill="1" applyBorder="1" applyAlignment="1" applyProtection="1">
      <alignment horizontal="center"/>
      <protection locked="0"/>
    </xf>
    <xf numFmtId="1" fontId="13" fillId="13" borderId="0" xfId="6" applyNumberFormat="1" applyFont="1" applyFill="1" applyBorder="1" applyAlignment="1" applyProtection="1">
      <alignment horizontal="center"/>
      <protection locked="0"/>
    </xf>
    <xf numFmtId="49" fontId="13" fillId="13" borderId="0" xfId="31" applyNumberFormat="1" applyFont="1" applyFill="1" applyBorder="1" applyAlignment="1" applyProtection="1">
      <alignment horizontal="left"/>
      <protection locked="0"/>
    </xf>
    <xf numFmtId="49" fontId="35" fillId="13" borderId="0" xfId="31" applyNumberFormat="1" applyFont="1" applyFill="1" applyBorder="1" applyAlignment="1" applyProtection="1">
      <alignment horizontal="left"/>
      <protection locked="0"/>
    </xf>
    <xf numFmtId="49" fontId="13" fillId="14" borderId="6" xfId="33" applyNumberFormat="1" applyFont="1" applyFill="1" applyBorder="1" applyAlignment="1" applyProtection="1">
      <alignment horizontal="center"/>
      <protection locked="0"/>
    </xf>
    <xf numFmtId="0" fontId="13" fillId="14" borderId="0" xfId="6" applyNumberFormat="1" applyFont="1" applyFill="1" applyBorder="1" applyAlignment="1" applyProtection="1">
      <alignment horizontal="center"/>
      <protection locked="0"/>
    </xf>
    <xf numFmtId="49" fontId="35" fillId="14" borderId="0" xfId="31" applyNumberFormat="1" applyFont="1" applyFill="1" applyBorder="1" applyAlignment="1" applyProtection="1">
      <alignment horizontal="left"/>
      <protection locked="0"/>
    </xf>
    <xf numFmtId="49" fontId="13" fillId="14" borderId="0" xfId="35" applyNumberFormat="1" applyFont="1" applyFill="1" applyBorder="1" applyAlignment="1" applyProtection="1">
      <alignment horizontal="left"/>
      <protection locked="0"/>
    </xf>
    <xf numFmtId="49" fontId="35" fillId="14" borderId="0" xfId="35" applyNumberFormat="1" applyFont="1" applyFill="1" applyBorder="1" applyAlignment="1" applyProtection="1">
      <alignment horizontal="left"/>
      <protection locked="0"/>
    </xf>
    <xf numFmtId="3" fontId="13" fillId="14" borderId="0" xfId="3" applyFont="1" applyFill="1" applyBorder="1" applyAlignment="1" applyProtection="1">
      <protection locked="0"/>
    </xf>
    <xf numFmtId="3" fontId="35" fillId="14" borderId="0" xfId="3" applyFont="1" applyFill="1" applyBorder="1" applyAlignment="1" applyProtection="1">
      <protection locked="0"/>
    </xf>
    <xf numFmtId="49" fontId="13" fillId="14" borderId="6" xfId="3" applyNumberFormat="1" applyFont="1" applyFill="1" applyBorder="1" applyAlignment="1" applyProtection="1">
      <alignment horizontal="center"/>
      <protection locked="0"/>
    </xf>
    <xf numFmtId="49" fontId="13" fillId="14" borderId="0" xfId="3" applyNumberFormat="1" applyFont="1" applyFill="1" applyBorder="1" applyAlignment="1" applyProtection="1">
      <alignment horizontal="center"/>
      <protection locked="0"/>
    </xf>
    <xf numFmtId="1" fontId="13" fillId="15" borderId="0" xfId="8" applyNumberFormat="1" applyFont="1" applyFill="1" applyBorder="1" applyAlignment="1" applyProtection="1">
      <alignment horizontal="center"/>
      <protection locked="0"/>
    </xf>
    <xf numFmtId="49" fontId="13" fillId="14" borderId="0" xfId="3" applyNumberFormat="1" applyFont="1" applyFill="1" applyBorder="1" applyAlignment="1" applyProtection="1">
      <alignment horizontal="left"/>
      <protection locked="0"/>
    </xf>
    <xf numFmtId="49" fontId="35" fillId="14" borderId="0" xfId="3" applyNumberFormat="1" applyFont="1" applyFill="1" applyBorder="1" applyAlignment="1" applyProtection="1">
      <alignment horizontal="left"/>
      <protection locked="0"/>
    </xf>
    <xf numFmtId="0" fontId="13" fillId="14" borderId="0" xfId="3" applyNumberFormat="1" applyFont="1" applyFill="1" applyBorder="1" applyAlignment="1" applyProtection="1">
      <alignment horizontal="center"/>
      <protection locked="0"/>
    </xf>
    <xf numFmtId="49" fontId="13" fillId="14" borderId="6" xfId="31" applyNumberFormat="1" applyFont="1" applyFill="1" applyBorder="1" applyAlignment="1" applyProtection="1">
      <alignment horizontal="center"/>
      <protection locked="0"/>
    </xf>
    <xf numFmtId="49" fontId="13" fillId="19" borderId="0" xfId="3" applyNumberFormat="1" applyFont="1" applyFill="1" applyBorder="1" applyAlignment="1" applyProtection="1">
      <alignment horizontal="center"/>
      <protection locked="0"/>
    </xf>
    <xf numFmtId="0" fontId="13" fillId="14" borderId="0" xfId="33" applyNumberFormat="1" applyFont="1" applyFill="1" applyBorder="1" applyAlignment="1" applyProtection="1">
      <alignment horizontal="center"/>
      <protection locked="0"/>
    </xf>
    <xf numFmtId="49" fontId="13" fillId="25" borderId="0" xfId="5" applyNumberFormat="1" applyFont="1" applyFill="1" applyBorder="1" applyAlignment="1" applyProtection="1">
      <alignment horizontal="center"/>
      <protection locked="0"/>
    </xf>
    <xf numFmtId="49" fontId="13" fillId="25" borderId="0" xfId="33" applyNumberFormat="1" applyFont="1" applyFill="1" applyBorder="1" applyAlignment="1" applyProtection="1">
      <alignment horizontal="left"/>
      <protection locked="0"/>
    </xf>
    <xf numFmtId="49" fontId="35" fillId="25" borderId="0" xfId="33" applyNumberFormat="1" applyFont="1" applyFill="1" applyBorder="1" applyAlignment="1" applyProtection="1">
      <alignment horizontal="left"/>
      <protection locked="0"/>
    </xf>
    <xf numFmtId="49" fontId="13" fillId="25" borderId="0" xfId="33" applyNumberFormat="1" applyFont="1" applyFill="1" applyBorder="1" applyAlignment="1" applyProtection="1">
      <alignment horizontal="center"/>
      <protection locked="0"/>
    </xf>
    <xf numFmtId="1" fontId="13" fillId="25" borderId="0" xfId="6" applyNumberFormat="1" applyFont="1" applyFill="1" applyBorder="1" applyAlignment="1" applyProtection="1">
      <alignment horizontal="center"/>
      <protection locked="0"/>
    </xf>
    <xf numFmtId="49" fontId="13" fillId="25" borderId="0" xfId="31" applyNumberFormat="1" applyFont="1" applyFill="1" applyBorder="1" applyAlignment="1" applyProtection="1">
      <alignment horizontal="left"/>
      <protection locked="0"/>
    </xf>
    <xf numFmtId="49" fontId="35" fillId="25" borderId="0" xfId="31" applyNumberFormat="1" applyFont="1" applyFill="1" applyBorder="1" applyAlignment="1" applyProtection="1">
      <alignment horizontal="left"/>
      <protection locked="0"/>
    </xf>
    <xf numFmtId="49" fontId="13" fillId="25" borderId="0" xfId="31" applyNumberFormat="1" applyFont="1" applyFill="1" applyBorder="1" applyAlignment="1" applyProtection="1">
      <alignment horizontal="center"/>
      <protection locked="0"/>
    </xf>
    <xf numFmtId="49" fontId="13" fillId="25" borderId="0" xfId="5" applyNumberFormat="1" applyFont="1" applyFill="1" applyBorder="1" applyAlignment="1" applyProtection="1">
      <alignment horizontal="left"/>
      <protection locked="0"/>
    </xf>
    <xf numFmtId="49" fontId="35" fillId="25" borderId="0" xfId="5" applyNumberFormat="1" applyFont="1" applyFill="1" applyBorder="1" applyAlignment="1" applyProtection="1">
      <alignment horizontal="left"/>
      <protection locked="0"/>
    </xf>
    <xf numFmtId="49" fontId="13" fillId="26" borderId="0" xfId="5" applyNumberFormat="1" applyFont="1" applyFill="1" applyBorder="1" applyAlignment="1" applyProtection="1">
      <alignment horizontal="center"/>
      <protection locked="0"/>
    </xf>
    <xf numFmtId="164" fontId="13" fillId="25" borderId="0" xfId="31" applyNumberFormat="1" applyFont="1" applyFill="1" applyBorder="1" applyProtection="1">
      <protection locked="0"/>
    </xf>
    <xf numFmtId="49" fontId="9" fillId="25" borderId="0" xfId="5" applyNumberFormat="1" applyFont="1" applyFill="1" applyBorder="1" applyAlignment="1" applyProtection="1">
      <alignment horizontal="center"/>
      <protection locked="0"/>
    </xf>
    <xf numFmtId="0" fontId="13" fillId="23" borderId="0" xfId="6" applyNumberFormat="1" applyFont="1" applyFill="1" applyBorder="1" applyAlignment="1" applyProtection="1">
      <alignment horizontal="center"/>
      <protection locked="0"/>
    </xf>
    <xf numFmtId="49" fontId="13" fillId="23" borderId="0" xfId="35" applyNumberFormat="1" applyFont="1" applyFill="1" applyBorder="1" applyAlignment="1" applyProtection="1">
      <alignment horizontal="left"/>
      <protection locked="0"/>
    </xf>
    <xf numFmtId="49" fontId="35" fillId="23" borderId="0" xfId="35" applyNumberFormat="1" applyFont="1" applyFill="1" applyBorder="1" applyAlignment="1" applyProtection="1">
      <alignment horizontal="left"/>
      <protection locked="0"/>
    </xf>
    <xf numFmtId="164" fontId="13" fillId="23" borderId="0" xfId="33" applyNumberFormat="1" applyFont="1" applyFill="1" applyBorder="1" applyProtection="1">
      <protection locked="0"/>
    </xf>
    <xf numFmtId="164" fontId="35" fillId="23" borderId="0" xfId="33" applyNumberFormat="1" applyFont="1" applyFill="1" applyBorder="1" applyProtection="1">
      <protection locked="0"/>
    </xf>
    <xf numFmtId="164" fontId="13" fillId="23" borderId="0" xfId="31" applyNumberFormat="1" applyFont="1" applyFill="1" applyBorder="1" applyProtection="1">
      <protection locked="0"/>
    </xf>
    <xf numFmtId="49" fontId="36" fillId="23" borderId="0" xfId="31" applyNumberFormat="1" applyFont="1" applyFill="1" applyBorder="1" applyAlignment="1" applyProtection="1">
      <alignment horizontal="left"/>
      <protection locked="0"/>
    </xf>
    <xf numFmtId="1" fontId="37" fillId="23" borderId="0" xfId="6" applyNumberFormat="1" applyFont="1" applyFill="1" applyBorder="1" applyAlignment="1" applyProtection="1">
      <alignment horizontal="center"/>
      <protection locked="0"/>
    </xf>
    <xf numFmtId="49" fontId="36" fillId="14" borderId="0" xfId="31" applyNumberFormat="1" applyFont="1" applyFill="1" applyBorder="1" applyAlignment="1" applyProtection="1">
      <alignment horizontal="left"/>
      <protection locked="0"/>
    </xf>
    <xf numFmtId="1" fontId="37" fillId="14" borderId="0" xfId="6" applyNumberFormat="1" applyFont="1" applyFill="1" applyBorder="1" applyAlignment="1" applyProtection="1">
      <alignment horizontal="center"/>
      <protection locked="0"/>
    </xf>
    <xf numFmtId="49" fontId="37" fillId="3" borderId="0" xfId="31" applyNumberFormat="1" applyFont="1" applyFill="1" applyBorder="1" applyAlignment="1" applyProtection="1">
      <alignment horizontal="left"/>
      <protection locked="0"/>
    </xf>
    <xf numFmtId="1" fontId="37" fillId="3" borderId="0" xfId="5" applyNumberFormat="1" applyFont="1" applyFill="1" applyBorder="1" applyAlignment="1" applyProtection="1">
      <alignment horizontal="center"/>
      <protection locked="0"/>
    </xf>
    <xf numFmtId="49" fontId="13" fillId="17" borderId="6" xfId="31" applyNumberFormat="1" applyFont="1" applyFill="1" applyBorder="1" applyAlignment="1" applyProtection="1">
      <alignment horizontal="center"/>
      <protection locked="0"/>
    </xf>
    <xf numFmtId="49" fontId="13" fillId="17" borderId="0" xfId="33" applyNumberFormat="1" applyFont="1" applyFill="1" applyBorder="1" applyAlignment="1" applyProtection="1">
      <alignment horizontal="left"/>
      <protection locked="0"/>
    </xf>
    <xf numFmtId="49" fontId="35" fillId="17" borderId="0" xfId="33" applyNumberFormat="1" applyFont="1" applyFill="1" applyBorder="1" applyAlignment="1" applyProtection="1">
      <alignment horizontal="left"/>
      <protection locked="0"/>
    </xf>
    <xf numFmtId="49" fontId="13" fillId="17" borderId="0" xfId="33" applyNumberFormat="1" applyFont="1" applyFill="1" applyBorder="1" applyAlignment="1" applyProtection="1">
      <alignment horizontal="center"/>
      <protection locked="0"/>
    </xf>
    <xf numFmtId="49" fontId="13" fillId="17" borderId="6" xfId="33" applyNumberFormat="1" applyFont="1" applyFill="1" applyBorder="1" applyAlignment="1" applyProtection="1">
      <alignment horizontal="center"/>
      <protection locked="0"/>
    </xf>
    <xf numFmtId="49" fontId="13" fillId="17" borderId="0" xfId="31" applyNumberFormat="1" applyFont="1" applyFill="1" applyBorder="1" applyAlignment="1" applyProtection="1">
      <alignment horizontal="left"/>
      <protection locked="0"/>
    </xf>
    <xf numFmtId="49" fontId="35" fillId="17" borderId="0" xfId="31" applyNumberFormat="1" applyFont="1" applyFill="1" applyBorder="1" applyAlignment="1" applyProtection="1">
      <alignment horizontal="left"/>
      <protection locked="0"/>
    </xf>
    <xf numFmtId="49" fontId="13" fillId="17" borderId="6" xfId="3" applyNumberFormat="1" applyFont="1" applyFill="1" applyBorder="1" applyAlignment="1" applyProtection="1">
      <alignment horizontal="center"/>
      <protection locked="0"/>
    </xf>
    <xf numFmtId="49" fontId="36" fillId="13" borderId="0" xfId="31" applyNumberFormat="1" applyFont="1" applyFill="1" applyBorder="1" applyAlignment="1" applyProtection="1">
      <alignment horizontal="left"/>
      <protection locked="0"/>
    </xf>
    <xf numFmtId="49" fontId="13" fillId="13" borderId="6" xfId="3" applyNumberFormat="1" applyFont="1" applyFill="1" applyBorder="1" applyAlignment="1" applyProtection="1">
      <alignment horizontal="center"/>
      <protection locked="0"/>
    </xf>
    <xf numFmtId="164" fontId="13" fillId="13" borderId="0" xfId="31" applyNumberFormat="1" applyFont="1" applyFill="1" applyBorder="1" applyProtection="1">
      <protection locked="0"/>
    </xf>
    <xf numFmtId="1" fontId="13" fillId="13" borderId="0" xfId="32" applyNumberFormat="1" applyFont="1" applyFill="1" applyBorder="1" applyAlignment="1" applyProtection="1">
      <alignment horizontal="center"/>
      <protection locked="0"/>
    </xf>
    <xf numFmtId="1" fontId="13" fillId="13" borderId="0" xfId="36" applyNumberFormat="1" applyFont="1" applyFill="1" applyBorder="1" applyAlignment="1" applyProtection="1">
      <alignment horizontal="center"/>
      <protection locked="0"/>
    </xf>
    <xf numFmtId="49" fontId="43" fillId="13" borderId="0" xfId="31" applyNumberFormat="1" applyFont="1" applyFill="1" applyBorder="1" applyAlignment="1" applyProtection="1">
      <alignment horizontal="left"/>
      <protection locked="0"/>
    </xf>
    <xf numFmtId="1" fontId="44" fillId="13" borderId="0" xfId="6" applyNumberFormat="1" applyFont="1" applyFill="1" applyBorder="1" applyAlignment="1" applyProtection="1">
      <alignment horizontal="center"/>
      <protection locked="0"/>
    </xf>
    <xf numFmtId="1" fontId="13" fillId="13" borderId="0" xfId="3" applyNumberFormat="1" applyFont="1" applyFill="1" applyBorder="1" applyAlignment="1" applyProtection="1">
      <alignment horizontal="center"/>
      <protection locked="0"/>
    </xf>
    <xf numFmtId="1" fontId="13" fillId="27" borderId="0" xfId="37" applyNumberFormat="1" applyFont="1" applyFill="1" applyBorder="1" applyAlignment="1" applyProtection="1">
      <alignment horizontal="center"/>
      <protection locked="0"/>
    </xf>
    <xf numFmtId="164" fontId="35" fillId="13" borderId="0" xfId="31" applyFont="1" applyFill="1" applyBorder="1" applyProtection="1">
      <protection locked="0"/>
    </xf>
    <xf numFmtId="1" fontId="13" fillId="13" borderId="0" xfId="31" applyNumberFormat="1" applyFont="1" applyFill="1" applyBorder="1" applyAlignment="1" applyProtection="1">
      <alignment horizontal="center"/>
      <protection locked="0"/>
    </xf>
    <xf numFmtId="49" fontId="13" fillId="25" borderId="0" xfId="3" applyNumberFormat="1" applyFont="1" applyFill="1" applyBorder="1" applyAlignment="1" applyProtection="1">
      <alignment horizontal="center"/>
      <protection locked="0"/>
    </xf>
    <xf numFmtId="49" fontId="35" fillId="25" borderId="0" xfId="31" applyNumberFormat="1" applyFont="1" applyFill="1" applyBorder="1" applyAlignment="1" applyProtection="1">
      <alignment horizontal="left"/>
      <protection locked="0"/>
    </xf>
    <xf numFmtId="49" fontId="35" fillId="25" borderId="0" xfId="31" applyNumberFormat="1" applyFont="1" applyFill="1" applyBorder="1" applyAlignment="1" applyProtection="1">
      <alignment horizontal="left"/>
      <protection locked="0"/>
    </xf>
    <xf numFmtId="49" fontId="35" fillId="25" borderId="0" xfId="31" applyNumberFormat="1" applyFont="1" applyFill="1" applyBorder="1" applyAlignment="1" applyProtection="1">
      <alignment horizontal="left"/>
      <protection locked="0"/>
    </xf>
    <xf numFmtId="49" fontId="35" fillId="25" borderId="0" xfId="31" applyNumberFormat="1" applyFont="1" applyFill="1" applyBorder="1" applyAlignment="1" applyProtection="1">
      <alignment horizontal="left"/>
      <protection locked="0"/>
    </xf>
    <xf numFmtId="49" fontId="35" fillId="25" borderId="0" xfId="31" applyNumberFormat="1" applyFont="1" applyFill="1" applyBorder="1" applyAlignment="1" applyProtection="1">
      <alignment horizontal="left"/>
      <protection locked="0"/>
    </xf>
    <xf numFmtId="1" fontId="13" fillId="25" borderId="0" xfId="32" applyNumberFormat="1" applyFont="1" applyFill="1" applyBorder="1" applyAlignment="1" applyProtection="1">
      <alignment horizontal="center"/>
      <protection locked="0"/>
    </xf>
    <xf numFmtId="49" fontId="35" fillId="25" borderId="0" xfId="136" applyNumberFormat="1" applyFont="1" applyFill="1" applyBorder="1" applyAlignment="1" applyProtection="1">
      <alignment horizontal="left"/>
      <protection locked="0"/>
    </xf>
    <xf numFmtId="1" fontId="13" fillId="25" borderId="0" xfId="137" applyNumberFormat="1" applyFont="1" applyFill="1" applyBorder="1" applyAlignment="1" applyProtection="1">
      <alignment horizontal="center"/>
      <protection locked="0"/>
    </xf>
    <xf numFmtId="1" fontId="13" fillId="25" borderId="0" xfId="32" applyNumberFormat="1" applyFont="1" applyFill="1" applyBorder="1" applyAlignment="1" applyProtection="1">
      <alignment horizontal="center"/>
      <protection locked="0"/>
    </xf>
    <xf numFmtId="164" fontId="43" fillId="25" borderId="0" xfId="31" applyFont="1" applyFill="1" applyBorder="1" applyProtection="1">
      <protection locked="0"/>
    </xf>
    <xf numFmtId="1" fontId="44" fillId="25" borderId="0" xfId="137" applyNumberFormat="1" applyFont="1" applyFill="1" applyBorder="1" applyAlignment="1" applyProtection="1">
      <alignment horizontal="center"/>
      <protection locked="0"/>
    </xf>
    <xf numFmtId="49" fontId="13" fillId="25" borderId="0" xfId="6" applyNumberFormat="1" applyFont="1" applyFill="1" applyBorder="1" applyAlignment="1" applyProtection="1">
      <alignment horizontal="left"/>
      <protection locked="0"/>
    </xf>
    <xf numFmtId="49" fontId="13" fillId="25" borderId="0" xfId="3" applyNumberFormat="1" applyFont="1" applyFill="1" applyBorder="1" applyAlignment="1" applyProtection="1">
      <alignment horizontal="center"/>
      <protection locked="0"/>
    </xf>
    <xf numFmtId="3" fontId="13" fillId="25" borderId="0" xfId="3" applyFont="1" applyFill="1" applyBorder="1" applyAlignment="1" applyProtection="1">
      <protection locked="0"/>
    </xf>
    <xf numFmtId="3" fontId="13" fillId="9" borderId="12" xfId="81" applyNumberFormat="1" applyFont="1" applyFill="1" applyBorder="1" applyAlignment="1" applyProtection="1">
      <alignment horizontal="right"/>
      <protection locked="0"/>
    </xf>
    <xf numFmtId="3" fontId="13" fillId="9" borderId="23" xfId="81" applyNumberFormat="1" applyFont="1" applyFill="1" applyBorder="1" applyAlignment="1" applyProtection="1">
      <alignment horizontal="right"/>
      <protection locked="0"/>
    </xf>
    <xf numFmtId="3" fontId="33" fillId="10" borderId="23" xfId="5" applyNumberFormat="1" applyFont="1" applyFill="1" applyBorder="1" applyAlignment="1" applyProtection="1">
      <alignment horizontal="right"/>
    </xf>
    <xf numFmtId="3" fontId="33" fillId="10" borderId="6" xfId="5" applyNumberFormat="1" applyFont="1" applyFill="1" applyBorder="1" applyAlignment="1" applyProtection="1">
      <alignment horizontal="right"/>
    </xf>
    <xf numFmtId="3" fontId="32" fillId="7" borderId="23" xfId="5" applyNumberFormat="1" applyFont="1" applyFill="1" applyBorder="1" applyAlignment="1" applyProtection="1">
      <alignment horizontal="right"/>
    </xf>
    <xf numFmtId="3" fontId="32" fillId="7" borderId="6" xfId="5" applyNumberFormat="1" applyFont="1" applyFill="1" applyBorder="1" applyAlignment="1" applyProtection="1">
      <alignment horizontal="right"/>
    </xf>
    <xf numFmtId="49" fontId="13" fillId="25" borderId="0" xfId="5" applyNumberFormat="1" applyFont="1" applyFill="1" applyBorder="1" applyAlignment="1" applyProtection="1">
      <alignment horizontal="center"/>
      <protection locked="0"/>
    </xf>
    <xf numFmtId="49" fontId="13" fillId="25" borderId="0" xfId="5" applyNumberFormat="1" applyFont="1" applyFill="1" applyBorder="1" applyAlignment="1" applyProtection="1">
      <alignment horizontal="left"/>
      <protection locked="0"/>
    </xf>
    <xf numFmtId="3" fontId="13" fillId="9" borderId="6" xfId="5" applyNumberFormat="1" applyFont="1" applyFill="1" applyBorder="1" applyAlignment="1" applyProtection="1">
      <alignment horizontal="right"/>
      <protection locked="0"/>
    </xf>
    <xf numFmtId="49" fontId="13" fillId="25" borderId="0" xfId="6" applyNumberFormat="1" applyFont="1" applyFill="1" applyBorder="1" applyAlignment="1" applyProtection="1">
      <alignment horizontal="center"/>
      <protection locked="0"/>
    </xf>
    <xf numFmtId="3" fontId="11" fillId="0" borderId="6" xfId="81" applyNumberFormat="1" applyFont="1" applyFill="1" applyBorder="1" applyAlignment="1" applyProtection="1">
      <alignment horizontal="right"/>
      <protection locked="0"/>
    </xf>
    <xf numFmtId="3" fontId="11" fillId="0" borderId="23" xfId="81" applyNumberFormat="1" applyFont="1" applyFill="1" applyBorder="1" applyAlignment="1" applyProtection="1">
      <alignment horizontal="right"/>
      <protection locked="0"/>
    </xf>
    <xf numFmtId="49" fontId="35" fillId="25" borderId="0" xfId="5" applyNumberFormat="1" applyFont="1" applyFill="1" applyBorder="1" applyAlignment="1" applyProtection="1">
      <alignment horizontal="left"/>
      <protection locked="0"/>
    </xf>
    <xf numFmtId="3" fontId="11" fillId="0" borderId="6" xfId="81" applyNumberFormat="1" applyFont="1" applyFill="1" applyBorder="1" applyAlignment="1" applyProtection="1">
      <alignment vertical="top"/>
      <protection locked="0"/>
    </xf>
    <xf numFmtId="49" fontId="13" fillId="26" borderId="0" xfId="5" applyNumberFormat="1" applyFont="1" applyFill="1" applyBorder="1" applyAlignment="1" applyProtection="1">
      <alignment horizontal="center"/>
      <protection locked="0"/>
    </xf>
    <xf numFmtId="3" fontId="11" fillId="0" borderId="6" xfId="161" applyNumberFormat="1" applyFont="1" applyFill="1" applyBorder="1" applyAlignment="1" applyProtection="1">
      <alignment horizontal="right"/>
      <protection locked="0"/>
    </xf>
    <xf numFmtId="38" fontId="11" fillId="0" borderId="6" xfId="161" applyNumberFormat="1" applyFont="1" applyFill="1" applyBorder="1" applyAlignment="1" applyProtection="1">
      <protection locked="0"/>
    </xf>
    <xf numFmtId="49" fontId="35" fillId="12" borderId="0" xfId="31" applyNumberFormat="1" applyFont="1" applyFill="1" applyBorder="1" applyAlignment="1" applyProtection="1">
      <alignment horizontal="left"/>
      <protection locked="0"/>
    </xf>
    <xf numFmtId="49" fontId="43" fillId="12" borderId="0" xfId="31" applyNumberFormat="1" applyFont="1" applyFill="1" applyBorder="1" applyAlignment="1" applyProtection="1">
      <alignment horizontal="left"/>
      <protection locked="0"/>
    </xf>
    <xf numFmtId="1" fontId="13" fillId="12" borderId="0" xfId="137" applyNumberFormat="1" applyFont="1" applyFill="1" applyBorder="1" applyAlignment="1" applyProtection="1">
      <alignment horizontal="center"/>
      <protection locked="0"/>
    </xf>
    <xf numFmtId="1" fontId="44" fillId="12" borderId="0" xfId="137" applyNumberFormat="1" applyFont="1" applyFill="1" applyBorder="1" applyAlignment="1" applyProtection="1">
      <alignment horizontal="center"/>
      <protection locked="0"/>
    </xf>
    <xf numFmtId="49" fontId="11" fillId="8" borderId="6" xfId="2" applyNumberFormat="1" applyFont="1" applyFill="1" applyBorder="1" applyAlignment="1" applyProtection="1">
      <alignment horizontal="left"/>
      <protection locked="0"/>
    </xf>
    <xf numFmtId="49" fontId="11" fillId="8" borderId="0" xfId="2" applyNumberFormat="1" applyFont="1" applyFill="1" applyBorder="1" applyAlignment="1" applyProtection="1">
      <alignment horizontal="left"/>
      <protection locked="0"/>
    </xf>
    <xf numFmtId="49" fontId="12" fillId="7" borderId="6" xfId="2" applyNumberFormat="1" applyFont="1" applyFill="1" applyBorder="1" applyAlignment="1" applyProtection="1">
      <alignment horizontal="left"/>
      <protection locked="0"/>
    </xf>
    <xf numFmtId="49" fontId="12" fillId="7" borderId="0" xfId="2" applyNumberFormat="1" applyFont="1" applyFill="1" applyBorder="1" applyAlignment="1" applyProtection="1">
      <alignment horizontal="left"/>
      <protection locked="0"/>
    </xf>
    <xf numFmtId="49" fontId="35" fillId="20" borderId="0" xfId="31" applyNumberFormat="1" applyFont="1" applyFill="1" applyBorder="1" applyAlignment="1" applyProtection="1">
      <alignment horizontal="left"/>
      <protection locked="0"/>
    </xf>
    <xf numFmtId="3" fontId="35" fillId="20" borderId="0" xfId="3" applyFont="1" applyFill="1" applyBorder="1" applyAlignment="1" applyProtection="1">
      <protection locked="0"/>
    </xf>
    <xf numFmtId="49" fontId="35" fillId="20" borderId="0" xfId="3" applyNumberFormat="1" applyFont="1" applyFill="1" applyBorder="1" applyAlignment="1" applyProtection="1">
      <alignment horizontal="left"/>
      <protection locked="0"/>
    </xf>
    <xf numFmtId="49" fontId="35" fillId="21" borderId="0" xfId="31" applyNumberFormat="1" applyFont="1" applyFill="1" applyBorder="1" applyAlignment="1" applyProtection="1">
      <alignment horizontal="left"/>
      <protection locked="0"/>
    </xf>
    <xf numFmtId="1" fontId="13" fillId="20" borderId="0" xfId="32" applyNumberFormat="1" applyFont="1" applyFill="1" applyBorder="1" applyAlignment="1" applyProtection="1">
      <alignment horizontal="center"/>
      <protection locked="0"/>
    </xf>
    <xf numFmtId="1" fontId="13" fillId="20" borderId="0" xfId="36" applyNumberFormat="1" applyFont="1" applyFill="1" applyBorder="1" applyAlignment="1" applyProtection="1">
      <alignment horizontal="center"/>
      <protection locked="0"/>
    </xf>
    <xf numFmtId="49" fontId="35" fillId="20" borderId="0" xfId="136" applyNumberFormat="1" applyFont="1" applyFill="1" applyBorder="1" applyAlignment="1" applyProtection="1">
      <alignment horizontal="left"/>
      <protection locked="0"/>
    </xf>
    <xf numFmtId="49" fontId="43" fillId="21" borderId="0" xfId="31" applyNumberFormat="1" applyFont="1" applyFill="1" applyBorder="1" applyAlignment="1" applyProtection="1">
      <alignment horizontal="left"/>
      <protection locked="0"/>
    </xf>
    <xf numFmtId="1" fontId="13" fillId="20" borderId="0" xfId="137" applyNumberFormat="1" applyFont="1" applyFill="1" applyBorder="1" applyAlignment="1" applyProtection="1">
      <alignment horizontal="center"/>
      <protection locked="0"/>
    </xf>
    <xf numFmtId="1" fontId="44" fillId="20" borderId="0" xfId="137" applyNumberFormat="1" applyFont="1" applyFill="1" applyBorder="1" applyAlignment="1" applyProtection="1">
      <alignment horizontal="center"/>
      <protection locked="0"/>
    </xf>
    <xf numFmtId="3" fontId="11" fillId="0" borderId="0" xfId="2" applyNumberFormat="1" applyFont="1" applyFill="1" applyBorder="1" applyAlignment="1" applyProtection="1">
      <alignment vertical="top"/>
      <protection locked="0"/>
    </xf>
    <xf numFmtId="166" fontId="13" fillId="0" borderId="40" xfId="0" applyNumberFormat="1" applyFont="1" applyBorder="1"/>
    <xf numFmtId="166" fontId="13" fillId="0" borderId="42" xfId="0" applyNumberFormat="1" applyFont="1" applyBorder="1"/>
    <xf numFmtId="166" fontId="13" fillId="0" borderId="43" xfId="0" applyNumberFormat="1" applyFont="1" applyBorder="1"/>
    <xf numFmtId="166" fontId="11" fillId="0" borderId="15" xfId="0" applyNumberFormat="1" applyFont="1" applyBorder="1"/>
    <xf numFmtId="166" fontId="11" fillId="0" borderId="16" xfId="0" applyNumberFormat="1" applyFont="1" applyBorder="1"/>
    <xf numFmtId="166" fontId="13" fillId="0" borderId="16" xfId="0" applyNumberFormat="1" applyFont="1" applyBorder="1"/>
    <xf numFmtId="166" fontId="13" fillId="0" borderId="2" xfId="0" applyNumberFormat="1" applyFont="1" applyBorder="1"/>
    <xf numFmtId="166" fontId="11" fillId="0" borderId="17" xfId="0" applyNumberFormat="1" applyFont="1" applyBorder="1"/>
    <xf numFmtId="166" fontId="11" fillId="0" borderId="18" xfId="0" applyNumberFormat="1" applyFont="1" applyBorder="1"/>
    <xf numFmtId="166" fontId="13" fillId="0" borderId="15" xfId="0" applyNumberFormat="1" applyFont="1" applyBorder="1"/>
    <xf numFmtId="166" fontId="13" fillId="0" borderId="17" xfId="0" applyNumberFormat="1" applyFont="1" applyBorder="1"/>
    <xf numFmtId="166" fontId="13" fillId="0" borderId="41" xfId="0" applyNumberFormat="1" applyFont="1" applyBorder="1"/>
    <xf numFmtId="166" fontId="13" fillId="0" borderId="14" xfId="0" applyNumberFormat="1" applyFont="1" applyBorder="1"/>
    <xf numFmtId="166" fontId="13" fillId="0" borderId="0" xfId="0" applyNumberFormat="1" applyFont="1"/>
    <xf numFmtId="166" fontId="13" fillId="0" borderId="25" xfId="0" applyNumberFormat="1" applyFont="1" applyBorder="1"/>
    <xf numFmtId="166" fontId="13" fillId="0" borderId="19" xfId="0" applyNumberFormat="1" applyFont="1" applyBorder="1"/>
    <xf numFmtId="166" fontId="13" fillId="0" borderId="3" xfId="0" applyNumberFormat="1" applyFont="1" applyBorder="1"/>
    <xf numFmtId="164" fontId="11" fillId="28" borderId="4" xfId="0" applyNumberFormat="1" applyFont="1" applyFill="1" applyBorder="1"/>
    <xf numFmtId="164" fontId="11" fillId="28" borderId="27" xfId="0" applyNumberFormat="1" applyFont="1" applyFill="1" applyBorder="1"/>
    <xf numFmtId="164" fontId="13" fillId="0" borderId="44" xfId="0" applyFont="1" applyFill="1" applyBorder="1"/>
    <xf numFmtId="166" fontId="13" fillId="4" borderId="29" xfId="5" applyNumberFormat="1" applyFont="1" applyFill="1" applyBorder="1" applyAlignment="1" applyProtection="1">
      <alignment horizontal="center" wrapText="1"/>
    </xf>
    <xf numFmtId="0" fontId="11" fillId="0" borderId="0" xfId="5" applyNumberFormat="1" applyFont="1" applyFill="1" applyBorder="1" applyAlignment="1" applyProtection="1">
      <protection locked="0"/>
    </xf>
    <xf numFmtId="0" fontId="12" fillId="0" borderId="28" xfId="5" applyNumberFormat="1" applyFont="1" applyFill="1" applyBorder="1" applyAlignment="1" applyProtection="1">
      <alignment horizontal="centerContinuous"/>
      <protection locked="0"/>
    </xf>
    <xf numFmtId="0" fontId="12" fillId="0" borderId="4" xfId="5" applyNumberFormat="1" applyFont="1" applyFill="1" applyBorder="1" applyAlignment="1" applyProtection="1">
      <alignment horizontal="centerContinuous"/>
      <protection locked="0"/>
    </xf>
    <xf numFmtId="0" fontId="12" fillId="0" borderId="30" xfId="5" applyNumberFormat="1" applyFont="1" applyFill="1" applyBorder="1" applyAlignment="1" applyProtection="1">
      <alignment horizontal="centerContinuous"/>
      <protection locked="0"/>
    </xf>
    <xf numFmtId="166" fontId="10" fillId="0" borderId="4" xfId="5" applyNumberFormat="1" applyFont="1" applyFill="1" applyBorder="1" applyAlignment="1" applyProtection="1">
      <alignment horizontal="left"/>
      <protection locked="0"/>
    </xf>
    <xf numFmtId="0" fontId="12" fillId="0" borderId="9" xfId="5" applyNumberFormat="1" applyFont="1" applyFill="1" applyBorder="1" applyAlignment="1" applyProtection="1">
      <alignment horizontal="center"/>
      <protection locked="0"/>
    </xf>
    <xf numFmtId="0" fontId="12" fillId="0" borderId="46" xfId="5" applyNumberFormat="1" applyFont="1" applyFill="1" applyBorder="1" applyAlignment="1" applyProtection="1">
      <alignment horizontal="center"/>
      <protection locked="0"/>
    </xf>
    <xf numFmtId="0" fontId="12" fillId="0" borderId="45" xfId="5" applyNumberFormat="1" applyFont="1" applyFill="1" applyBorder="1" applyAlignment="1" applyProtection="1">
      <alignment horizontal="center"/>
      <protection locked="0"/>
    </xf>
    <xf numFmtId="49" fontId="48" fillId="11" borderId="0" xfId="6" applyNumberFormat="1" applyFont="1" applyFill="1" applyBorder="1" applyAlignment="1" applyProtection="1">
      <alignment horizontal="left"/>
      <protection locked="0"/>
    </xf>
    <xf numFmtId="166" fontId="10" fillId="0" borderId="47" xfId="5" applyNumberFormat="1" applyFont="1" applyFill="1" applyBorder="1" applyAlignment="1" applyProtection="1">
      <alignment horizontal="left"/>
      <protection locked="0"/>
    </xf>
    <xf numFmtId="0" fontId="13" fillId="25" borderId="0" xfId="137" applyNumberFormat="1" applyFont="1" applyFill="1" applyBorder="1" applyAlignment="1" applyProtection="1">
      <alignment horizontal="center"/>
      <protection locked="0"/>
    </xf>
    <xf numFmtId="164" fontId="37" fillId="0" borderId="0" xfId="0" applyNumberFormat="1" applyFont="1" applyFill="1" applyBorder="1"/>
    <xf numFmtId="166" fontId="13" fillId="0" borderId="39" xfId="0" applyNumberFormat="1" applyFont="1" applyBorder="1"/>
    <xf numFmtId="164" fontId="51" fillId="0" borderId="0" xfId="0" applyNumberFormat="1" applyFont="1" applyFill="1" applyBorder="1"/>
    <xf numFmtId="166" fontId="52" fillId="0" borderId="0" xfId="1" applyNumberFormat="1" applyFont="1" applyFill="1" applyBorder="1"/>
    <xf numFmtId="3" fontId="37" fillId="0" borderId="6" xfId="2" quotePrefix="1" applyNumberFormat="1" applyFont="1" applyFill="1" applyBorder="1" applyAlignment="1" applyProtection="1">
      <alignment horizontal="left"/>
      <protection locked="0"/>
    </xf>
    <xf numFmtId="3" fontId="37" fillId="0" borderId="6" xfId="2" applyNumberFormat="1" applyFont="1" applyFill="1" applyBorder="1" applyAlignment="1" applyProtection="1">
      <alignment horizontal="left"/>
      <protection locked="0"/>
    </xf>
    <xf numFmtId="3" fontId="37" fillId="0" borderId="0" xfId="0" applyNumberFormat="1" applyFont="1" applyFill="1" applyBorder="1"/>
    <xf numFmtId="164" fontId="13" fillId="0" borderId="48" xfId="0" applyFont="1" applyFill="1" applyBorder="1"/>
    <xf numFmtId="0" fontId="11" fillId="0" borderId="4" xfId="5" applyNumberFormat="1" applyFont="1" applyFill="1" applyBorder="1" applyAlignment="1" applyProtection="1">
      <protection locked="0"/>
    </xf>
    <xf numFmtId="0" fontId="12" fillId="0" borderId="29" xfId="5" applyNumberFormat="1" applyFont="1" applyFill="1" applyBorder="1" applyAlignment="1" applyProtection="1">
      <alignment horizontal="centerContinuous"/>
      <protection locked="0"/>
    </xf>
    <xf numFmtId="166" fontId="11" fillId="9" borderId="49" xfId="5" applyNumberFormat="1" applyFont="1" applyFill="1" applyBorder="1" applyAlignment="1" applyProtection="1">
      <alignment horizontal="center"/>
      <protection locked="0"/>
    </xf>
    <xf numFmtId="166" fontId="11" fillId="9" borderId="50" xfId="5" applyNumberFormat="1" applyFont="1" applyFill="1" applyBorder="1" applyAlignment="1" applyProtection="1">
      <alignment horizontal="center"/>
      <protection locked="0"/>
    </xf>
    <xf numFmtId="166" fontId="11" fillId="9" borderId="51" xfId="5" applyNumberFormat="1" applyFont="1" applyFill="1" applyBorder="1" applyAlignment="1" applyProtection="1">
      <alignment horizontal="center"/>
      <protection locked="0"/>
    </xf>
    <xf numFmtId="3" fontId="13" fillId="9" borderId="29" xfId="5" applyNumberFormat="1" applyFont="1" applyFill="1" applyBorder="1" applyAlignment="1" applyProtection="1">
      <alignment horizontal="right"/>
      <protection locked="0"/>
    </xf>
    <xf numFmtId="0" fontId="11" fillId="0" borderId="52" xfId="5" applyNumberFormat="1" applyFont="1" applyFill="1" applyBorder="1" applyAlignment="1" applyProtection="1">
      <protection locked="0"/>
    </xf>
    <xf numFmtId="0" fontId="11" fillId="0" borderId="53" xfId="5" applyNumberFormat="1" applyFont="1" applyFill="1" applyBorder="1" applyAlignment="1" applyProtection="1">
      <protection locked="0"/>
    </xf>
    <xf numFmtId="0" fontId="11" fillId="0" borderId="54" xfId="5" applyNumberFormat="1" applyFont="1" applyFill="1" applyBorder="1" applyAlignment="1" applyProtection="1">
      <protection locked="0"/>
    </xf>
    <xf numFmtId="164" fontId="10" fillId="0" borderId="0" xfId="0" applyFont="1" applyFill="1" applyAlignment="1" applyProtection="1">
      <alignment horizontal="centerContinuous"/>
    </xf>
    <xf numFmtId="164" fontId="12" fillId="0" borderId="0" xfId="0" applyFont="1" applyFill="1" applyAlignment="1" applyProtection="1">
      <alignment horizontal="centerContinuous"/>
    </xf>
    <xf numFmtId="37" fontId="13" fillId="0" borderId="0" xfId="0" applyNumberFormat="1" applyFont="1" applyFill="1" applyAlignment="1" applyProtection="1">
      <alignment horizontal="centerContinuous"/>
    </xf>
    <xf numFmtId="164" fontId="13" fillId="0" borderId="2" xfId="0" applyFont="1" applyFill="1" applyBorder="1" applyAlignment="1" applyProtection="1">
      <alignment horizontal="left"/>
    </xf>
    <xf numFmtId="37" fontId="14" fillId="0" borderId="25" xfId="0" applyNumberFormat="1" applyFont="1" applyFill="1" applyBorder="1" applyAlignment="1" applyProtection="1">
      <alignment horizontal="centerContinuous"/>
    </xf>
    <xf numFmtId="164" fontId="28" fillId="0" borderId="0" xfId="0" applyFont="1" applyFill="1"/>
    <xf numFmtId="164" fontId="13" fillId="0" borderId="0" xfId="0" applyFont="1" applyFill="1" applyAlignment="1">
      <alignment horizontal="left"/>
    </xf>
    <xf numFmtId="164" fontId="13" fillId="0" borderId="1" xfId="0" applyFont="1" applyFill="1" applyBorder="1" applyAlignment="1" applyProtection="1">
      <alignment horizontal="left"/>
    </xf>
    <xf numFmtId="164" fontId="14" fillId="0" borderId="1" xfId="0" applyFont="1" applyFill="1" applyBorder="1" applyAlignment="1" applyProtection="1">
      <alignment horizontal="center"/>
    </xf>
    <xf numFmtId="164" fontId="14" fillId="0" borderId="26" xfId="0" applyFont="1" applyFill="1" applyBorder="1" applyAlignment="1" applyProtection="1">
      <alignment horizontal="center"/>
    </xf>
    <xf numFmtId="37" fontId="13" fillId="0" borderId="0" xfId="0" applyNumberFormat="1" applyFont="1" applyFill="1" applyAlignment="1" applyProtection="1">
      <alignment horizontal="left" vertical="center"/>
    </xf>
    <xf numFmtId="167" fontId="13" fillId="0" borderId="14" xfId="0" applyNumberFormat="1" applyFont="1" applyFill="1" applyBorder="1" applyAlignment="1" applyProtection="1">
      <alignment horizontal="right" vertical="center"/>
    </xf>
    <xf numFmtId="164" fontId="0" fillId="0" borderId="0" xfId="0" applyFill="1" applyAlignment="1">
      <alignment vertical="center"/>
    </xf>
    <xf numFmtId="168" fontId="28" fillId="0" borderId="0" xfId="4" applyNumberFormat="1" applyFont="1" applyFill="1" applyAlignment="1">
      <alignment vertical="center"/>
    </xf>
    <xf numFmtId="164" fontId="13" fillId="0" borderId="0" xfId="0" applyFont="1" applyFill="1" applyAlignment="1">
      <alignment vertical="center"/>
    </xf>
    <xf numFmtId="166" fontId="13" fillId="0" borderId="0" xfId="1" applyNumberFormat="1" applyFont="1" applyFill="1" applyAlignment="1">
      <alignment vertical="center"/>
    </xf>
    <xf numFmtId="37" fontId="13" fillId="0" borderId="0" xfId="0" applyNumberFormat="1" applyFont="1" applyFill="1" applyAlignment="1" applyProtection="1">
      <alignment horizontal="left"/>
    </xf>
    <xf numFmtId="164" fontId="0" fillId="0" borderId="14" xfId="0" applyFill="1" applyBorder="1"/>
    <xf numFmtId="168" fontId="28" fillId="0" borderId="0" xfId="4" applyNumberFormat="1" applyFont="1" applyFill="1"/>
    <xf numFmtId="3" fontId="13" fillId="0" borderId="0" xfId="0" applyNumberFormat="1" applyFont="1" applyFill="1" applyBorder="1" applyAlignment="1" applyProtection="1">
      <alignment horizontal="right"/>
    </xf>
    <xf numFmtId="3" fontId="13" fillId="0" borderId="14" xfId="0" applyNumberFormat="1" applyFont="1" applyFill="1" applyBorder="1" applyAlignment="1" applyProtection="1">
      <alignment horizontal="right"/>
    </xf>
    <xf numFmtId="37" fontId="13" fillId="0" borderId="4" xfId="0" applyNumberFormat="1" applyFont="1" applyFill="1" applyBorder="1" applyAlignment="1" applyProtection="1">
      <alignment horizontal="left"/>
    </xf>
    <xf numFmtId="3" fontId="13" fillId="0" borderId="4" xfId="0" applyNumberFormat="1" applyFont="1" applyFill="1" applyBorder="1" applyAlignment="1" applyProtection="1">
      <alignment horizontal="right"/>
    </xf>
    <xf numFmtId="3" fontId="13" fillId="0" borderId="27" xfId="0" applyNumberFormat="1" applyFont="1" applyFill="1" applyBorder="1" applyAlignment="1" applyProtection="1">
      <alignment horizontal="right"/>
    </xf>
    <xf numFmtId="37" fontId="14" fillId="0" borderId="3" xfId="0" applyNumberFormat="1" applyFont="1" applyFill="1" applyBorder="1" applyAlignment="1" applyProtection="1">
      <alignment horizontal="centerContinuous" vertical="center" wrapText="1"/>
    </xf>
    <xf numFmtId="164" fontId="14" fillId="0" borderId="3" xfId="0" applyFont="1" applyFill="1" applyBorder="1" applyAlignment="1" applyProtection="1">
      <alignment horizontal="centerContinuous" vertical="center" wrapText="1"/>
    </xf>
    <xf numFmtId="164" fontId="14" fillId="0" borderId="1" xfId="0" applyFont="1" applyFill="1" applyBorder="1" applyAlignment="1" applyProtection="1">
      <alignment horizontal="right"/>
    </xf>
    <xf numFmtId="164" fontId="14" fillId="0" borderId="26" xfId="0" applyFont="1" applyFill="1" applyBorder="1" applyAlignment="1" applyProtection="1">
      <alignment horizontal="right"/>
    </xf>
    <xf numFmtId="164" fontId="14" fillId="0" borderId="0" xfId="0" applyFont="1" applyFill="1" applyBorder="1" applyAlignment="1" applyProtection="1">
      <alignment horizontal="right"/>
    </xf>
    <xf numFmtId="167" fontId="13" fillId="0" borderId="37" xfId="0" applyNumberFormat="1" applyFont="1" applyFill="1" applyBorder="1" applyAlignment="1" applyProtection="1">
      <alignment horizontal="right" vertical="center"/>
    </xf>
    <xf numFmtId="5" fontId="13" fillId="0" borderId="0" xfId="0" applyNumberFormat="1" applyFont="1" applyFill="1" applyAlignment="1" applyProtection="1">
      <alignment horizontal="left"/>
    </xf>
    <xf numFmtId="3" fontId="13" fillId="0" borderId="0" xfId="1" applyNumberFormat="1" applyFont="1" applyFill="1"/>
    <xf numFmtId="3" fontId="13" fillId="0" borderId="14" xfId="1" applyNumberFormat="1" applyFont="1" applyFill="1" applyBorder="1"/>
    <xf numFmtId="3" fontId="13" fillId="0" borderId="4" xfId="1" applyNumberFormat="1" applyFont="1" applyFill="1" applyBorder="1" applyAlignment="1" applyProtection="1">
      <alignment horizontal="right"/>
    </xf>
    <xf numFmtId="3" fontId="13" fillId="0" borderId="4" xfId="1" applyNumberFormat="1" applyFont="1" applyFill="1" applyBorder="1"/>
    <xf numFmtId="3" fontId="13" fillId="0" borderId="27" xfId="1" applyNumberFormat="1" applyFont="1" applyFill="1" applyBorder="1"/>
    <xf numFmtId="164" fontId="9" fillId="0" borderId="0" xfId="0" applyFont="1" applyFill="1" applyBorder="1" applyAlignment="1" applyProtection="1">
      <alignment horizontal="left" wrapText="1"/>
    </xf>
    <xf numFmtId="164" fontId="13" fillId="0" borderId="2" xfId="0" applyFont="1" applyFill="1" applyBorder="1" applyAlignment="1" applyProtection="1">
      <alignment horizontal="left" vertical="center"/>
    </xf>
    <xf numFmtId="37" fontId="14" fillId="0" borderId="3" xfId="0" applyNumberFormat="1" applyFont="1" applyFill="1" applyBorder="1" applyAlignment="1" applyProtection="1">
      <alignment horizontal="centerContinuous" wrapText="1"/>
    </xf>
    <xf numFmtId="164" fontId="14" fillId="0" borderId="3" xfId="0" applyFont="1" applyFill="1" applyBorder="1" applyAlignment="1" applyProtection="1">
      <alignment horizontal="centerContinuous" wrapText="1"/>
    </xf>
    <xf numFmtId="37" fontId="14" fillId="0" borderId="25" xfId="0" applyNumberFormat="1" applyFont="1" applyFill="1" applyBorder="1" applyAlignment="1" applyProtection="1">
      <alignment horizontal="centerContinuous" wrapText="1"/>
    </xf>
    <xf numFmtId="37" fontId="14" fillId="0" borderId="0" xfId="0" applyNumberFormat="1" applyFont="1" applyFill="1" applyBorder="1" applyAlignment="1" applyProtection="1">
      <alignment horizontal="centerContinuous" vertical="center"/>
    </xf>
    <xf numFmtId="3" fontId="13" fillId="0" borderId="27" xfId="0" applyNumberFormat="1" applyFont="1" applyFill="1" applyBorder="1"/>
    <xf numFmtId="164" fontId="0" fillId="0" borderId="0" xfId="0" applyFill="1" applyAlignment="1">
      <alignment wrapText="1"/>
    </xf>
    <xf numFmtId="164" fontId="13" fillId="0" borderId="0" xfId="0" applyFont="1" applyFill="1" applyAlignment="1" applyProtection="1"/>
    <xf numFmtId="37" fontId="14" fillId="0" borderId="2" xfId="0" applyNumberFormat="1" applyFont="1" applyFill="1" applyBorder="1" applyAlignment="1" applyProtection="1">
      <alignment horizontal="centerContinuous"/>
    </xf>
    <xf numFmtId="37" fontId="14" fillId="0" borderId="2" xfId="0" applyNumberFormat="1" applyFont="1" applyFill="1" applyBorder="1" applyAlignment="1" applyProtection="1">
      <alignment horizontal="centerContinuous" wrapText="1"/>
    </xf>
    <xf numFmtId="164" fontId="14" fillId="0" borderId="2" xfId="0" applyFont="1" applyFill="1" applyBorder="1" applyAlignment="1" applyProtection="1">
      <alignment horizontal="centerContinuous" wrapText="1"/>
    </xf>
    <xf numFmtId="37" fontId="13" fillId="0" borderId="0" xfId="0" applyNumberFormat="1" applyFont="1" applyFill="1" applyBorder="1" applyAlignment="1" applyProtection="1">
      <alignment horizontal="right"/>
    </xf>
    <xf numFmtId="37" fontId="13" fillId="0" borderId="4" xfId="0" applyNumberFormat="1" applyFont="1" applyFill="1" applyBorder="1" applyAlignment="1" applyProtection="1">
      <alignment horizontal="right"/>
    </xf>
    <xf numFmtId="167" fontId="13" fillId="0" borderId="0" xfId="0" applyNumberFormat="1" applyFont="1" applyFill="1" applyBorder="1" applyAlignment="1" applyProtection="1">
      <alignment horizontal="right"/>
    </xf>
    <xf numFmtId="164" fontId="29" fillId="0" borderId="0" xfId="0" applyFont="1" applyFill="1"/>
    <xf numFmtId="167" fontId="13" fillId="0" borderId="4" xfId="0" applyNumberFormat="1" applyFont="1" applyFill="1" applyBorder="1" applyAlignment="1" applyProtection="1">
      <alignment horizontal="right" vertical="center"/>
    </xf>
    <xf numFmtId="164" fontId="13" fillId="0" borderId="1" xfId="0" applyFont="1" applyFill="1" applyBorder="1" applyAlignment="1" applyProtection="1">
      <alignment horizontal="centerContinuous"/>
    </xf>
    <xf numFmtId="164" fontId="21" fillId="0" borderId="0" xfId="0" applyFont="1" applyFill="1"/>
    <xf numFmtId="164" fontId="9" fillId="0" borderId="0" xfId="0" applyFont="1" applyFill="1" applyBorder="1" applyAlignment="1" applyProtection="1">
      <alignment horizontal="left" vertical="top" wrapText="1"/>
    </xf>
    <xf numFmtId="3" fontId="13" fillId="0" borderId="6" xfId="0" applyNumberFormat="1" applyFont="1" applyFill="1" applyBorder="1"/>
    <xf numFmtId="165" fontId="11" fillId="0" borderId="0" xfId="0" applyNumberFormat="1" applyFont="1" applyFill="1" applyAlignment="1" applyProtection="1">
      <alignment horizontal="centerContinuous"/>
    </xf>
    <xf numFmtId="164" fontId="14" fillId="0" borderId="2" xfId="0" applyFont="1" applyFill="1" applyBorder="1" applyAlignment="1" applyProtection="1">
      <alignment horizontal="left" vertical="center"/>
    </xf>
    <xf numFmtId="164" fontId="14" fillId="0" borderId="1" xfId="0" applyFont="1" applyFill="1" applyBorder="1" applyAlignment="1" applyProtection="1">
      <alignment horizontal="left" vertical="center"/>
    </xf>
    <xf numFmtId="37" fontId="11" fillId="0" borderId="0" xfId="0" applyNumberFormat="1" applyFont="1" applyFill="1" applyAlignment="1" applyProtection="1">
      <alignment horizontal="right"/>
    </xf>
    <xf numFmtId="37" fontId="11" fillId="0" borderId="4" xfId="0" applyNumberFormat="1" applyFont="1" applyFill="1" applyBorder="1" applyAlignment="1" applyProtection="1">
      <alignment horizontal="right"/>
    </xf>
    <xf numFmtId="49" fontId="43" fillId="25" borderId="0" xfId="6" applyNumberFormat="1" applyFont="1" applyFill="1" applyBorder="1" applyAlignment="1" applyProtection="1">
      <alignment horizontal="left"/>
      <protection locked="0"/>
    </xf>
    <xf numFmtId="49" fontId="35" fillId="25" borderId="0" xfId="137" applyNumberFormat="1" applyFont="1" applyFill="1" applyBorder="1" applyAlignment="1" applyProtection="1">
      <alignment horizontal="left"/>
      <protection locked="0"/>
    </xf>
    <xf numFmtId="49" fontId="35" fillId="25" borderId="0" xfId="6" applyNumberFormat="1" applyFont="1" applyFill="1" applyBorder="1" applyAlignment="1" applyProtection="1">
      <alignment horizontal="left"/>
      <protection locked="0"/>
    </xf>
    <xf numFmtId="3" fontId="35" fillId="25" borderId="0" xfId="3" applyFont="1" applyFill="1" applyBorder="1" applyAlignment="1" applyProtection="1">
      <protection locked="0"/>
    </xf>
    <xf numFmtId="1" fontId="44" fillId="25" borderId="0" xfId="137" applyNumberFormat="1" applyFont="1" applyFill="1" applyBorder="1" applyAlignment="1" applyProtection="1">
      <alignment horizontal="center"/>
      <protection locked="0"/>
    </xf>
    <xf numFmtId="1" fontId="13" fillId="25" borderId="0" xfId="137" applyNumberFormat="1" applyFont="1" applyFill="1" applyBorder="1" applyAlignment="1" applyProtection="1">
      <alignment horizontal="center"/>
      <protection locked="0"/>
    </xf>
    <xf numFmtId="1" fontId="13" fillId="25" borderId="0" xfId="6" applyNumberFormat="1" applyFont="1" applyFill="1" applyBorder="1" applyAlignment="1" applyProtection="1">
      <alignment horizontal="center"/>
      <protection locked="0"/>
    </xf>
    <xf numFmtId="49" fontId="11" fillId="8" borderId="0" xfId="2" applyNumberFormat="1" applyFont="1" applyFill="1" applyBorder="1" applyAlignment="1" applyProtection="1">
      <alignment horizontal="left"/>
      <protection locked="0"/>
    </xf>
    <xf numFmtId="49" fontId="13" fillId="12" borderId="55" xfId="6" applyNumberFormat="1" applyFont="1" applyFill="1" applyBorder="1" applyAlignment="1" applyProtection="1">
      <alignment horizontal="center"/>
      <protection locked="0"/>
    </xf>
    <xf numFmtId="49" fontId="13" fillId="12" borderId="56" xfId="6" applyNumberFormat="1" applyFont="1" applyFill="1" applyBorder="1" applyAlignment="1" applyProtection="1">
      <alignment horizontal="left"/>
      <protection locked="0"/>
    </xf>
    <xf numFmtId="49" fontId="35" fillId="12" borderId="56" xfId="6" applyNumberFormat="1" applyFont="1" applyFill="1" applyBorder="1" applyAlignment="1" applyProtection="1">
      <alignment horizontal="left"/>
      <protection locked="0"/>
    </xf>
    <xf numFmtId="49" fontId="13" fillId="12" borderId="56" xfId="6" applyNumberFormat="1" applyFont="1" applyFill="1" applyBorder="1" applyAlignment="1" applyProtection="1">
      <alignment horizontal="center"/>
      <protection locked="0"/>
    </xf>
    <xf numFmtId="1" fontId="13" fillId="12" borderId="56" xfId="6" applyNumberFormat="1" applyFont="1" applyFill="1" applyBorder="1" applyAlignment="1" applyProtection="1">
      <alignment horizontal="center"/>
      <protection locked="0"/>
    </xf>
    <xf numFmtId="166" fontId="13" fillId="0" borderId="56" xfId="5" applyNumberFormat="1" applyFont="1" applyFill="1" applyBorder="1" applyProtection="1">
      <protection locked="0"/>
    </xf>
    <xf numFmtId="49" fontId="13" fillId="12" borderId="28" xfId="6" applyNumberFormat="1" applyFont="1" applyFill="1" applyBorder="1" applyAlignment="1" applyProtection="1">
      <alignment horizontal="center"/>
      <protection locked="0"/>
    </xf>
    <xf numFmtId="166" fontId="10" fillId="0" borderId="9" xfId="5" applyNumberFormat="1" applyFont="1" applyFill="1" applyBorder="1" applyAlignment="1" applyProtection="1">
      <alignment horizontal="left"/>
      <protection locked="0"/>
    </xf>
    <xf numFmtId="0" fontId="12" fillId="0" borderId="0" xfId="5" applyNumberFormat="1" applyFont="1" applyFill="1" applyBorder="1" applyAlignment="1" applyProtection="1">
      <alignment horizontal="centerContinuous"/>
      <protection locked="0"/>
    </xf>
    <xf numFmtId="166" fontId="11" fillId="9" borderId="11" xfId="5" applyNumberFormat="1" applyFont="1" applyFill="1" applyBorder="1" applyAlignment="1" applyProtection="1">
      <alignment horizontal="center"/>
      <protection locked="0"/>
    </xf>
    <xf numFmtId="166" fontId="11" fillId="9" borderId="12" xfId="5" applyNumberFormat="1" applyFont="1" applyFill="1" applyBorder="1" applyAlignment="1" applyProtection="1">
      <alignment horizontal="center"/>
      <protection locked="0"/>
    </xf>
    <xf numFmtId="166" fontId="11" fillId="9" borderId="13" xfId="5" applyNumberFormat="1" applyFont="1" applyFill="1" applyBorder="1" applyAlignment="1" applyProtection="1">
      <alignment horizontal="center"/>
      <protection locked="0"/>
    </xf>
    <xf numFmtId="0" fontId="12" fillId="0" borderId="8" xfId="5" applyNumberFormat="1" applyFont="1" applyFill="1" applyBorder="1" applyAlignment="1" applyProtection="1">
      <alignment horizontal="centerContinuous"/>
      <protection locked="0"/>
    </xf>
    <xf numFmtId="166" fontId="13" fillId="4" borderId="6" xfId="5" applyNumberFormat="1" applyFont="1" applyFill="1" applyBorder="1" applyAlignment="1" applyProtection="1">
      <alignment horizontal="center" wrapText="1"/>
    </xf>
    <xf numFmtId="166" fontId="13" fillId="4" borderId="8" xfId="5" applyNumberFormat="1" applyFont="1" applyFill="1" applyBorder="1" applyAlignment="1" applyProtection="1">
      <alignment horizontal="center" wrapText="1"/>
    </xf>
    <xf numFmtId="3" fontId="13" fillId="21" borderId="0" xfId="3" applyFont="1" applyFill="1" applyBorder="1" applyAlignment="1" applyProtection="1">
      <alignment horizontal="center"/>
      <protection locked="0"/>
    </xf>
    <xf numFmtId="1" fontId="37" fillId="21" borderId="0" xfId="6" applyNumberFormat="1" applyFont="1" applyFill="1" applyBorder="1" applyAlignment="1" applyProtection="1">
      <alignment horizontal="center"/>
      <protection locked="0"/>
    </xf>
    <xf numFmtId="37" fontId="13" fillId="9" borderId="12" xfId="1" applyNumberFormat="1" applyFont="1" applyFill="1" applyBorder="1" applyAlignment="1" applyProtection="1">
      <alignment horizontal="right"/>
      <protection locked="0"/>
    </xf>
    <xf numFmtId="37" fontId="13" fillId="9" borderId="23" xfId="1" applyNumberFormat="1" applyFont="1" applyFill="1" applyBorder="1" applyAlignment="1" applyProtection="1">
      <alignment horizontal="right"/>
      <protection locked="0"/>
    </xf>
    <xf numFmtId="37" fontId="33" fillId="10" borderId="23" xfId="1" applyNumberFormat="1" applyFont="1" applyFill="1" applyBorder="1" applyAlignment="1" applyProtection="1">
      <alignment horizontal="right"/>
    </xf>
    <xf numFmtId="37" fontId="11" fillId="0" borderId="23" xfId="1" applyNumberFormat="1" applyFont="1" applyFill="1" applyBorder="1" applyAlignment="1" applyProtection="1">
      <alignment horizontal="right"/>
      <protection locked="0"/>
    </xf>
    <xf numFmtId="37" fontId="32" fillId="7" borderId="6" xfId="1" applyNumberFormat="1" applyFont="1" applyFill="1" applyBorder="1" applyAlignment="1" applyProtection="1">
      <alignment horizontal="right"/>
    </xf>
    <xf numFmtId="37" fontId="13" fillId="9" borderId="6" xfId="1" applyNumberFormat="1" applyFont="1" applyFill="1" applyBorder="1" applyAlignment="1" applyProtection="1">
      <alignment horizontal="right"/>
      <protection locked="0"/>
    </xf>
    <xf numFmtId="37" fontId="33" fillId="10" borderId="6" xfId="1" applyNumberFormat="1" applyFont="1" applyFill="1" applyBorder="1" applyAlignment="1" applyProtection="1">
      <alignment horizontal="right"/>
    </xf>
    <xf numFmtId="37" fontId="11" fillId="0" borderId="6" xfId="1" applyNumberFormat="1" applyFont="1" applyFill="1" applyBorder="1" applyAlignment="1" applyProtection="1">
      <alignment horizontal="right"/>
      <protection locked="0"/>
    </xf>
    <xf numFmtId="37" fontId="11" fillId="0" borderId="6" xfId="1" applyNumberFormat="1" applyFont="1" applyFill="1" applyBorder="1" applyAlignment="1" applyProtection="1">
      <alignment vertical="top"/>
      <protection locked="0"/>
    </xf>
    <xf numFmtId="37" fontId="32" fillId="7" borderId="34" xfId="1" applyNumberFormat="1" applyFont="1" applyFill="1" applyBorder="1" applyAlignment="1" applyProtection="1">
      <alignment horizontal="right"/>
    </xf>
    <xf numFmtId="37" fontId="32" fillId="7" borderId="23" xfId="1" applyNumberFormat="1" applyFont="1" applyFill="1" applyBorder="1" applyAlignment="1" applyProtection="1">
      <alignment horizontal="right"/>
    </xf>
    <xf numFmtId="37" fontId="11" fillId="19" borderId="23" xfId="1" applyNumberFormat="1" applyFont="1" applyFill="1" applyBorder="1" applyAlignment="1" applyProtection="1">
      <alignment horizontal="right"/>
      <protection locked="0"/>
    </xf>
    <xf numFmtId="37" fontId="11" fillId="19" borderId="6" xfId="1" applyNumberFormat="1" applyFont="1" applyFill="1" applyBorder="1" applyAlignment="1" applyProtection="1">
      <alignment vertical="top"/>
      <protection locked="0"/>
    </xf>
    <xf numFmtId="37" fontId="11" fillId="19" borderId="6" xfId="1" applyNumberFormat="1" applyFont="1" applyFill="1" applyBorder="1" applyAlignment="1" applyProtection="1">
      <alignment horizontal="right"/>
      <protection locked="0"/>
    </xf>
    <xf numFmtId="37" fontId="44" fillId="19" borderId="6" xfId="1" applyNumberFormat="1" applyFont="1" applyFill="1" applyBorder="1" applyAlignment="1" applyProtection="1">
      <alignment horizontal="right"/>
      <protection locked="0"/>
    </xf>
    <xf numFmtId="37" fontId="37" fillId="29" borderId="6" xfId="1" quotePrefix="1" applyNumberFormat="1" applyFont="1" applyFill="1" applyBorder="1" applyAlignment="1" applyProtection="1">
      <alignment horizontal="right"/>
      <protection locked="0"/>
    </xf>
    <xf numFmtId="37" fontId="37" fillId="29" borderId="6" xfId="1" applyNumberFormat="1" applyFont="1" applyFill="1" applyBorder="1" applyAlignment="1" applyProtection="1">
      <alignment horizontal="right"/>
      <protection locked="0"/>
    </xf>
    <xf numFmtId="37" fontId="0" fillId="0" borderId="0" xfId="1" applyNumberFormat="1" applyFont="1" applyBorder="1" applyProtection="1">
      <protection locked="0"/>
    </xf>
    <xf numFmtId="37" fontId="13" fillId="19" borderId="6" xfId="1" applyNumberFormat="1" applyFont="1" applyFill="1" applyBorder="1" applyAlignment="1" applyProtection="1">
      <alignment horizontal="right"/>
      <protection locked="0"/>
    </xf>
    <xf numFmtId="37" fontId="13" fillId="19" borderId="12" xfId="1" applyNumberFormat="1" applyFont="1" applyFill="1" applyBorder="1" applyAlignment="1" applyProtection="1">
      <alignment horizontal="right"/>
      <protection locked="0"/>
    </xf>
    <xf numFmtId="37" fontId="13" fillId="19" borderId="23" xfId="1" applyNumberFormat="1" applyFont="1" applyFill="1" applyBorder="1" applyAlignment="1" applyProtection="1">
      <alignment horizontal="right"/>
      <protection locked="0"/>
    </xf>
    <xf numFmtId="37" fontId="11" fillId="0" borderId="6" xfId="1" applyNumberFormat="1" applyFont="1" applyFill="1" applyBorder="1" applyAlignment="1" applyProtection="1">
      <alignment horizontal="center"/>
      <protection locked="0"/>
    </xf>
    <xf numFmtId="3" fontId="11" fillId="19" borderId="23" xfId="81" applyNumberFormat="1" applyFont="1" applyFill="1" applyBorder="1" applyAlignment="1" applyProtection="1">
      <alignment horizontal="right"/>
      <protection locked="0"/>
    </xf>
    <xf numFmtId="3" fontId="13" fillId="19" borderId="6" xfId="5" applyNumberFormat="1" applyFont="1" applyFill="1" applyBorder="1" applyAlignment="1" applyProtection="1">
      <alignment horizontal="right"/>
      <protection locked="0"/>
    </xf>
    <xf numFmtId="3" fontId="11" fillId="19" borderId="6" xfId="81" applyNumberFormat="1" applyFont="1" applyFill="1" applyBorder="1" applyAlignment="1" applyProtection="1">
      <alignment horizontal="right"/>
      <protection locked="0"/>
    </xf>
    <xf numFmtId="164" fontId="13" fillId="0" borderId="0" xfId="0" applyNumberFormat="1" applyFont="1" applyFill="1" applyAlignment="1" applyProtection="1">
      <alignment horizontal="centerContinuous" vertical="center"/>
    </xf>
    <xf numFmtId="164" fontId="0" fillId="0" borderId="0" xfId="0" applyNumberFormat="1" applyFont="1" applyFill="1" applyAlignment="1">
      <alignment horizontal="centerContinuous" vertical="center"/>
    </xf>
    <xf numFmtId="164" fontId="13" fillId="0" borderId="0" xfId="0" applyNumberFormat="1" applyFont="1" applyFill="1" applyAlignment="1">
      <alignment horizontal="centerContinuous" vertical="center"/>
    </xf>
    <xf numFmtId="164" fontId="10" fillId="0" borderId="0" xfId="0" applyNumberFormat="1" applyFont="1" applyFill="1" applyAlignment="1" applyProtection="1">
      <alignment horizontal="centerContinuous" vertical="center"/>
    </xf>
    <xf numFmtId="164" fontId="22" fillId="0" borderId="0" xfId="0" applyFont="1" applyFill="1" applyBorder="1" applyAlignment="1">
      <alignment horizontal="centerContinuous"/>
    </xf>
    <xf numFmtId="164" fontId="22" fillId="0" borderId="0" xfId="0" applyFont="1" applyFill="1" applyAlignment="1">
      <alignment horizontal="centerContinuous"/>
    </xf>
    <xf numFmtId="164" fontId="9" fillId="0" borderId="5" xfId="0" applyFont="1" applyBorder="1" applyAlignment="1" applyProtection="1">
      <alignment vertical="top" wrapText="1"/>
    </xf>
    <xf numFmtId="164" fontId="9" fillId="0" borderId="5" xfId="0" applyFont="1" applyBorder="1" applyAlignment="1">
      <alignment vertical="top" wrapText="1"/>
    </xf>
    <xf numFmtId="164" fontId="12" fillId="0" borderId="0" xfId="0" applyFont="1" applyAlignment="1" applyProtection="1">
      <alignment horizontal="center"/>
    </xf>
    <xf numFmtId="164" fontId="12" fillId="0" borderId="0" xfId="0" applyFont="1" applyFill="1" applyAlignment="1" applyProtection="1">
      <alignment horizontal="center"/>
    </xf>
    <xf numFmtId="164" fontId="9" fillId="0" borderId="5" xfId="0" applyFont="1" applyFill="1" applyBorder="1" applyAlignment="1" applyProtection="1">
      <alignment wrapText="1"/>
    </xf>
    <xf numFmtId="164" fontId="9" fillId="0" borderId="5" xfId="0" applyFont="1" applyFill="1" applyBorder="1" applyAlignment="1">
      <alignment wrapText="1"/>
    </xf>
    <xf numFmtId="164" fontId="9" fillId="0" borderId="0" xfId="0" applyFont="1" applyFill="1" applyAlignment="1" applyProtection="1">
      <alignment vertical="top" wrapText="1"/>
    </xf>
    <xf numFmtId="164" fontId="21" fillId="0" borderId="0" xfId="0" applyFont="1" applyFill="1" applyAlignment="1">
      <alignment vertical="top" wrapText="1"/>
    </xf>
    <xf numFmtId="164" fontId="9" fillId="0" borderId="0" xfId="0" applyFont="1" applyFill="1" applyAlignment="1" applyProtection="1">
      <alignment horizontal="left" vertical="top" wrapText="1"/>
    </xf>
    <xf numFmtId="164" fontId="10" fillId="0" borderId="0" xfId="0" applyFont="1" applyFill="1" applyAlignment="1" applyProtection="1">
      <alignment horizontal="center"/>
    </xf>
    <xf numFmtId="164" fontId="9" fillId="0" borderId="0" xfId="0" applyFont="1" applyFill="1" applyAlignment="1" applyProtection="1">
      <alignment wrapText="1"/>
    </xf>
    <xf numFmtId="164" fontId="0" fillId="0" borderId="0" xfId="0" applyFill="1" applyAlignment="1">
      <alignment vertical="top" wrapText="1"/>
    </xf>
    <xf numFmtId="164" fontId="9" fillId="0" borderId="5" xfId="0" applyFont="1" applyFill="1" applyBorder="1" applyAlignment="1" applyProtection="1">
      <alignment vertical="top" wrapText="1"/>
    </xf>
    <xf numFmtId="164" fontId="21" fillId="0" borderId="5" xfId="0" applyFont="1" applyFill="1" applyBorder="1" applyAlignment="1">
      <alignment vertical="top" wrapText="1"/>
    </xf>
    <xf numFmtId="164" fontId="0" fillId="0" borderId="5" xfId="0" applyFill="1" applyBorder="1" applyAlignment="1">
      <alignment vertical="top"/>
    </xf>
    <xf numFmtId="164" fontId="9" fillId="0" borderId="0" xfId="0" applyFont="1" applyFill="1" applyBorder="1" applyAlignment="1" applyProtection="1">
      <alignment horizontal="left" vertical="top" wrapText="1"/>
    </xf>
    <xf numFmtId="164" fontId="21" fillId="0" borderId="0" xfId="0" applyFont="1" applyFill="1" applyAlignment="1">
      <alignment wrapText="1"/>
    </xf>
    <xf numFmtId="164" fontId="9" fillId="0" borderId="0" xfId="0" applyFont="1" applyFill="1" applyAlignment="1" applyProtection="1">
      <alignment horizontal="left" wrapText="1"/>
    </xf>
    <xf numFmtId="164" fontId="0" fillId="0" borderId="0" xfId="0" applyFill="1" applyAlignment="1">
      <alignment wrapText="1"/>
    </xf>
    <xf numFmtId="164" fontId="0" fillId="0" borderId="0" xfId="0" applyFill="1" applyAlignment="1">
      <alignment horizontal="left" vertical="top" wrapText="1"/>
    </xf>
    <xf numFmtId="164" fontId="21" fillId="0" borderId="5" xfId="0" applyFont="1" applyFill="1" applyBorder="1" applyAlignment="1">
      <alignment wrapText="1"/>
    </xf>
    <xf numFmtId="164" fontId="0" fillId="0" borderId="5" xfId="0" applyFill="1" applyBorder="1" applyAlignment="1"/>
    <xf numFmtId="49" fontId="11" fillId="8" borderId="6" xfId="2" applyNumberFormat="1" applyFont="1" applyFill="1" applyBorder="1" applyAlignment="1" applyProtection="1">
      <alignment horizontal="left"/>
      <protection locked="0"/>
    </xf>
    <xf numFmtId="49" fontId="11" fillId="8" borderId="0" xfId="2" applyNumberFormat="1" applyFont="1" applyFill="1" applyBorder="1" applyAlignment="1" applyProtection="1">
      <alignment horizontal="left"/>
      <protection locked="0"/>
    </xf>
  </cellXfs>
  <cellStyles count="559">
    <cellStyle name="Comma" xfId="1" builtinId="3"/>
    <cellStyle name="Comma 2" xfId="5"/>
    <cellStyle name="Comma 2 2" xfId="135"/>
    <cellStyle name="Comma 2 3" xfId="112"/>
    <cellStyle name="Comma 3" xfId="28"/>
    <cellStyle name="Comma 3 2" xfId="7"/>
    <cellStyle name="Comma 4" xfId="91"/>
    <cellStyle name="Comma 5" xfId="102"/>
    <cellStyle name="Comma 5 10" xfId="230"/>
    <cellStyle name="Comma 5 2" xfId="103"/>
    <cellStyle name="Comma 5 2 2" xfId="148"/>
    <cellStyle name="Comma 5 2 2 2" xfId="181"/>
    <cellStyle name="Comma 5 2 2 2 2" xfId="534"/>
    <cellStyle name="Comma 5 2 2 2 3" xfId="427"/>
    <cellStyle name="Comma 5 2 2 2 4" xfId="325"/>
    <cellStyle name="Comma 5 2 2 3" xfId="211"/>
    <cellStyle name="Comma 5 2 2 3 2" xfId="472"/>
    <cellStyle name="Comma 5 2 2 3 3" xfId="370"/>
    <cellStyle name="Comma 5 2 2 4" xfId="291"/>
    <cellStyle name="Comma 5 2 2 4 2" xfId="505"/>
    <cellStyle name="Comma 5 2 2 5" xfId="397"/>
    <cellStyle name="Comma 5 2 2 6" xfId="260"/>
    <cellStyle name="Comma 5 2 3" xfId="158"/>
    <cellStyle name="Comma 5 2 3 2" xfId="189"/>
    <cellStyle name="Comma 5 2 3 2 2" xfId="542"/>
    <cellStyle name="Comma 5 2 3 2 3" xfId="435"/>
    <cellStyle name="Comma 5 2 3 2 4" xfId="333"/>
    <cellStyle name="Comma 5 2 3 3" xfId="219"/>
    <cellStyle name="Comma 5 2 3 3 2" xfId="480"/>
    <cellStyle name="Comma 5 2 3 3 3" xfId="378"/>
    <cellStyle name="Comma 5 2 3 4" xfId="297"/>
    <cellStyle name="Comma 5 2 3 4 2" xfId="511"/>
    <cellStyle name="Comma 5 2 3 5" xfId="403"/>
    <cellStyle name="Comma 5 2 3 6" xfId="268"/>
    <cellStyle name="Comma 5 2 4" xfId="169"/>
    <cellStyle name="Comma 5 2 4 2" xfId="357"/>
    <cellStyle name="Comma 5 2 4 2 2" xfId="459"/>
    <cellStyle name="Comma 5 2 4 3" xfId="312"/>
    <cellStyle name="Comma 5 2 4 3 2" xfId="523"/>
    <cellStyle name="Comma 5 2 4 4" xfId="415"/>
    <cellStyle name="Comma 5 2 4 5" xfId="244"/>
    <cellStyle name="Comma 5 2 5" xfId="199"/>
    <cellStyle name="Comma 5 2 5 2" xfId="442"/>
    <cellStyle name="Comma 5 2 5 3" xfId="340"/>
    <cellStyle name="Comma 5 2 6" xfId="278"/>
    <cellStyle name="Comma 5 2 6 2" xfId="492"/>
    <cellStyle name="Comma 5 2 7" xfId="548"/>
    <cellStyle name="Comma 5 2 8" xfId="384"/>
    <cellStyle name="Comma 5 2 9" xfId="231"/>
    <cellStyle name="Comma 5 3" xfId="147"/>
    <cellStyle name="Comma 5 3 2" xfId="180"/>
    <cellStyle name="Comma 5 3 2 2" xfId="533"/>
    <cellStyle name="Comma 5 3 2 3" xfId="426"/>
    <cellStyle name="Comma 5 3 2 4" xfId="324"/>
    <cellStyle name="Comma 5 3 3" xfId="210"/>
    <cellStyle name="Comma 5 3 3 2" xfId="471"/>
    <cellStyle name="Comma 5 3 3 3" xfId="369"/>
    <cellStyle name="Comma 5 3 4" xfId="290"/>
    <cellStyle name="Comma 5 3 4 2" xfId="504"/>
    <cellStyle name="Comma 5 3 5" xfId="396"/>
    <cellStyle name="Comma 5 3 6" xfId="259"/>
    <cellStyle name="Comma 5 4" xfId="157"/>
    <cellStyle name="Comma 5 4 2" xfId="188"/>
    <cellStyle name="Comma 5 4 2 2" xfId="541"/>
    <cellStyle name="Comma 5 4 2 3" xfId="434"/>
    <cellStyle name="Comma 5 4 2 4" xfId="332"/>
    <cellStyle name="Comma 5 4 3" xfId="218"/>
    <cellStyle name="Comma 5 4 3 2" xfId="479"/>
    <cellStyle name="Comma 5 4 3 3" xfId="377"/>
    <cellStyle name="Comma 5 4 4" xfId="296"/>
    <cellStyle name="Comma 5 4 4 2" xfId="510"/>
    <cellStyle name="Comma 5 4 5" xfId="402"/>
    <cellStyle name="Comma 5 4 6" xfId="267"/>
    <cellStyle name="Comma 5 5" xfId="168"/>
    <cellStyle name="Comma 5 5 2" xfId="356"/>
    <cellStyle name="Comma 5 5 2 2" xfId="458"/>
    <cellStyle name="Comma 5 5 3" xfId="311"/>
    <cellStyle name="Comma 5 5 3 2" xfId="522"/>
    <cellStyle name="Comma 5 5 4" xfId="414"/>
    <cellStyle name="Comma 5 5 5" xfId="243"/>
    <cellStyle name="Comma 5 6" xfId="198"/>
    <cellStyle name="Comma 5 6 2" xfId="441"/>
    <cellStyle name="Comma 5 6 3" xfId="339"/>
    <cellStyle name="Comma 5 7" xfId="277"/>
    <cellStyle name="Comma 5 7 2" xfId="491"/>
    <cellStyle name="Comma 5 8" xfId="547"/>
    <cellStyle name="Comma 5 9" xfId="383"/>
    <cellStyle name="Comma 6" xfId="114"/>
    <cellStyle name="Comma 6 2" xfId="173"/>
    <cellStyle name="Comma 6 2 2" xfId="316"/>
    <cellStyle name="Comma 6 2 2 2" xfId="526"/>
    <cellStyle name="Comma 6 2 3" xfId="483"/>
    <cellStyle name="Comma 6 2 4" xfId="419"/>
    <cellStyle name="Comma 6 2 5" xfId="248"/>
    <cellStyle name="Comma 6 3" xfId="203"/>
    <cellStyle name="Comma 6 3 2" xfId="463"/>
    <cellStyle name="Comma 6 3 3" xfId="361"/>
    <cellStyle name="Comma 6 4" xfId="294"/>
    <cellStyle name="Comma 6 4 2" xfId="508"/>
    <cellStyle name="Comma 6 5" xfId="400"/>
    <cellStyle name="Comma 6 6" xfId="223"/>
    <cellStyle name="Comma 7" xfId="119"/>
    <cellStyle name="Currency 2" xfId="161"/>
    <cellStyle name="Normal" xfId="0" builtinId="0"/>
    <cellStyle name="Normal 10" xfId="85"/>
    <cellStyle name="Normal 10 2" xfId="153"/>
    <cellStyle name="Normal 10 2 2" xfId="184"/>
    <cellStyle name="Normal 10 2 2 2" xfId="373"/>
    <cellStyle name="Normal 10 2 2 2 2" xfId="475"/>
    <cellStyle name="Normal 10 2 2 3" xfId="328"/>
    <cellStyle name="Normal 10 2 2 3 2" xfId="537"/>
    <cellStyle name="Normal 10 2 2 4" xfId="430"/>
    <cellStyle name="Normal 10 2 2 5" xfId="263"/>
    <cellStyle name="Normal 10 2 3" xfId="214"/>
    <cellStyle name="Normal 10 2 3 2" xfId="449"/>
    <cellStyle name="Normal 10 2 3 3" xfId="347"/>
    <cellStyle name="Normal 10 2 4" xfId="287"/>
    <cellStyle name="Normal 10 2 4 2" xfId="501"/>
    <cellStyle name="Normal 10 2 5" xfId="393"/>
    <cellStyle name="Normal 10 2 6" xfId="234"/>
    <cellStyle name="Normal 10 3" xfId="133"/>
    <cellStyle name="Normal 10 3 2" xfId="253"/>
    <cellStyle name="Normal 10 3 2 2" xfId="320"/>
    <cellStyle name="Normal 10 3 2 3" xfId="485"/>
    <cellStyle name="Normal 10 3 3" xfId="283"/>
    <cellStyle name="Normal 10 3 3 2" xfId="497"/>
    <cellStyle name="Normal 10 3 4" xfId="389"/>
    <cellStyle name="Normal 10 4" xfId="165"/>
    <cellStyle name="Normal 10 4 2" xfId="353"/>
    <cellStyle name="Normal 10 4 2 2" xfId="455"/>
    <cellStyle name="Normal 10 4 3" xfId="308"/>
    <cellStyle name="Normal 10 4 3 2" xfId="519"/>
    <cellStyle name="Normal 10 4 4" xfId="411"/>
    <cellStyle name="Normal 10 4 5" xfId="240"/>
    <cellStyle name="Normal 10 5" xfId="195"/>
    <cellStyle name="Normal 10 5 2" xfId="446"/>
    <cellStyle name="Normal 10 5 3" xfId="344"/>
    <cellStyle name="Normal 11" xfId="134"/>
    <cellStyle name="Normal 12" xfId="94"/>
    <cellStyle name="Normal 12 2" xfId="144"/>
    <cellStyle name="Normal 12 3" xfId="125"/>
    <cellStyle name="Normal 13" xfId="41"/>
    <cellStyle name="Normal 13 2" xfId="95"/>
    <cellStyle name="Normal 13 3" xfId="138"/>
    <cellStyle name="Normal 13 3 2" xfId="236"/>
    <cellStyle name="Normal 13 3 3" xfId="274"/>
    <cellStyle name="Normal 14" xfId="93"/>
    <cellStyle name="Normal 14 2" xfId="143"/>
    <cellStyle name="Normal 14 3" xfId="123"/>
    <cellStyle name="Normal 15" xfId="124"/>
    <cellStyle name="Normal 16" xfId="42"/>
    <cellStyle name="Normal 17" xfId="43"/>
    <cellStyle name="Normal 18" xfId="44"/>
    <cellStyle name="Normal 19" xfId="67"/>
    <cellStyle name="Normal 19 2" xfId="152"/>
    <cellStyle name="Normal 19 3" xfId="118"/>
    <cellStyle name="Normal 2" xfId="2"/>
    <cellStyle name="Normal 2 2" xfId="81"/>
    <cellStyle name="Normal 2 2 2" xfId="83"/>
    <cellStyle name="Normal 2 3" xfId="108"/>
    <cellStyle name="Normal 2 3 2" xfId="109"/>
    <cellStyle name="Normal 2 4" xfId="26"/>
    <cellStyle name="Normal 2 4 2" xfId="111"/>
    <cellStyle name="Normal 2 4 2 2" xfId="552"/>
    <cellStyle name="Normal 2 5" xfId="27"/>
    <cellStyle name="Normal 2 5 10" xfId="225"/>
    <cellStyle name="Normal 2 5 2" xfId="110"/>
    <cellStyle name="Normal 2 5 2 2" xfId="150"/>
    <cellStyle name="Normal 2 5 2 2 2" xfId="183"/>
    <cellStyle name="Normal 2 5 2 2 2 2" xfId="474"/>
    <cellStyle name="Normal 2 5 2 2 2 3" xfId="372"/>
    <cellStyle name="Normal 2 5 2 2 3" xfId="213"/>
    <cellStyle name="Normal 2 5 2 2 3 2" xfId="536"/>
    <cellStyle name="Normal 2 5 2 2 3 3" xfId="327"/>
    <cellStyle name="Normal 2 5 2 2 4" xfId="429"/>
    <cellStyle name="Normal 2 5 2 2 5" xfId="262"/>
    <cellStyle name="Normal 2 5 2 3" xfId="171"/>
    <cellStyle name="Normal 2 5 2 3 2" xfId="359"/>
    <cellStyle name="Normal 2 5 2 3 2 2" xfId="461"/>
    <cellStyle name="Normal 2 5 2 3 3" xfId="314"/>
    <cellStyle name="Normal 2 5 2 3 3 2" xfId="525"/>
    <cellStyle name="Normal 2 5 2 3 4" xfId="417"/>
    <cellStyle name="Normal 2 5 2 3 5" xfId="246"/>
    <cellStyle name="Normal 2 5 2 4" xfId="201"/>
    <cellStyle name="Normal 2 5 2 4 2" xfId="451"/>
    <cellStyle name="Normal 2 5 2 4 3" xfId="349"/>
    <cellStyle name="Normal 2 5 2 5" xfId="293"/>
    <cellStyle name="Normal 2 5 2 5 2" xfId="507"/>
    <cellStyle name="Normal 2 5 2 6" xfId="399"/>
    <cellStyle name="Normal 2 5 2 7" xfId="233"/>
    <cellStyle name="Normal 2 5 3" xfId="116"/>
    <cellStyle name="Normal 2 5 3 2" xfId="175"/>
    <cellStyle name="Normal 2 5 3 2 2" xfId="528"/>
    <cellStyle name="Normal 2 5 3 2 3" xfId="421"/>
    <cellStyle name="Normal 2 5 3 2 4" xfId="318"/>
    <cellStyle name="Normal 2 5 3 3" xfId="205"/>
    <cellStyle name="Normal 2 5 3 3 2" xfId="465"/>
    <cellStyle name="Normal 2 5 3 3 3" xfId="363"/>
    <cellStyle name="Normal 2 5 3 4" xfId="285"/>
    <cellStyle name="Normal 2 5 3 4 2" xfId="499"/>
    <cellStyle name="Normal 2 5 3 5" xfId="391"/>
    <cellStyle name="Normal 2 5 3 6" xfId="250"/>
    <cellStyle name="Normal 2 5 4" xfId="82"/>
    <cellStyle name="Normal 2 5 4 2" xfId="191"/>
    <cellStyle name="Normal 2 5 4 2 2" xfId="544"/>
    <cellStyle name="Normal 2 5 4 2 3" xfId="437"/>
    <cellStyle name="Normal 2 5 4 2 4" xfId="335"/>
    <cellStyle name="Normal 2 5 4 3" xfId="221"/>
    <cellStyle name="Normal 2 5 4 3 2" xfId="482"/>
    <cellStyle name="Normal 2 5 4 3 3" xfId="380"/>
    <cellStyle name="Normal 2 5 4 4" xfId="298"/>
    <cellStyle name="Normal 2 5 4 4 2" xfId="512"/>
    <cellStyle name="Normal 2 5 4 5" xfId="404"/>
    <cellStyle name="Normal 2 5 4 6" xfId="270"/>
    <cellStyle name="Normal 2 5 5" xfId="160"/>
    <cellStyle name="Normal 2 5 5 2" xfId="351"/>
    <cellStyle name="Normal 2 5 5 2 2" xfId="453"/>
    <cellStyle name="Normal 2 5 5 3" xfId="306"/>
    <cellStyle name="Normal 2 5 5 3 2" xfId="517"/>
    <cellStyle name="Normal 2 5 5 4" xfId="409"/>
    <cellStyle name="Normal 2 5 5 5" xfId="238"/>
    <cellStyle name="Normal 2 5 6" xfId="163"/>
    <cellStyle name="Normal 2 5 6 2" xfId="444"/>
    <cellStyle name="Normal 2 5 6 3" xfId="342"/>
    <cellStyle name="Normal 2 5 7" xfId="193"/>
    <cellStyle name="Normal 2 5 7 2" xfId="494"/>
    <cellStyle name="Normal 2 5 7 3" xfId="280"/>
    <cellStyle name="Normal 2 5 8" xfId="550"/>
    <cellStyle name="Normal 2 5 9" xfId="386"/>
    <cellStyle name="Normal 2 6" xfId="77"/>
    <cellStyle name="Normal 2 6 2" xfId="554"/>
    <cellStyle name="Normal 20" xfId="68"/>
    <cellStyle name="Normal 21" xfId="69"/>
    <cellStyle name="Normal 22" xfId="70"/>
    <cellStyle name="Normal 23" xfId="71"/>
    <cellStyle name="Normal 24" xfId="129"/>
    <cellStyle name="Normal 25" xfId="72"/>
    <cellStyle name="Normal 26" xfId="73"/>
    <cellStyle name="Normal 27" xfId="45"/>
    <cellStyle name="Normal 28" xfId="46"/>
    <cellStyle name="Normal 29" xfId="47"/>
    <cellStyle name="Normal 3" xfId="97"/>
    <cellStyle name="Normal 3 2" xfId="145"/>
    <cellStyle name="Normal 3 2 2" xfId="557"/>
    <cellStyle name="Normal 3 3" xfId="120"/>
    <cellStyle name="Normal 30" xfId="48"/>
    <cellStyle name="Normal 31" xfId="49"/>
    <cellStyle name="Normal 32" xfId="50"/>
    <cellStyle name="Normal 33" xfId="51"/>
    <cellStyle name="Normal 34" xfId="52"/>
    <cellStyle name="Normal 35" xfId="53"/>
    <cellStyle name="Normal 36" xfId="54"/>
    <cellStyle name="Normal 37" xfId="55"/>
    <cellStyle name="Normal 38" xfId="130"/>
    <cellStyle name="Normal 39" xfId="56"/>
    <cellStyle name="Normal 4" xfId="86"/>
    <cellStyle name="Normal 4 2" xfId="151"/>
    <cellStyle name="Normal 4 2 2" xfId="556"/>
    <cellStyle name="Normal 4 3" xfId="101"/>
    <cellStyle name="Normal 4 4" xfId="551"/>
    <cellStyle name="Normal 40" xfId="57"/>
    <cellStyle name="Normal 41" xfId="58"/>
    <cellStyle name="Normal 42" xfId="59"/>
    <cellStyle name="Normal 43" xfId="60"/>
    <cellStyle name="Normal 44" xfId="61"/>
    <cellStyle name="Normal 45" xfId="62"/>
    <cellStyle name="Normal 46" xfId="63"/>
    <cellStyle name="Normal 47" xfId="64"/>
    <cellStyle name="Normal 48" xfId="65"/>
    <cellStyle name="Normal 49" xfId="74"/>
    <cellStyle name="Normal 5" xfId="84"/>
    <cellStyle name="Normal 5 2" xfId="121"/>
    <cellStyle name="Normal 5 2 2" xfId="154"/>
    <cellStyle name="Normal 5 2 2 2" xfId="185"/>
    <cellStyle name="Normal 5 2 2 2 2" xfId="329"/>
    <cellStyle name="Normal 5 2 2 2 2 2" xfId="538"/>
    <cellStyle name="Normal 5 2 2 2 3" xfId="484"/>
    <cellStyle name="Normal 5 2 2 2 4" xfId="431"/>
    <cellStyle name="Normal 5 2 2 2 5" xfId="252"/>
    <cellStyle name="Normal 5 2 2 3" xfId="215"/>
    <cellStyle name="Normal 5 2 2 3 2" xfId="476"/>
    <cellStyle name="Normal 5 2 2 3 3" xfId="374"/>
    <cellStyle name="Normal 5 2 2 4" xfId="264"/>
    <cellStyle name="Normal 5 2 3" xfId="365"/>
    <cellStyle name="Normal 5 2 4" xfId="346"/>
    <cellStyle name="Normal 5 2 4 2" xfId="448"/>
    <cellStyle name="Normal 5 2 5" xfId="286"/>
    <cellStyle name="Normal 5 2 5 2" xfId="500"/>
    <cellStyle name="Normal 5 2 6" xfId="558"/>
    <cellStyle name="Normal 5 2 7" xfId="392"/>
    <cellStyle name="Normal 5 3" xfId="140"/>
    <cellStyle name="Normal 5 3 2" xfId="177"/>
    <cellStyle name="Normal 5 3 2 2" xfId="321"/>
    <cellStyle name="Normal 5 3 2 2 2" xfId="530"/>
    <cellStyle name="Normal 5 3 2 3" xfId="487"/>
    <cellStyle name="Normal 5 3 2 4" xfId="423"/>
    <cellStyle name="Normal 5 3 2 5" xfId="255"/>
    <cellStyle name="Normal 5 3 3" xfId="207"/>
    <cellStyle name="Normal 5 3 3 2" xfId="468"/>
    <cellStyle name="Normal 5 3 3 3" xfId="366"/>
    <cellStyle name="Normal 5 3 4" xfId="282"/>
    <cellStyle name="Normal 5 3 4 2" xfId="496"/>
    <cellStyle name="Normal 5 3 5" xfId="388"/>
    <cellStyle name="Normal 5 3 6" xfId="227"/>
    <cellStyle name="Normal 5 4" xfId="117"/>
    <cellStyle name="Normal 5 4 2" xfId="176"/>
    <cellStyle name="Normal 5 4 2 2" xfId="466"/>
    <cellStyle name="Normal 5 4 2 3" xfId="364"/>
    <cellStyle name="Normal 5 4 3" xfId="206"/>
    <cellStyle name="Normal 5 4 3 2" xfId="529"/>
    <cellStyle name="Normal 5 4 3 3" xfId="319"/>
    <cellStyle name="Normal 5 4 4" xfId="422"/>
    <cellStyle name="Normal 5 4 5" xfId="251"/>
    <cellStyle name="Normal 5 5" xfId="164"/>
    <cellStyle name="Normal 5 5 2" xfId="352"/>
    <cellStyle name="Normal 5 5 2 2" xfId="454"/>
    <cellStyle name="Normal 5 5 3" xfId="307"/>
    <cellStyle name="Normal 5 5 3 2" xfId="518"/>
    <cellStyle name="Normal 5 5 4" xfId="410"/>
    <cellStyle name="Normal 5 5 5" xfId="239"/>
    <cellStyle name="Normal 5 6" xfId="194"/>
    <cellStyle name="Normal 5 6 2" xfId="445"/>
    <cellStyle name="Normal 5 6 3" xfId="343"/>
    <cellStyle name="Normal 5 7" xfId="553"/>
    <cellStyle name="Normal 5 8" xfId="226"/>
    <cellStyle name="Normal 50" xfId="75"/>
    <cellStyle name="Normal 51" xfId="76"/>
    <cellStyle name="Normal 52" xfId="66"/>
    <cellStyle name="Normal 53" xfId="126"/>
    <cellStyle name="Normal 54" xfId="127"/>
    <cellStyle name="Normal 55" xfId="128"/>
    <cellStyle name="Normal 56" xfId="105"/>
    <cellStyle name="Normal 57" xfId="80"/>
    <cellStyle name="Normal 57 10" xfId="545"/>
    <cellStyle name="Normal 57 11" xfId="381"/>
    <cellStyle name="Normal 57 12" xfId="222"/>
    <cellStyle name="Normal 57 2" xfId="98"/>
    <cellStyle name="Normal 57 3" xfId="88"/>
    <cellStyle name="Normal 57 3 2" xfId="141"/>
    <cellStyle name="Normal 57 3 2 2" xfId="178"/>
    <cellStyle name="Normal 57 3 2 2 2" xfId="469"/>
    <cellStyle name="Normal 57 3 2 2 3" xfId="367"/>
    <cellStyle name="Normal 57 3 2 3" xfId="208"/>
    <cellStyle name="Normal 57 3 2 3 2" xfId="531"/>
    <cellStyle name="Normal 57 3 2 3 3" xfId="322"/>
    <cellStyle name="Normal 57 3 2 4" xfId="424"/>
    <cellStyle name="Normal 57 3 2 5" xfId="256"/>
    <cellStyle name="Normal 57 3 3" xfId="166"/>
    <cellStyle name="Normal 57 3 3 2" xfId="354"/>
    <cellStyle name="Normal 57 3 3 2 2" xfId="456"/>
    <cellStyle name="Normal 57 3 3 3" xfId="309"/>
    <cellStyle name="Normal 57 3 3 3 2" xfId="520"/>
    <cellStyle name="Normal 57 3 3 4" xfId="412"/>
    <cellStyle name="Normal 57 3 3 5" xfId="241"/>
    <cellStyle name="Normal 57 3 4" xfId="196"/>
    <cellStyle name="Normal 57 3 4 2" xfId="450"/>
    <cellStyle name="Normal 57 3 4 3" xfId="348"/>
    <cellStyle name="Normal 57 3 5" xfId="288"/>
    <cellStyle name="Normal 57 3 5 2" xfId="502"/>
    <cellStyle name="Normal 57 3 6" xfId="394"/>
    <cellStyle name="Normal 57 3 7" xfId="228"/>
    <cellStyle name="Normal 57 4" xfId="113"/>
    <cellStyle name="Normal 57 4 2" xfId="172"/>
    <cellStyle name="Normal 57 4 2 2" xfId="360"/>
    <cellStyle name="Normal 57 4 2 2 2" xfId="462"/>
    <cellStyle name="Normal 57 4 2 3" xfId="418"/>
    <cellStyle name="Normal 57 4 2 4" xfId="315"/>
    <cellStyle name="Normal 57 4 3" xfId="202"/>
    <cellStyle name="Normal 57 4 3 2" xfId="447"/>
    <cellStyle name="Normal 57 4 3 3" xfId="345"/>
    <cellStyle name="Normal 57 4 4" xfId="284"/>
    <cellStyle name="Normal 57 4 4 2" xfId="498"/>
    <cellStyle name="Normal 57 4 5" xfId="390"/>
    <cellStyle name="Normal 57 4 6" xfId="247"/>
    <cellStyle name="Normal 57 5" xfId="155"/>
    <cellStyle name="Normal 57 5 2" xfId="186"/>
    <cellStyle name="Normal 57 5 2 2" xfId="539"/>
    <cellStyle name="Normal 57 5 2 3" xfId="432"/>
    <cellStyle name="Normal 57 5 2 4" xfId="330"/>
    <cellStyle name="Normal 57 5 3" xfId="216"/>
    <cellStyle name="Normal 57 5 3 2" xfId="477"/>
    <cellStyle name="Normal 57 5 3 3" xfId="375"/>
    <cellStyle name="Normal 57 5 4" xfId="281"/>
    <cellStyle name="Normal 57 5 4 2" xfId="495"/>
    <cellStyle name="Normal 57 5 5" xfId="387"/>
    <cellStyle name="Normal 57 5 6" xfId="265"/>
    <cellStyle name="Normal 57 6" xfId="162"/>
    <cellStyle name="Normal 57 6 2" xfId="350"/>
    <cellStyle name="Normal 57 6 2 2" xfId="452"/>
    <cellStyle name="Normal 57 6 3" xfId="299"/>
    <cellStyle name="Normal 57 6 3 2" xfId="513"/>
    <cellStyle name="Normal 57 6 4" xfId="405"/>
    <cellStyle name="Normal 57 6 5" xfId="237"/>
    <cellStyle name="Normal 57 7" xfId="192"/>
    <cellStyle name="Normal 57 7 2" xfId="516"/>
    <cellStyle name="Normal 57 7 3" xfId="408"/>
    <cellStyle name="Normal 57 7 4" xfId="305"/>
    <cellStyle name="Normal 57 8" xfId="337"/>
    <cellStyle name="Normal 57 8 2" xfId="439"/>
    <cellStyle name="Normal 57 9" xfId="275"/>
    <cellStyle name="Normal 57 9 2" xfId="489"/>
    <cellStyle name="Normal 58" xfId="100"/>
    <cellStyle name="Normal 58 10" xfId="382"/>
    <cellStyle name="Normal 58 11" xfId="224"/>
    <cellStyle name="Normal 58 2" xfId="99"/>
    <cellStyle name="Normal 58 3" xfId="146"/>
    <cellStyle name="Normal 58 3 2" xfId="179"/>
    <cellStyle name="Normal 58 3 2 2" xfId="323"/>
    <cellStyle name="Normal 58 3 2 2 2" xfId="532"/>
    <cellStyle name="Normal 58 3 2 3" xfId="488"/>
    <cellStyle name="Normal 58 3 2 4" xfId="425"/>
    <cellStyle name="Normal 58 3 2 5" xfId="258"/>
    <cellStyle name="Normal 58 3 3" xfId="209"/>
    <cellStyle name="Normal 58 3 3 2" xfId="470"/>
    <cellStyle name="Normal 58 3 3 3" xfId="368"/>
    <cellStyle name="Normal 58 3 4" xfId="289"/>
    <cellStyle name="Normal 58 3 4 2" xfId="503"/>
    <cellStyle name="Normal 58 3 5" xfId="395"/>
    <cellStyle name="Normal 58 3 6" xfId="229"/>
    <cellStyle name="Normal 58 4" xfId="115"/>
    <cellStyle name="Normal 58 4 2" xfId="174"/>
    <cellStyle name="Normal 58 4 2 2" xfId="527"/>
    <cellStyle name="Normal 58 4 2 3" xfId="420"/>
    <cellStyle name="Normal 58 4 2 4" xfId="317"/>
    <cellStyle name="Normal 58 4 3" xfId="204"/>
    <cellStyle name="Normal 58 4 3 2" xfId="464"/>
    <cellStyle name="Normal 58 4 3 3" xfId="362"/>
    <cellStyle name="Normal 58 4 4" xfId="300"/>
    <cellStyle name="Normal 58 4 4 2" xfId="514"/>
    <cellStyle name="Normal 58 4 5" xfId="406"/>
    <cellStyle name="Normal 58 4 6" xfId="249"/>
    <cellStyle name="Normal 58 5" xfId="156"/>
    <cellStyle name="Normal 58 5 2" xfId="187"/>
    <cellStyle name="Normal 58 5 2 2" xfId="478"/>
    <cellStyle name="Normal 58 5 2 3" xfId="376"/>
    <cellStyle name="Normal 58 5 3" xfId="217"/>
    <cellStyle name="Normal 58 5 3 2" xfId="540"/>
    <cellStyle name="Normal 58 5 3 3" xfId="331"/>
    <cellStyle name="Normal 58 5 4" xfId="433"/>
    <cellStyle name="Normal 58 5 5" xfId="266"/>
    <cellStyle name="Normal 58 6" xfId="167"/>
    <cellStyle name="Normal 58 6 2" xfId="355"/>
    <cellStyle name="Normal 58 6 2 2" xfId="457"/>
    <cellStyle name="Normal 58 6 3" xfId="310"/>
    <cellStyle name="Normal 58 6 3 2" xfId="521"/>
    <cellStyle name="Normal 58 6 4" xfId="413"/>
    <cellStyle name="Normal 58 6 5" xfId="242"/>
    <cellStyle name="Normal 58 7" xfId="197"/>
    <cellStyle name="Normal 58 7 2" xfId="440"/>
    <cellStyle name="Normal 58 7 3" xfId="338"/>
    <cellStyle name="Normal 58 8" xfId="276"/>
    <cellStyle name="Normal 58 8 2" xfId="490"/>
    <cellStyle name="Normal 58 9" xfId="546"/>
    <cellStyle name="Normal 59" xfId="107"/>
    <cellStyle name="Normal 6" xfId="89"/>
    <cellStyle name="Normal 6 2 2" xfId="106"/>
    <cellStyle name="Normal 6_sreb progression tab 2 redo" xfId="96"/>
    <cellStyle name="Normal 60" xfId="273"/>
    <cellStyle name="Normal 61" xfId="271"/>
    <cellStyle name="Normal 62" xfId="235"/>
    <cellStyle name="Normal 63" xfId="254"/>
    <cellStyle name="Normal 63 2" xfId="295"/>
    <cellStyle name="Normal 63 2 2" xfId="509"/>
    <cellStyle name="Normal 63 3" xfId="486"/>
    <cellStyle name="Normal 63 4" xfId="401"/>
    <cellStyle name="Normal 64" xfId="302"/>
    <cellStyle name="Normal 65" xfId="304"/>
    <cellStyle name="Normal 66" xfId="303"/>
    <cellStyle name="Normal 67" xfId="336"/>
    <cellStyle name="Normal 68" xfId="438"/>
    <cellStyle name="Normal 69" xfId="467"/>
    <cellStyle name="Normal 7" xfId="104"/>
    <cellStyle name="Normal 7 2" xfId="149"/>
    <cellStyle name="Normal 7 2 2" xfId="182"/>
    <cellStyle name="Normal 7 2 2 2" xfId="535"/>
    <cellStyle name="Normal 7 2 2 3" xfId="428"/>
    <cellStyle name="Normal 7 2 2 4" xfId="326"/>
    <cellStyle name="Normal 7 2 3" xfId="212"/>
    <cellStyle name="Normal 7 2 3 2" xfId="473"/>
    <cellStyle name="Normal 7 2 3 3" xfId="371"/>
    <cellStyle name="Normal 7 2 4" xfId="292"/>
    <cellStyle name="Normal 7 2 4 2" xfId="506"/>
    <cellStyle name="Normal 7 2 5" xfId="398"/>
    <cellStyle name="Normal 7 2 6" xfId="261"/>
    <cellStyle name="Normal 7 3" xfId="159"/>
    <cellStyle name="Normal 7 3 2" xfId="190"/>
    <cellStyle name="Normal 7 3 2 2" xfId="543"/>
    <cellStyle name="Normal 7 3 2 3" xfId="436"/>
    <cellStyle name="Normal 7 3 2 4" xfId="334"/>
    <cellStyle name="Normal 7 3 3" xfId="220"/>
    <cellStyle name="Normal 7 3 3 2" xfId="481"/>
    <cellStyle name="Normal 7 3 3 3" xfId="379"/>
    <cellStyle name="Normal 7 3 4" xfId="301"/>
    <cellStyle name="Normal 7 3 4 2" xfId="515"/>
    <cellStyle name="Normal 7 3 5" xfId="407"/>
    <cellStyle name="Normal 7 3 6" xfId="269"/>
    <cellStyle name="Normal 7 4" xfId="170"/>
    <cellStyle name="Normal 7 4 2" xfId="358"/>
    <cellStyle name="Normal 7 4 2 2" xfId="460"/>
    <cellStyle name="Normal 7 4 3" xfId="313"/>
    <cellStyle name="Normal 7 4 3 2" xfId="524"/>
    <cellStyle name="Normal 7 4 4" xfId="416"/>
    <cellStyle name="Normal 7 4 5" xfId="245"/>
    <cellStyle name="Normal 7 5" xfId="200"/>
    <cellStyle name="Normal 7 5 2" xfId="443"/>
    <cellStyle name="Normal 7 5 3" xfId="341"/>
    <cellStyle name="Normal 7 6" xfId="279"/>
    <cellStyle name="Normal 7 6 2" xfId="493"/>
    <cellStyle name="Normal 7 7" xfId="549"/>
    <cellStyle name="Normal 7 8" xfId="385"/>
    <cellStyle name="Normal 7 9" xfId="232"/>
    <cellStyle name="Normal 71" xfId="9"/>
    <cellStyle name="Normal 72" xfId="10"/>
    <cellStyle name="Normal 73" xfId="11"/>
    <cellStyle name="Normal 8" xfId="92"/>
    <cellStyle name="Normal 8 2" xfId="142"/>
    <cellStyle name="Normal 8 3" xfId="131"/>
    <cellStyle name="Normal 83" xfId="12"/>
    <cellStyle name="Normal 84" xfId="13"/>
    <cellStyle name="Normal 85" xfId="23"/>
    <cellStyle name="Normal 86" xfId="14"/>
    <cellStyle name="Normal 9" xfId="132"/>
    <cellStyle name="Normal 9 2" xfId="555"/>
    <cellStyle name="Normal 90" xfId="15"/>
    <cellStyle name="Normal 91" xfId="16"/>
    <cellStyle name="Normal 92" xfId="17"/>
    <cellStyle name="Normal 93" xfId="18"/>
    <cellStyle name="Normal 94" xfId="24"/>
    <cellStyle name="Normal 95" xfId="19"/>
    <cellStyle name="Normal 96" xfId="21"/>
    <cellStyle name="Normal 97" xfId="22"/>
    <cellStyle name="Normal 98" xfId="20"/>
    <cellStyle name="Normal_03SCH&amp;FTE05" xfId="34"/>
    <cellStyle name="Normal_03TTA09mastersurvey" xfId="25"/>
    <cellStyle name="Normal_Degree02 Form" xfId="36"/>
    <cellStyle name="Normal_Degree02 Form 2" xfId="6"/>
    <cellStyle name="Normal_Degree02 Form 3" xfId="137"/>
    <cellStyle name="Normal_Degrees02 Form" xfId="32"/>
    <cellStyle name="Normal_Degrees02 Form 2" xfId="31"/>
    <cellStyle name="Normal_Degrees02 Form 2 2" xfId="33"/>
    <cellStyle name="Normal_Degrees02 Form 3" xfId="136"/>
    <cellStyle name="Normal_SCH&amp;FTE02 Form" xfId="3"/>
    <cellStyle name="Normal_SCH&amp;FTE03 Form" xfId="30"/>
    <cellStyle name="Normal_StProg01B 2" xfId="35"/>
    <cellStyle name="Normal_StProg02 Form" xfId="37"/>
    <cellStyle name="Normal_StProg02 Form 2" xfId="8"/>
    <cellStyle name="Normal_Tuition02 Form" xfId="29"/>
    <cellStyle name="Percent" xfId="4" builtinId="5"/>
    <cellStyle name="Percent 2" xfId="78"/>
    <cellStyle name="Percent 2 2" xfId="139"/>
    <cellStyle name="Percent 2 2 2" xfId="272"/>
    <cellStyle name="Percent 2 2 3" xfId="257"/>
    <cellStyle name="Percent 3" xfId="79"/>
    <cellStyle name="Percent 4" xfId="90"/>
    <cellStyle name="Percent 5" xfId="87"/>
    <cellStyle name="Percent 6" xfId="38"/>
    <cellStyle name="questionable" xfId="39"/>
    <cellStyle name="questionable 2" xfId="122"/>
    <cellStyle name="review" xfId="40"/>
  </cellStyles>
  <dxfs count="25">
    <dxf>
      <numFmt numFmtId="166" formatCode="_(* #,##0_);_(* \(#,##0\);_(* &quot;-&quot;??_);_(@_)"/>
    </dxf>
    <dxf>
      <border>
        <left/>
        <right/>
      </border>
    </dxf>
    <dxf>
      <font>
        <sz val="10"/>
        <name val="Arial"/>
        <scheme val="none"/>
      </font>
      <numFmt numFmtId="166" formatCode="_(* #,##0_);_(* \(#,##0\);_(* &quot;-&quot;??_);_(@_)"/>
    </dxf>
    <dxf>
      <font>
        <sz val="10"/>
        <name val="Arial"/>
        <scheme val="none"/>
      </font>
      <numFmt numFmtId="166" formatCode="_(* #,##0_);_(* \(#,##0\);_(* &quot;-&quot;??_);_(@_)"/>
    </dxf>
    <dxf>
      <font>
        <sz val="10"/>
      </font>
    </dxf>
    <dxf>
      <font>
        <name val="Arial"/>
        <scheme val="none"/>
      </font>
    </dxf>
    <dxf>
      <font>
        <b/>
      </font>
    </dxf>
    <dxf>
      <font>
        <b/>
      </font>
    </dxf>
    <dxf>
      <font>
        <b/>
      </font>
    </dxf>
    <dxf>
      <border>
        <bottom style="thin">
          <color indexed="64"/>
        </bottom>
      </border>
    </dxf>
    <dxf>
      <font>
        <b/>
      </font>
    </dxf>
    <dxf>
      <font>
        <b/>
      </font>
    </dxf>
    <dxf>
      <font>
        <b/>
      </font>
    </dxf>
    <dxf>
      <font>
        <b/>
      </font>
    </dxf>
    <dxf>
      <font>
        <b/>
      </font>
    </dxf>
    <dxf>
      <font>
        <b/>
      </font>
    </dxf>
    <dxf>
      <numFmt numFmtId="3" formatCode="#,##0"/>
    </dxf>
    <dxf>
      <border>
        <left/>
        <right/>
      </border>
    </dxf>
    <dxf>
      <font>
        <sz val="10"/>
        <name val="Arial"/>
        <scheme val="none"/>
      </font>
      <numFmt numFmtId="166" formatCode="_(* #,##0_);_(* \(#,##0\);_(* &quot;-&quot;??_);_(@_)"/>
    </dxf>
    <dxf>
      <font>
        <sz val="10"/>
        <name val="Arial"/>
        <scheme val="none"/>
      </font>
      <numFmt numFmtId="166" formatCode="_(* #,##0_);_(* \(#,##0\);_(* &quot;-&quot;??_);_(@_)"/>
    </dxf>
    <dxf>
      <font>
        <sz val="10"/>
      </font>
    </dxf>
    <dxf>
      <font>
        <name val="Arial"/>
        <scheme val="none"/>
      </font>
    </dxf>
    <dxf>
      <font>
        <b/>
      </font>
    </dxf>
    <dxf>
      <font>
        <b/>
      </font>
    </dxf>
    <dxf>
      <font>
        <b/>
      </font>
    </dxf>
  </dxfs>
  <tableStyles count="0" defaultTableStyle="TableStyleMedium9" defaultPivotStyle="PivotStyleLight16"/>
  <colors>
    <mruColors>
      <color rgb="FF00CC66"/>
      <color rgb="FFFFCC00"/>
      <color rgb="FFFFC000"/>
      <color rgb="FF00FFFF"/>
      <color rgb="FF00FF00"/>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marks" refreshedDate="41317.373166087964" createdVersion="3" refreshedVersion="4" minRefreshableVersion="3" recordCount="673">
  <cacheSource type="worksheet">
    <worksheetSource ref="A8:BY681" sheet="Faculty Salary Data"/>
  </cacheSource>
  <cacheFields count="115">
    <cacheField name="State" numFmtId="49">
      <sharedItems containsBlank="1" count="18">
        <s v="AL"/>
        <s v="AR"/>
        <s v="DE"/>
        <s v="FL"/>
        <s v="GA"/>
        <s v="KY"/>
        <s v="LA"/>
        <s v="MD"/>
        <s v="MS"/>
        <s v="NC"/>
        <s v="OK"/>
        <s v="SC"/>
        <s v="TN"/>
        <s v="TX"/>
        <s v="VA"/>
        <s v="WV"/>
        <m u="1"/>
        <s v="GA " u="1"/>
      </sharedItems>
    </cacheField>
    <cacheField name="Institution" numFmtId="0">
      <sharedItems/>
    </cacheField>
    <cacheField name="Note" numFmtId="0">
      <sharedItems containsBlank="1"/>
    </cacheField>
    <cacheField name="ID #" numFmtId="0">
      <sharedItems containsBlank="1" containsMixedTypes="1" containsNumber="1" containsInteger="1" minValue="100654" maxValue="870501"/>
    </cacheField>
    <cacheField name="Category" numFmtId="0">
      <sharedItems containsSemiMixedTypes="0" containsString="0" containsNumber="1" containsInteger="1" minValue="1" maxValue="99" count="16">
        <n v="1"/>
        <n v="2"/>
        <n v="3"/>
        <n v="4"/>
        <n v="5"/>
        <n v="6"/>
        <n v="8"/>
        <n v="9"/>
        <n v="10"/>
        <n v="12"/>
        <n v="13"/>
        <n v="7"/>
        <n v="99"/>
        <n v="11"/>
        <n v="14" u="1"/>
        <n v="15" u="1"/>
      </sharedItems>
      <fieldGroup par="99"/>
    </cacheField>
    <cacheField name="Old # Prof9" numFmtId="0">
      <sharedItems containsString="0" containsBlank="1" containsNumber="1" containsInteger="1" minValue="0" maxValue="985"/>
    </cacheField>
    <cacheField name="Old Sal Prof9" numFmtId="0">
      <sharedItems containsString="0" containsBlank="1" containsNumber="1" minValue="0" maxValue="140969"/>
    </cacheField>
    <cacheField name="Old * Prof9" numFmtId="0">
      <sharedItems containsSemiMixedTypes="0" containsString="0" containsNumber="1" minValue="0" maxValue="134358536"/>
    </cacheField>
    <cacheField name="New # Prof9" numFmtId="0">
      <sharedItems containsString="0" containsBlank="1" containsNumber="1" containsInteger="1" minValue="0" maxValue="982"/>
    </cacheField>
    <cacheField name="New Sal Prof9" numFmtId="0">
      <sharedItems containsString="0" containsBlank="1" containsNumber="1" minValue="0" maxValue="150345.63546798029"/>
    </cacheField>
    <cacheField name="New*Prof9" numFmtId="0">
      <sharedItems containsSemiMixedTypes="0" containsString="0" containsNumber="1" minValue="0" maxValue="138052223"/>
    </cacheField>
    <cacheField name="Old # Asc9" numFmtId="0">
      <sharedItems containsString="0" containsBlank="1" containsNumber="1" containsInteger="1" minValue="0" maxValue="612"/>
    </cacheField>
    <cacheField name="Old Sal Asc9" numFmtId="0">
      <sharedItems containsString="0" containsBlank="1" containsNumber="1" minValue="0" maxValue="105920.1724137931"/>
    </cacheField>
    <cacheField name="Old*Asc9" numFmtId="0">
      <sharedItems containsSemiMixedTypes="0" containsString="0" containsNumber="1" minValue="0" maxValue="47715292"/>
    </cacheField>
    <cacheField name="New # Asc9" numFmtId="0">
      <sharedItems containsString="0" containsBlank="1" containsNumber="1" containsInteger="1" minValue="0" maxValue="644"/>
    </cacheField>
    <cacheField name="New Sal Asc9" numFmtId="0">
      <sharedItems containsString="0" containsBlank="1" containsNumber="1" minValue="0" maxValue="108858.26050420168"/>
    </cacheField>
    <cacheField name="New*Asc9" numFmtId="0">
      <sharedItems containsSemiMixedTypes="0" containsString="0" containsNumber="1" minValue="0" maxValue="47377936"/>
    </cacheField>
    <cacheField name="Old # Ast9" numFmtId="0">
      <sharedItems containsString="0" containsBlank="1" containsNumber="1" containsInteger="1" minValue="0" maxValue="647"/>
    </cacheField>
    <cacheField name="Old Sal Ast9" numFmtId="0">
      <sharedItems containsString="0" containsBlank="1" containsNumber="1" minValue="0" maxValue="92433.415841584152"/>
    </cacheField>
    <cacheField name="Old*Ast9" numFmtId="0">
      <sharedItems containsSemiMixedTypes="0" containsString="0" containsNumber="1" minValue="0" maxValue="44884183"/>
    </cacheField>
    <cacheField name="New # Ast9" numFmtId="0">
      <sharedItems containsString="0" containsBlank="1" containsNumber="1" containsInteger="1" minValue="0" maxValue="626"/>
    </cacheField>
    <cacheField name="New Sal Ast9" numFmtId="0">
      <sharedItems containsString="0" containsBlank="1" containsNumber="1" minValue="0" maxValue="101044"/>
    </cacheField>
    <cacheField name="New*Ast9" numFmtId="0">
      <sharedItems containsSemiMixedTypes="0" containsString="0" containsNumber="1" minValue="0" maxValue="34766162"/>
    </cacheField>
    <cacheField name="Old # Inst9" numFmtId="0">
      <sharedItems containsString="0" containsBlank="1" containsNumber="1" containsInteger="1" minValue="0" maxValue="553"/>
    </cacheField>
    <cacheField name="Old Sal Inst9" numFmtId="0">
      <sharedItems containsString="0" containsBlank="1" containsNumber="1" minValue="0" maxValue="95625"/>
    </cacheField>
    <cacheField name="Old*Inst9" numFmtId="0">
      <sharedItems containsSemiMixedTypes="0" containsString="0" containsNumber="1" minValue="0" maxValue="30317584"/>
    </cacheField>
    <cacheField name="New # Inst9" numFmtId="0">
      <sharedItems containsString="0" containsBlank="1" containsNumber="1" containsInteger="1" minValue="0" maxValue="732"/>
    </cacheField>
    <cacheField name="New Sal Inst9" numFmtId="0">
      <sharedItems containsString="0" containsBlank="1" containsNumber="1" minValue="0" maxValue="119250"/>
    </cacheField>
    <cacheField name="New*Inst9" numFmtId="0">
      <sharedItems containsSemiMixedTypes="0" containsString="0" containsNumber="1" minValue="0" maxValue="46159436"/>
    </cacheField>
    <cacheField name="Old # Undsg9" numFmtId="0">
      <sharedItems containsString="0" containsBlank="1" containsNumber="1" containsInteger="1" minValue="0" maxValue="541"/>
    </cacheField>
    <cacheField name="Old Sal Undsg9" numFmtId="0">
      <sharedItems containsString="0" containsBlank="1" containsNumber="1" minValue="0" maxValue="105724"/>
    </cacheField>
    <cacheField name="Old*Undsg9" numFmtId="0">
      <sharedItems containsSemiMixedTypes="0" containsString="0" containsNumber="1" minValue="0" maxValue="31961754.999999996"/>
    </cacheField>
    <cacheField name="New # Undsg9" numFmtId="0">
      <sharedItems containsString="0" containsBlank="1" containsNumber="1" containsInteger="1" minValue="0" maxValue="553"/>
    </cacheField>
    <cacheField name="New Sal Undsg9" numFmtId="0">
      <sharedItems containsString="0" containsBlank="1" containsNumber="1" minValue="0" maxValue="105723"/>
    </cacheField>
    <cacheField name="Nrw*Undsg9" numFmtId="0">
      <sharedItems containsSemiMixedTypes="0" containsString="0" containsNumber="1" minValue="0" maxValue="32753740"/>
    </cacheField>
    <cacheField name="Old # SR9" numFmtId="0">
      <sharedItems containsString="0" containsBlank="1" containsNumber="1" minValue="0" maxValue="658"/>
    </cacheField>
    <cacheField name="Old Sal SR9" numFmtId="0">
      <sharedItems containsString="0" containsBlank="1" containsNumber="1" minValue="0" maxValue="84603.875"/>
    </cacheField>
    <cacheField name="Old*SR9" numFmtId="0">
      <sharedItems containsSemiMixedTypes="0" containsString="0" containsNumber="1" minValue="0" maxValue="39634630"/>
    </cacheField>
    <cacheField name="New # SR9" numFmtId="0">
      <sharedItems containsString="0" containsBlank="1" containsNumber="1" minValue="0" maxValue="673"/>
    </cacheField>
    <cacheField name="New Sal SR9" numFmtId="0">
      <sharedItems containsString="0" containsBlank="1" containsNumber="1" minValue="0" maxValue="68329"/>
    </cacheField>
    <cacheField name="New*SR9" numFmtId="0">
      <sharedItems containsSemiMixedTypes="0" containsString="0" containsNumber="1" minValue="0" maxValue="40083880"/>
    </cacheField>
    <cacheField name="Old # Prof11" numFmtId="0">
      <sharedItems containsString="0" containsBlank="1" containsNumber="1" containsInteger="1" minValue="0" maxValue="310"/>
    </cacheField>
    <cacheField name="Old Sal Prof11" numFmtId="0">
      <sharedItems containsString="0" containsBlank="1" containsNumber="1" minValue="0" maxValue="226432"/>
    </cacheField>
    <cacheField name="Old * Prof11" numFmtId="0">
      <sharedItems containsSemiMixedTypes="0" containsString="0" containsNumber="1" minValue="0" maxValue="38324914.282200001"/>
    </cacheField>
    <cacheField name="New # Prof11" numFmtId="0">
      <sharedItems containsString="0" containsBlank="1" containsNumber="1" containsInteger="1" minValue="0" maxValue="429"/>
    </cacheField>
    <cacheField name="New Sal Prof11" numFmtId="0">
      <sharedItems containsString="0" containsBlank="1" containsNumber="1" minValue="0" maxValue="234758"/>
    </cacheField>
    <cacheField name="New*Prof11" numFmtId="0">
      <sharedItems containsSemiMixedTypes="0" containsString="0" containsNumber="1" minValue="0" maxValue="55803448.321800001"/>
    </cacheField>
    <cacheField name="Old # Asc11" numFmtId="0">
      <sharedItems containsString="0" containsBlank="1" containsNumber="1" containsInteger="1" minValue="0" maxValue="171"/>
    </cacheField>
    <cacheField name="Old Sal Asc11" numFmtId="0">
      <sharedItems containsString="0" containsBlank="1" containsNumber="1" minValue="0" maxValue="133696"/>
    </cacheField>
    <cacheField name="Old*Asc11" numFmtId="0">
      <sharedItems containsSemiMixedTypes="0" containsString="0" containsNumber="1" minValue="0" maxValue="13232788.6918"/>
    </cacheField>
    <cacheField name="New # Asc11" numFmtId="0">
      <sharedItems containsString="0" containsBlank="1" containsNumber="1" containsInteger="1" minValue="0" maxValue="274"/>
    </cacheField>
    <cacheField name="New Sal Asc11" numFmtId="0">
      <sharedItems containsString="0" containsBlank="1" containsNumber="1" minValue="0" maxValue="141996"/>
    </cacheField>
    <cacheField name="New*Asc11" numFmtId="0">
      <sharedItems containsSemiMixedTypes="0" containsString="0" containsNumber="1" minValue="0" maxValue="24935057.3728"/>
    </cacheField>
    <cacheField name="Old # Ast11" numFmtId="0">
      <sharedItems containsString="0" containsBlank="1" containsNumber="1" containsInteger="1" minValue="0" maxValue="232"/>
    </cacheField>
    <cacheField name="Old Sal Ast11" numFmtId="0">
      <sharedItems containsString="0" containsBlank="1" containsNumber="1" minValue="0" maxValue="154211"/>
    </cacheField>
    <cacheField name="Old*Ast11" numFmtId="0">
      <sharedItems containsSemiMixedTypes="0" containsString="0" containsNumber="1" minValue="0" maxValue="14532541.938200001"/>
    </cacheField>
    <cacheField name="New # Ast11" numFmtId="0">
      <sharedItems containsString="0" containsBlank="1" containsNumber="1" containsInteger="1" minValue="0" maxValue="239"/>
    </cacheField>
    <cacheField name="New Sal Ast11" numFmtId="0">
      <sharedItems containsString="0" containsBlank="1" containsNumber="1" minValue="0" maxValue="109438"/>
    </cacheField>
    <cacheField name="New*Ast11" numFmtId="0">
      <sharedItems containsSemiMixedTypes="0" containsString="0" containsNumber="1" minValue="0" maxValue="18591134.672600001"/>
    </cacheField>
    <cacheField name="Old # Inst11" numFmtId="0">
      <sharedItems containsString="0" containsBlank="1" containsNumber="1" containsInteger="1" minValue="0" maxValue="357"/>
    </cacheField>
    <cacheField name="Old Sal Inst11" numFmtId="0">
      <sharedItems containsString="0" containsBlank="1" containsNumber="1" minValue="0" maxValue="140000"/>
    </cacheField>
    <cacheField name="Old*Inst11" numFmtId="0">
      <sharedItems containsSemiMixedTypes="0" containsString="0" containsNumber="1" minValue="0" maxValue="21753781.224800002"/>
    </cacheField>
    <cacheField name="New # Inst11" numFmtId="0">
      <sharedItems containsString="0" containsBlank="1" containsNumber="1" containsInteger="1" minValue="0" maxValue="208"/>
    </cacheField>
    <cacheField name="New Sal Inst11" numFmtId="0">
      <sharedItems containsString="0" containsBlank="1" containsNumber="1" minValue="0" maxValue="110000"/>
    </cacheField>
    <cacheField name="New*Inst11" numFmtId="0">
      <sharedItems containsSemiMixedTypes="0" containsString="0" containsNumber="1" minValue="0" maxValue="7907940.6372000007"/>
    </cacheField>
    <cacheField name="Old # Undsg11" numFmtId="0">
      <sharedItems containsString="0" containsBlank="1" containsNumber="1" containsInteger="1" minValue="0" maxValue="130"/>
    </cacheField>
    <cacheField name="Old Sal Undsg11" numFmtId="0">
      <sharedItems containsString="0" containsBlank="1" containsNumber="1" minValue="0" maxValue="106557"/>
    </cacheField>
    <cacheField name="Old*Undsg11" numFmtId="0">
      <sharedItems containsSemiMixedTypes="0" containsString="0" containsNumber="1" minValue="0" maxValue="11334041.862"/>
    </cacheField>
    <cacheField name="New # Undsg11" numFmtId="0">
      <sharedItems containsString="0" containsBlank="1" containsNumber="1" containsInteger="1" minValue="0" maxValue="128"/>
    </cacheField>
    <cacheField name="New Sal Undsg11" numFmtId="0">
      <sharedItems containsString="0" containsBlank="1" containsNumber="1" minValue="0" maxValue="123000"/>
    </cacheField>
    <cacheField name="Nrw*Undsg11" numFmtId="0">
      <sharedItems containsSemiMixedTypes="0" containsString="0" containsNumber="1" minValue="0" maxValue="10787672.448000001"/>
    </cacheField>
    <cacheField name="Old # SR11" numFmtId="0">
      <sharedItems containsString="0" containsBlank="1" containsNumber="1" minValue="0" maxValue="174"/>
    </cacheField>
    <cacheField name="Old Sal SR11" numFmtId="0">
      <sharedItems containsString="0" containsBlank="1" containsNumber="1" minValue="0" maxValue="90487"/>
    </cacheField>
    <cacheField name="Old*SR11" numFmtId="0">
      <sharedItems containsSemiMixedTypes="0" containsString="0" containsNumber="1" minValue="0" maxValue="8281049.6556000002"/>
    </cacheField>
    <cacheField name="New # SR11" numFmtId="0">
      <sharedItems containsString="0" containsBlank="1" containsNumber="1" minValue="0" maxValue="185"/>
    </cacheField>
    <cacheField name="New Sal SR11" numFmtId="0">
      <sharedItems containsString="0" containsBlank="1" containsNumber="1" minValue="0" maxValue="90487"/>
    </cacheField>
    <cacheField name="New*SR11" numFmtId="0">
      <sharedItems containsSemiMixedTypes="0" containsString="0" containsNumber="1" minValue="0" maxValue="8501073.4539999999"/>
    </cacheField>
    <cacheField name="Old Prof avg" numFmtId="0" formula="IF(('Old # Prof11'+'Old # Prof9')&gt;0,('Old * Prof9'+'Old * Prof11')/('Old # Prof11'+'Old # Prof9'),0)" databaseField="0"/>
    <cacheField name="Old Asc. avg" numFmtId="0" formula="IF(('Old # Asc11'+'Old # Asc9')&gt;0,('Old*Asc9'+'Old*Asc11')/('Old # Asc11'+'Old # Asc9'),0)" databaseField="0"/>
    <cacheField name="New Asc. avg" numFmtId="0" formula="IF(('New # Asc9'+'New # Asc11')&gt;0,('New*Asc9'+'New*Asc11')/('New # Asc11'+'New # Asc9'),0)" databaseField="0"/>
    <cacheField name="Old Ast. avg" numFmtId="0" formula="IF(('Old # Ast11'+'Old # Ast9')&gt;0,('Old*Ast9'+'Old*Ast11')/('Old # Ast11'+'Old # Ast9'),0)" databaseField="0"/>
    <cacheField name="New Ast. avg" numFmtId="0" formula="IF(('New # Ast11'+'New # Ast9')&gt;0,('New*Ast9'+'New*Ast11')/('New # Ast11'+'New # Ast9'),0)" databaseField="0"/>
    <cacheField name="Old Inst. avg" numFmtId="0" formula="IF(('Old # Inst11'+'Old # Inst9')&gt;0,('Old*Inst9'+'Old*Inst11')/('Old # Inst11'+'Old # Inst9'),0)" databaseField="0"/>
    <cacheField name="New Inst. avg" numFmtId="0" formula="IF(('New # Inst11'+'New # Inst9')&gt;0,('New*Inst9'+'New*Inst11')/('New # Inst11'+'New # Inst9'),0)" databaseField="0"/>
    <cacheField name="Old Undesg. avg" numFmtId="0" formula="IF(('Old # Undsg11'+'Old # Undsg9')&gt;0,('Old*Undsg9'+'Old*Undsg11')/('Old # Undsg11'+'Old # Undsg9'),0)" databaseField="0"/>
    <cacheField name="New Undesg. avg" numFmtId="0" formula="IF(('New # Undsg11'+'New # Undsg9')&gt;0,('Nrw*Undsg9'+'Nrw*Undsg11')/('New # Undsg11'+'New # Undsg9'),0)" databaseField="0"/>
    <cacheField name="Old Single Rnk avg" numFmtId="0" formula="IF(('Old # SR11'+'Old # SR9')&gt;0,('Old*SR9'+'Old*SR11')/('Old # SR11'+'Old # SR9'),0)" databaseField="0"/>
    <cacheField name="New Single Rnk avg" numFmtId="0" formula="IF(('New # SR11'+'New # SR9')&gt;0,('New*SR9'+'New*SR11')/('New # SR11'+'New # SR9'),0)" databaseField="0"/>
    <cacheField name="Old All Ranks *" numFmtId="0" formula=" ('Old * Prof9'+'Old*Asc9'+'Old*Ast9'+'Old*Inst9'+'Old*Undsg9'+'Old*SR9')+('Old * Prof11'+'Old*Asc11'+'Old*Ast11'+'Old*Inst11'+'Old*Undsg11'+'Old*SR11')" databaseField="0"/>
    <cacheField name="Old All Ranks avg" numFmtId="0" formula="IF('All Ranks # Old'&gt;0,('Old All Ranks *'/'All Ranks # Old'),0)" databaseField="0"/>
    <cacheField name="New All Ranks *" numFmtId="0" formula="('New*Prof9'+'New*Asc9'+'New*Ast9'+'New*Inst9'+'Nrw*Undsg9'+'New*SR9'+'New*Prof11'+'New*Asc11'+'New*Ast11'+'New*Inst11'+'Nrw*Undsg11'+'New*SR11')" databaseField="0"/>
    <cacheField name="New All Ranks avg" numFmtId="0" formula="IF('All Ranks # New'&gt;0,('New All Ranks *'/'All Ranks # New'),0)" databaseField="0"/>
    <cacheField name="% change Prof" numFmtId="0" formula="IF('Old Prof avg'&gt;0,((('New Prof avg'-'Old Prof avg')/'Old Prof avg')*100),0)" databaseField="0"/>
    <cacheField name="% change Asc. Prof" numFmtId="0" formula="IF('Old Asc. avg'&gt;0,((('New Asc. avg'-'Old Asc. avg')/'Old Asc. avg')*100),0)" databaseField="0"/>
    <cacheField name="% change Ast. Prof" numFmtId="0" formula="IF('Old Ast. avg'&gt;0,((('New Ast. avg'-'Old Ast. avg')/'Old Ast. avg')*100),0)" databaseField="0"/>
    <cacheField name="% change Instr avg" numFmtId="0" formula="IF('Old Inst. avg'&gt;0,((('New Inst. avg'-'Old Inst. avg')/'Old Inst. avg')*100),0)" databaseField="0"/>
    <cacheField name="% change Undesg avg" numFmtId="0" formula="IF('Old Undesg. avg'&gt;0,((('New Undesg. avg'-'Old Undesg. avg')/'Old Undesg. avg')*100),0)" databaseField="0"/>
    <cacheField name="% change Single Rnk avg" numFmtId="0" formula="IF('Old Single Rnk avg'&gt;0,((('New Single Rnk avg'-'Old Single Rnk avg')/'Old Single Rnk avg')*100),0)" databaseField="0"/>
    <cacheField name="% change All Ranks avg" numFmtId="0" formula="IF('Old All Ranks avg'&gt;0,((('New All Ranks avg'-'Old All Ranks avg')/'Old All Ranks avg')*100),0)" databaseField="0"/>
    <cacheField name="Category2" numFmtId="0" databaseField="0">
      <fieldGroup base="4">
        <discretePr count="16">
          <x v="3"/>
          <x v="3"/>
          <x v="3"/>
          <x v="3"/>
          <x v="3"/>
          <x v="3"/>
          <x v="4"/>
          <x v="4"/>
          <x v="4"/>
          <x v="1"/>
          <x v="1"/>
          <x v="4"/>
          <x v="2"/>
          <x v="4"/>
          <x v="1"/>
          <x v="0"/>
        </discretePr>
        <groupItems count="5">
          <s v="15"/>
          <s v="Group3"/>
          <n v="99"/>
          <s v="Group1"/>
          <s v="Group2"/>
        </groupItems>
      </fieldGroup>
    </cacheField>
    <cacheField name="New Prof avg" numFmtId="0" formula="IF(('New # Prof11'+'New # Prof9')&gt;0, ('New*Prof9'+'New*Prof11')/('New # Prof11'+'New # Prof9'),0)" databaseField="0"/>
    <cacheField name="All Ranks # Old" numFmtId="0" formula=" ('Old # Prof9'+'Old # Prof11'+'Old # Asc9'+'Old # Asc11'+'Old # Ast9'+'Old # Ast11'+'Old # Inst9'+'Old # Inst11'+'Old # Undsg9'+'Old # Undsg11'+'Old # SR9'+'Old # SR11')" databaseField="0"/>
    <cacheField name="Tot # Single Rnk New" numFmtId="0" formula="'New # SR9'+'New # SR11'" databaseField="0"/>
    <cacheField name="Tot # Undes. New" numFmtId="0" formula="'New # Undsg9'+'New # Undsg11'" databaseField="0"/>
    <cacheField name="Tot # Instr. New" numFmtId="0" formula="'New # Inst9'+'New # Inst11'" databaseField="0"/>
    <cacheField name="Tot # Ast. Prof New" numFmtId="0" formula="'New # Ast9'+'New # Ast11'" databaseField="0"/>
    <cacheField name="Tot # Asc. Prof New" numFmtId="0" formula="'New # Asc9'+'New # Asc11'" databaseField="0"/>
    <cacheField name="Total # Prof New" numFmtId="0" formula="'New # Prof9'+'New # Prof11'" databaseField="0"/>
    <cacheField name="Tot # Single Rnk Old" numFmtId="0" formula="'Old # SR9'+'Old # SR11'" databaseField="0"/>
    <cacheField name="Tot # Undes. Old" numFmtId="0" formula="'Old # Undsg9'+'Old # Undsg11'" databaseField="0"/>
    <cacheField name="Tot # Instr. Old" numFmtId="0" formula="'Old # Inst9'+'Old # Inst11'" databaseField="0"/>
    <cacheField name="Tot # Ast. Prof Old" numFmtId="0" formula="'Old # Ast9'+'Old # Ast11'" databaseField="0"/>
    <cacheField name="Tot # Asc. Prof Old" numFmtId="0" formula="'Old # Asc9'+'Old # Asc11'" databaseField="0"/>
    <cacheField name="Total # Prof Old" numFmtId="0" formula="'Old # Prof9'+'Old # Prof11'" databaseField="0"/>
    <cacheField name="All Ranks # New" numFmtId="0" formula=" ('New # Prof9'+'New # Prof11'+'New # Asc9'+'New # Asc11'+'New # Ast9'+'New # Ast11'+'New # Inst9'+'New # Inst11'+'New # Undsg9'+'New # Undsg11'+'New # SR9'+'New # SR11')"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73">
  <r>
    <x v="0"/>
    <s v="Auburn University"/>
    <m/>
    <n v="100858"/>
    <x v="0"/>
    <n v="274"/>
    <n v="103814.52189781022"/>
    <n v="28445179"/>
    <n v="275"/>
    <n v="106842.49090909091"/>
    <n v="29381685"/>
    <n v="275"/>
    <n v="74071.858181818185"/>
    <n v="20369761"/>
    <n v="281"/>
    <n v="75656.483985765124"/>
    <n v="21259472"/>
    <n v="222"/>
    <n v="62347.83783783784"/>
    <n v="13841220"/>
    <n v="194"/>
    <n v="64950.953608247422"/>
    <n v="12600485"/>
    <n v="74"/>
    <n v="36088.972972972973"/>
    <n v="2670584"/>
    <n v="80"/>
    <n v="39495.724999999999"/>
    <n v="3159658"/>
    <n v="10"/>
    <n v="54500"/>
    <n v="545000"/>
    <n v="8"/>
    <n v="55734.875"/>
    <n v="445879"/>
    <m/>
    <m/>
    <n v="0"/>
    <m/>
    <m/>
    <n v="0"/>
    <n v="174"/>
    <n v="130509.14367816092"/>
    <n v="18580169.156199999"/>
    <n v="172"/>
    <n v="132969.04069767441"/>
    <n v="18712786.285"/>
    <n v="92"/>
    <n v="92950.608695652176"/>
    <n v="6996801.2992000002"/>
    <n v="90"/>
    <n v="95775.03333333334"/>
    <n v="7052681.9046"/>
    <n v="63"/>
    <n v="81876.349206349201"/>
    <n v="4220447.4220000003"/>
    <n v="61"/>
    <n v="84820.37704918033"/>
    <n v="4233401.9825999998"/>
    <n v="11"/>
    <n v="59625.181818181816"/>
    <n v="536638.56140000001"/>
    <n v="14"/>
    <n v="59255.642857142855"/>
    <n v="678761.53780000005"/>
    <n v="1"/>
    <n v="75000"/>
    <n v="61365"/>
    <n v="2"/>
    <n v="58806"/>
    <n v="96230.138400000011"/>
    <m/>
    <m/>
    <n v="0"/>
    <m/>
    <m/>
    <n v="0"/>
  </r>
  <r>
    <x v="0"/>
    <s v="University of Alabama "/>
    <m/>
    <n v="100751"/>
    <x v="0"/>
    <n v="296"/>
    <n v="121146.28716216216"/>
    <n v="35859301"/>
    <n v="302"/>
    <n v="129774.31456953642"/>
    <n v="39191843"/>
    <n v="258"/>
    <n v="84145.620155038763"/>
    <n v="21709570"/>
    <n v="258"/>
    <n v="89117.69767441861"/>
    <n v="22992366"/>
    <n v="275"/>
    <n v="63799.934545454547"/>
    <n v="17544982"/>
    <n v="285"/>
    <n v="67388.807017543862"/>
    <n v="19205810"/>
    <n v="177"/>
    <n v="40534.090395480227"/>
    <n v="7174534"/>
    <n v="198"/>
    <n v="42848.702020202021"/>
    <n v="8484043"/>
    <n v="10"/>
    <n v="62516.6"/>
    <n v="625166"/>
    <n v="11"/>
    <n v="65635.181818181823"/>
    <n v="721987"/>
    <m/>
    <m/>
    <n v="0"/>
    <m/>
    <m/>
    <n v="0"/>
    <n v="30"/>
    <n v="139047.33333333334"/>
    <n v="3413055.8440000005"/>
    <n v="31"/>
    <n v="149399.61290322582"/>
    <n v="3789401.6616000002"/>
    <n v="34"/>
    <n v="87088.617647058825"/>
    <n v="2422700.8366"/>
    <n v="35"/>
    <n v="92015.485714285707"/>
    <n v="2635047.4643999999"/>
    <n v="63"/>
    <n v="70005.873015873018"/>
    <n v="3608564.7340000002"/>
    <n v="59"/>
    <n v="72355.118644067799"/>
    <n v="3492856.5264000003"/>
    <n v="28"/>
    <n v="45707.857142857145"/>
    <n v="1047148.724"/>
    <n v="34"/>
    <n v="50706.941176470587"/>
    <n v="1410606.2552"/>
    <n v="4"/>
    <n v="101127.75"/>
    <n v="330970.90020000003"/>
    <n v="4"/>
    <n v="108230.5"/>
    <n v="354216.78039999999"/>
    <m/>
    <m/>
    <n v="0"/>
    <m/>
    <m/>
    <n v="0"/>
  </r>
  <r>
    <x v="0"/>
    <s v="University of Alabama at Birmingham"/>
    <s v="Met the criteria for Four-Year 2 in 2010-11."/>
    <n v="100663"/>
    <x v="0"/>
    <n v="95"/>
    <n v="100220.63157894737"/>
    <n v="9520960"/>
    <n v="88"/>
    <n v="105248.40909090909"/>
    <n v="9261860"/>
    <n v="129"/>
    <n v="73275.519379844962"/>
    <n v="9452542"/>
    <n v="135"/>
    <n v="77953.251851851848"/>
    <n v="10523689"/>
    <n v="123"/>
    <n v="61291.764227642278"/>
    <n v="7538887"/>
    <n v="124"/>
    <n v="66733.693548387091"/>
    <n v="8274977.9999999991"/>
    <n v="33"/>
    <n v="44140.818181818184"/>
    <n v="1456647"/>
    <n v="34"/>
    <n v="49305.029411764706"/>
    <n v="1676371"/>
    <n v="1"/>
    <n v="36000"/>
    <n v="36000"/>
    <m/>
    <m/>
    <n v="0"/>
    <m/>
    <m/>
    <n v="0"/>
    <m/>
    <m/>
    <n v="0"/>
    <n v="134"/>
    <n v="164336.39552238805"/>
    <n v="18017645.201400001"/>
    <n v="129"/>
    <n v="174362.48837209304"/>
    <n v="18403577.0502"/>
    <n v="128"/>
    <n v="113164.6953125"/>
    <n v="11851693.2742"/>
    <n v="115"/>
    <n v="117157"/>
    <n v="11023653.601"/>
    <n v="159"/>
    <n v="84442.767295597485"/>
    <n v="10985480.48"/>
    <n v="164"/>
    <n v="88705.152439024387"/>
    <n v="11902883.139"/>
    <n v="59"/>
    <n v="73171.288135593219"/>
    <n v="3532256.1292000003"/>
    <n v="63"/>
    <n v="77287.476190476184"/>
    <n v="3983906.6202000002"/>
    <m/>
    <m/>
    <n v="0"/>
    <m/>
    <m/>
    <n v="0"/>
    <m/>
    <m/>
    <n v="0"/>
    <m/>
    <m/>
    <n v="0"/>
  </r>
  <r>
    <x v="0"/>
    <s v="University of Alabama in Huntsville"/>
    <s v="Met the criteria for Four-Year 3 in 2010-11."/>
    <n v="100706"/>
    <x v="1"/>
    <n v="62"/>
    <n v="105593.08064516129"/>
    <n v="6546771"/>
    <n v="61"/>
    <n v="112870.4918032787"/>
    <n v="6885100"/>
    <n v="80"/>
    <n v="79203.574999999997"/>
    <n v="6336286"/>
    <n v="77"/>
    <n v="82463.58441558441"/>
    <n v="6349696"/>
    <n v="82"/>
    <n v="64947.402439024387"/>
    <n v="5325687"/>
    <n v="84"/>
    <n v="68468.166666666672"/>
    <n v="5751326"/>
    <n v="13"/>
    <n v="49537.538461538461"/>
    <n v="643988"/>
    <n v="14"/>
    <n v="51734"/>
    <n v="724276"/>
    <n v="29"/>
    <n v="46144.517241379312"/>
    <n v="1338191"/>
    <n v="30"/>
    <n v="45818.033333333333"/>
    <n v="1374541"/>
    <m/>
    <m/>
    <n v="0"/>
    <m/>
    <m/>
    <n v="0"/>
    <n v="14"/>
    <n v="157617.21428571429"/>
    <n v="1805473.6662000001"/>
    <n v="18"/>
    <n v="147100.16666666666"/>
    <n v="2166432.4146000003"/>
    <n v="9"/>
    <n v="93007.333333333328"/>
    <n v="684887.40120000008"/>
    <n v="9"/>
    <n v="84367.444444444438"/>
    <n v="621264.98739999998"/>
    <n v="3"/>
    <n v="68495.333333333328"/>
    <n v="168128.6452"/>
    <n v="3"/>
    <n v="70423.333333333328"/>
    <n v="172861.114"/>
    <n v="0"/>
    <m/>
    <n v="0"/>
    <m/>
    <m/>
    <n v="0"/>
    <n v="11"/>
    <n v="57670.272727272728"/>
    <n v="519043.98860000004"/>
    <n v="10"/>
    <n v="63162.8"/>
    <n v="516798.02960000001"/>
    <m/>
    <m/>
    <n v="0"/>
    <m/>
    <m/>
    <n v="0"/>
  </r>
  <r>
    <x v="0"/>
    <s v="Alabama Agricultural &amp; Mechanical University"/>
    <m/>
    <n v="100654"/>
    <x v="2"/>
    <n v="34"/>
    <n v="84814.558823529413"/>
    <n v="2883695"/>
    <n v="38"/>
    <n v="83425.236842105267"/>
    <n v="3170159"/>
    <n v="53"/>
    <n v="70266.679245283012"/>
    <n v="3724133.9999999995"/>
    <n v="54"/>
    <n v="66436.518518518526"/>
    <n v="3587572.0000000005"/>
    <n v="109"/>
    <n v="54326.211009174309"/>
    <n v="5921557"/>
    <n v="99"/>
    <n v="54993.909090909088"/>
    <n v="5444397"/>
    <n v="49"/>
    <n v="43632.244897959186"/>
    <n v="2137980"/>
    <n v="40"/>
    <n v="42089.75"/>
    <n v="1683590"/>
    <m/>
    <m/>
    <n v="0"/>
    <m/>
    <m/>
    <n v="0"/>
    <m/>
    <m/>
    <n v="0"/>
    <m/>
    <m/>
    <n v="0"/>
    <n v="15"/>
    <n v="108667.6"/>
    <n v="1333677.4547999999"/>
    <n v="10"/>
    <n v="99836.800000000003"/>
    <n v="816864.69760000007"/>
    <n v="8"/>
    <n v="94602.5"/>
    <n v="619230.12400000007"/>
    <n v="6"/>
    <n v="86760.5"/>
    <n v="425924.64660000004"/>
    <n v="8"/>
    <n v="83487"/>
    <n v="546472.50719999999"/>
    <n v="6"/>
    <n v="67765.166666666672"/>
    <n v="332672.7562"/>
    <n v="0"/>
    <m/>
    <n v="0"/>
    <n v="1"/>
    <n v="73535"/>
    <n v="60166.337"/>
    <m/>
    <m/>
    <n v="0"/>
    <m/>
    <m/>
    <n v="0"/>
    <m/>
    <m/>
    <n v="0"/>
    <m/>
    <m/>
    <n v="0"/>
  </r>
  <r>
    <x v="0"/>
    <s v="Jacksonville State University "/>
    <m/>
    <n v="101480"/>
    <x v="2"/>
    <n v="65"/>
    <n v="77104.661538461543"/>
    <n v="5011803"/>
    <n v="61"/>
    <n v="79145.524590163928"/>
    <n v="4827877"/>
    <n v="70"/>
    <n v="61498.185714285712"/>
    <n v="4304873"/>
    <n v="68"/>
    <n v="64522.279411764706"/>
    <n v="4387515"/>
    <n v="74"/>
    <n v="52794.770270270274"/>
    <n v="3906813.0000000005"/>
    <n v="82"/>
    <n v="54745.048780487807"/>
    <n v="4489094"/>
    <n v="87"/>
    <n v="45997.919540229886"/>
    <n v="4001819"/>
    <n v="83"/>
    <n v="46962.120481927712"/>
    <n v="3897856"/>
    <n v="0"/>
    <m/>
    <n v="0"/>
    <m/>
    <m/>
    <n v="0"/>
    <m/>
    <m/>
    <n v="0"/>
    <m/>
    <m/>
    <n v="0"/>
    <n v="25"/>
    <n v="95260.52"/>
    <n v="1948553.9366000001"/>
    <n v="22"/>
    <n v="98755.454545454544"/>
    <n v="1777637.6840000001"/>
    <n v="3"/>
    <n v="81937.666666666672"/>
    <n v="201124.1966"/>
    <n v="4"/>
    <n v="85170.5"/>
    <n v="278746.01240000001"/>
    <n v="1"/>
    <n v="84000"/>
    <n v="68728.800000000003"/>
    <m/>
    <m/>
    <n v="0"/>
    <n v="1"/>
    <n v="88382"/>
    <n v="72314.152400000006"/>
    <n v="1"/>
    <n v="90913"/>
    <n v="74385.016600000003"/>
    <m/>
    <m/>
    <n v="0"/>
    <m/>
    <m/>
    <n v="0"/>
    <m/>
    <m/>
    <n v="0"/>
    <m/>
    <m/>
    <n v="0"/>
  </r>
  <r>
    <x v="0"/>
    <s v="Troy University"/>
    <m/>
    <n v="102368"/>
    <x v="2"/>
    <n v="41"/>
    <n v="74425.658536585368"/>
    <n v="3051452"/>
    <n v="39"/>
    <n v="79341.205128205125"/>
    <n v="3094307"/>
    <n v="66"/>
    <n v="64259.696969696968"/>
    <n v="4241140"/>
    <n v="73"/>
    <n v="67724.479452054788"/>
    <n v="4943886.9999999991"/>
    <n v="128"/>
    <n v="54718.1171875"/>
    <n v="7003919"/>
    <n v="135"/>
    <n v="58428.62222222222"/>
    <n v="7887864"/>
    <n v="8"/>
    <n v="41606.625"/>
    <n v="332853"/>
    <n v="8"/>
    <n v="43711.75"/>
    <n v="349694"/>
    <n v="51"/>
    <n v="43292.156862745098"/>
    <n v="2207900"/>
    <n v="52"/>
    <n v="45553.673076923078"/>
    <n v="2368791"/>
    <m/>
    <m/>
    <n v="0"/>
    <m/>
    <m/>
    <n v="0"/>
    <n v="40"/>
    <n v="95214.024999999994"/>
    <n v="3116164.6102"/>
    <n v="26"/>
    <n v="91501"/>
    <n v="1946519.0732"/>
    <n v="40"/>
    <n v="83431.3"/>
    <n v="2730539.5863999999"/>
    <n v="31"/>
    <n v="77781.193548387091"/>
    <n v="1972857.7494000001"/>
    <n v="35"/>
    <n v="61924.514285714286"/>
    <n v="1773332.3156000001"/>
    <n v="31"/>
    <n v="67317.354838709682"/>
    <n v="1707450.8516000002"/>
    <n v="6"/>
    <n v="46432.166666666664"/>
    <n v="227944.79260000002"/>
    <n v="7"/>
    <n v="48331.142857142855"/>
    <n v="276811.78760000004"/>
    <n v="18"/>
    <n v="41458.777777777781"/>
    <n v="610588.29560000007"/>
    <n v="18"/>
    <n v="45267.388888888891"/>
    <n v="666679.99660000007"/>
    <m/>
    <m/>
    <n v="0"/>
    <m/>
    <m/>
    <n v="0"/>
  </r>
  <r>
    <x v="0"/>
    <s v="University of South Alabama"/>
    <m/>
    <n v="102094"/>
    <x v="2"/>
    <n v="72"/>
    <n v="88060.416666666672"/>
    <n v="6340350"/>
    <n v="71"/>
    <n v="90444.718309859149"/>
    <n v="6421575"/>
    <n v="85"/>
    <n v="65650.75294117647"/>
    <n v="5580314"/>
    <n v="102"/>
    <n v="67523"/>
    <n v="6887346"/>
    <n v="106"/>
    <n v="55380.547169811318"/>
    <n v="5870338"/>
    <n v="97"/>
    <n v="57019.85567010309"/>
    <n v="5530926"/>
    <n v="64"/>
    <n v="43305.640625"/>
    <n v="2771561"/>
    <n v="67"/>
    <n v="44646.029850746272"/>
    <n v="2991284"/>
    <n v="1"/>
    <n v="47881"/>
    <n v="47881"/>
    <n v="1"/>
    <n v="49078"/>
    <n v="49078"/>
    <m/>
    <m/>
    <n v="0"/>
    <m/>
    <m/>
    <n v="0"/>
    <n v="47"/>
    <n v="100651.82978723405"/>
    <n v="3870606.3752000001"/>
    <n v="47"/>
    <n v="104061.87234042553"/>
    <n v="4001740.9256000002"/>
    <n v="27"/>
    <n v="84719.037037037036"/>
    <n v="1871562.1348000001"/>
    <n v="28"/>
    <n v="89730.892857142855"/>
    <n v="2055698.8630000001"/>
    <n v="51"/>
    <n v="74455.627450980392"/>
    <n v="3106899.3134000003"/>
    <n v="45"/>
    <n v="77989.399999999994"/>
    <n v="2871491.7185999998"/>
    <n v="61"/>
    <n v="61227.360655737706"/>
    <n v="3055869.8158"/>
    <n v="66"/>
    <n v="63722.681818181816"/>
    <n v="3441101.2853999999"/>
    <m/>
    <m/>
    <n v="0"/>
    <n v="0"/>
    <m/>
    <n v="0"/>
    <m/>
    <m/>
    <n v="0"/>
    <m/>
    <m/>
    <n v="0"/>
  </r>
  <r>
    <x v="0"/>
    <s v="Alabama State University "/>
    <m/>
    <n v="100724"/>
    <x v="3"/>
    <n v="59"/>
    <n v="87086.03389830509"/>
    <n v="5138076"/>
    <n v="61"/>
    <n v="85745.721311475412"/>
    <n v="5230489"/>
    <n v="54"/>
    <n v="67757.555555555562"/>
    <n v="3658908.0000000005"/>
    <n v="52"/>
    <n v="68973"/>
    <n v="3586596"/>
    <n v="76"/>
    <n v="56013.447368421053"/>
    <n v="4257022"/>
    <n v="75"/>
    <n v="56116.906666666669"/>
    <n v="4208768"/>
    <n v="53"/>
    <n v="46175.622641509435"/>
    <n v="2447308"/>
    <n v="49"/>
    <n v="46151.551020408166"/>
    <n v="2261426"/>
    <m/>
    <m/>
    <n v="0"/>
    <m/>
    <m/>
    <n v="0"/>
    <m/>
    <m/>
    <n v="0"/>
    <m/>
    <m/>
    <n v="0"/>
    <n v="1"/>
    <n v="76752"/>
    <n v="62798.486400000002"/>
    <n v="3"/>
    <n v="99084.666666666672"/>
    <n v="243213.22280000002"/>
    <n v="2"/>
    <n v="72855"/>
    <n v="119219.92200000001"/>
    <n v="7"/>
    <n v="85506.857142857145"/>
    <n v="489731.97360000003"/>
    <n v="4"/>
    <n v="67091"/>
    <n v="219575.42480000001"/>
    <n v="4"/>
    <n v="85417.75"/>
    <n v="279555.21220000001"/>
    <n v="4"/>
    <n v="47257.5"/>
    <n v="154664.34600000002"/>
    <n v="5"/>
    <n v="51042.400000000001"/>
    <n v="208814.4584"/>
    <m/>
    <m/>
    <n v="0"/>
    <n v="0"/>
    <m/>
    <n v="0"/>
    <m/>
    <m/>
    <n v="0"/>
    <m/>
    <m/>
    <n v="0"/>
  </r>
  <r>
    <x v="0"/>
    <s v="Auburn University at Montgomery"/>
    <m/>
    <n v="100830"/>
    <x v="3"/>
    <n v="37"/>
    <n v="81686.810810810814"/>
    <n v="3022412"/>
    <n v="42"/>
    <n v="81671.904761904763"/>
    <n v="3430220"/>
    <n v="49"/>
    <n v="64441.428571428572"/>
    <n v="3157630"/>
    <n v="47"/>
    <n v="67226.914893617024"/>
    <n v="3159665"/>
    <n v="52"/>
    <n v="52586.153846153844"/>
    <n v="2734480"/>
    <n v="51"/>
    <n v="51185.568627450979"/>
    <n v="2610464"/>
    <n v="6"/>
    <n v="36500"/>
    <n v="219000"/>
    <n v="16"/>
    <n v="37535.6875"/>
    <n v="600571"/>
    <m/>
    <m/>
    <n v="0"/>
    <m/>
    <m/>
    <n v="0"/>
    <m/>
    <m/>
    <n v="0"/>
    <m/>
    <m/>
    <n v="0"/>
    <n v="9"/>
    <n v="89784.777777777781"/>
    <n v="661157.14659999998"/>
    <n v="11"/>
    <n v="104829.36363636363"/>
    <n v="943485.23860000004"/>
    <n v="14"/>
    <n v="87504.857142857145"/>
    <n v="1002350.6376"/>
    <n v="15"/>
    <n v="88674.066666666666"/>
    <n v="1088296.8202"/>
    <n v="7"/>
    <n v="64331.714285714283"/>
    <n v="368453.46040000004"/>
    <n v="12"/>
    <n v="63886.833333333336"/>
    <n v="627266.48440000007"/>
    <n v="4"/>
    <n v="54919"/>
    <n v="179738.9032"/>
    <n v="3"/>
    <n v="52452.333333333336"/>
    <n v="128749.49740000001"/>
    <n v="2"/>
    <n v="90660"/>
    <n v="148356.024"/>
    <n v="1"/>
    <n v="81736"/>
    <n v="66876.395199999999"/>
    <m/>
    <m/>
    <n v="0"/>
    <m/>
    <m/>
    <n v="0"/>
  </r>
  <r>
    <x v="0"/>
    <s v="University of North Alabama"/>
    <m/>
    <n v="101879"/>
    <x v="3"/>
    <n v="74"/>
    <n v="76153.689189189186"/>
    <n v="5635373"/>
    <n v="78"/>
    <n v="78557.397435897437"/>
    <n v="6127477"/>
    <n v="52"/>
    <n v="65875.153846153844"/>
    <n v="3425508"/>
    <n v="48"/>
    <n v="67588.020833333328"/>
    <n v="3244225"/>
    <n v="79"/>
    <n v="54918.810126582277"/>
    <n v="4338586"/>
    <n v="75"/>
    <n v="56298.746666666666"/>
    <n v="4222406"/>
    <n v="24"/>
    <n v="47679.458333333336"/>
    <n v="1144307"/>
    <n v="23"/>
    <n v="49584.739130434784"/>
    <n v="1140449"/>
    <m/>
    <m/>
    <n v="0"/>
    <m/>
    <m/>
    <n v="0"/>
    <m/>
    <m/>
    <n v="0"/>
    <m/>
    <m/>
    <n v="0"/>
    <n v="5"/>
    <n v="90974.6"/>
    <n v="372177.08860000002"/>
    <n v="3"/>
    <n v="93735"/>
    <n v="230081.93100000001"/>
    <m/>
    <m/>
    <n v="0"/>
    <n v="1"/>
    <n v="82299"/>
    <n v="67337.041800000006"/>
    <n v="4"/>
    <n v="65743.75"/>
    <n v="215166.14500000002"/>
    <n v="3"/>
    <n v="65831"/>
    <n v="161588.7726"/>
    <m/>
    <m/>
    <n v="0"/>
    <n v="1"/>
    <n v="40436"/>
    <n v="33084.735200000003"/>
    <m/>
    <m/>
    <n v="0"/>
    <m/>
    <m/>
    <n v="0"/>
    <m/>
    <m/>
    <n v="0"/>
    <m/>
    <m/>
    <n v="0"/>
  </r>
  <r>
    <x v="0"/>
    <s v="University of Montevallo"/>
    <m/>
    <n v="101709"/>
    <x v="4"/>
    <n v="34"/>
    <n v="75971.470588235301"/>
    <n v="2583030"/>
    <n v="32"/>
    <n v="77687"/>
    <n v="2485984"/>
    <n v="42"/>
    <n v="61071.761904761908"/>
    <n v="2565014"/>
    <n v="43"/>
    <n v="59897.046511627908"/>
    <n v="2575573"/>
    <n v="52"/>
    <n v="49170.538461538461"/>
    <n v="2556868"/>
    <n v="47"/>
    <n v="51219.893617021276"/>
    <n v="2407335"/>
    <n v="3"/>
    <n v="42909"/>
    <n v="128727"/>
    <n v="3"/>
    <n v="47747.666666666664"/>
    <n v="143243"/>
    <m/>
    <m/>
    <n v="0"/>
    <m/>
    <m/>
    <n v="0"/>
    <m/>
    <m/>
    <n v="0"/>
    <m/>
    <m/>
    <n v="0"/>
    <m/>
    <m/>
    <n v="0"/>
    <m/>
    <m/>
    <n v="0"/>
    <m/>
    <m/>
    <n v="0"/>
    <m/>
    <m/>
    <n v="0"/>
    <m/>
    <m/>
    <n v="0"/>
    <m/>
    <m/>
    <n v="0"/>
    <m/>
    <m/>
    <n v="0"/>
    <m/>
    <m/>
    <n v="0"/>
    <m/>
    <m/>
    <n v="0"/>
    <m/>
    <m/>
    <n v="0"/>
    <m/>
    <m/>
    <n v="0"/>
    <m/>
    <m/>
    <n v="0"/>
  </r>
  <r>
    <x v="0"/>
    <s v="University of West Alabama"/>
    <m/>
    <n v="101587"/>
    <x v="4"/>
    <n v="27"/>
    <n v="61491.296296296299"/>
    <n v="1660265"/>
    <n v="13"/>
    <n v="72260.153846153844"/>
    <n v="939382"/>
    <n v="24"/>
    <n v="62906.333333333336"/>
    <n v="1509752"/>
    <n v="21"/>
    <n v="61986.047619047618"/>
    <n v="1301707"/>
    <n v="45"/>
    <n v="49731.244444444441"/>
    <n v="2237906"/>
    <n v="57"/>
    <n v="49249.631578947367"/>
    <n v="2807229"/>
    <n v="9"/>
    <n v="41163.777777777781"/>
    <n v="370474"/>
    <n v="12"/>
    <n v="40373.5"/>
    <n v="484482"/>
    <n v="5"/>
    <n v="31210.400000000001"/>
    <n v="156052"/>
    <n v="5"/>
    <n v="31210.400000000001"/>
    <n v="156052"/>
    <m/>
    <m/>
    <n v="0"/>
    <m/>
    <m/>
    <n v="0"/>
    <m/>
    <m/>
    <n v="0"/>
    <m/>
    <m/>
    <n v="0"/>
    <m/>
    <m/>
    <n v="0"/>
    <m/>
    <m/>
    <n v="0"/>
    <m/>
    <m/>
    <n v="0"/>
    <m/>
    <m/>
    <n v="0"/>
    <m/>
    <m/>
    <n v="0"/>
    <m/>
    <m/>
    <n v="0"/>
    <n v="3"/>
    <n v="31000"/>
    <n v="76092.600000000006"/>
    <n v="4"/>
    <n v="123000"/>
    <n v="402554.4"/>
    <m/>
    <m/>
    <n v="0"/>
    <m/>
    <m/>
    <n v="0"/>
  </r>
  <r>
    <x v="0"/>
    <s v="Athens State University"/>
    <m/>
    <n v="100812"/>
    <x v="5"/>
    <n v="17"/>
    <n v="84287"/>
    <n v="1432879"/>
    <n v="16"/>
    <n v="84454.5625"/>
    <n v="1351273"/>
    <n v="16"/>
    <n v="70319.5"/>
    <n v="1125112"/>
    <n v="17"/>
    <n v="73266.76470588235"/>
    <n v="1245535"/>
    <n v="39"/>
    <n v="60620.256410256414"/>
    <n v="2364190"/>
    <n v="35"/>
    <n v="60361.857142857145"/>
    <n v="2112665"/>
    <n v="2"/>
    <n v="63018"/>
    <n v="126036"/>
    <n v="1"/>
    <n v="59858"/>
    <n v="59858"/>
    <m/>
    <m/>
    <n v="0"/>
    <m/>
    <m/>
    <n v="0"/>
    <m/>
    <m/>
    <n v="0"/>
    <m/>
    <m/>
    <n v="0"/>
    <n v="4"/>
    <n v="104502.25"/>
    <n v="342014.96380000003"/>
    <n v="4"/>
    <n v="104502.25"/>
    <n v="342014.96380000003"/>
    <n v="4"/>
    <n v="91814"/>
    <n v="300488.85920000001"/>
    <n v="6"/>
    <n v="90312.5"/>
    <n v="443362.125"/>
    <n v="3"/>
    <n v="82174"/>
    <n v="201704.30040000001"/>
    <n v="4"/>
    <n v="83604.5"/>
    <n v="273620.8076"/>
    <n v="1"/>
    <n v="22000"/>
    <n v="18000.400000000001"/>
    <n v="2"/>
    <n v="46346.5"/>
    <n v="75841.412600000011"/>
    <m/>
    <m/>
    <n v="0"/>
    <m/>
    <m/>
    <n v="0"/>
    <m/>
    <m/>
    <n v="0"/>
    <m/>
    <m/>
    <n v="0"/>
  </r>
  <r>
    <x v="0"/>
    <s v="Gadsden State Community College"/>
    <s v="Reclassified: Met the criteria for Two-Year 1 in 2009-10, 2010-11 and 2011-12."/>
    <n v="101240"/>
    <x v="6"/>
    <m/>
    <m/>
    <n v="0"/>
    <m/>
    <m/>
    <n v="0"/>
    <m/>
    <m/>
    <n v="0"/>
    <m/>
    <m/>
    <n v="0"/>
    <m/>
    <m/>
    <n v="0"/>
    <m/>
    <m/>
    <n v="0"/>
    <m/>
    <m/>
    <n v="0"/>
    <m/>
    <m/>
    <n v="0"/>
    <m/>
    <m/>
    <n v="0"/>
    <m/>
    <m/>
    <n v="0"/>
    <n v="152"/>
    <n v="53533.230263157893"/>
    <n v="8137051"/>
    <n v="152"/>
    <n v="54025.868421052633"/>
    <n v="8211932"/>
    <m/>
    <m/>
    <n v="0"/>
    <m/>
    <m/>
    <n v="0"/>
    <m/>
    <m/>
    <n v="0"/>
    <m/>
    <m/>
    <n v="0"/>
    <m/>
    <m/>
    <n v="0"/>
    <m/>
    <m/>
    <n v="0"/>
    <m/>
    <m/>
    <n v="0"/>
    <m/>
    <m/>
    <n v="0"/>
    <m/>
    <m/>
    <n v="0"/>
    <m/>
    <m/>
    <n v="0"/>
    <n v="1"/>
    <n v="90487"/>
    <n v="74036.463400000008"/>
    <n v="1"/>
    <n v="90487"/>
    <n v="74036.463400000008"/>
  </r>
  <r>
    <x v="0"/>
    <s v="Jefferson State Community College"/>
    <m/>
    <n v="101505"/>
    <x v="6"/>
    <m/>
    <m/>
    <n v="0"/>
    <m/>
    <m/>
    <n v="0"/>
    <m/>
    <m/>
    <n v="0"/>
    <m/>
    <m/>
    <n v="0"/>
    <m/>
    <m/>
    <n v="0"/>
    <m/>
    <m/>
    <n v="0"/>
    <m/>
    <m/>
    <n v="0"/>
    <m/>
    <m/>
    <n v="0"/>
    <m/>
    <m/>
    <n v="0"/>
    <m/>
    <m/>
    <n v="0"/>
    <n v="120"/>
    <n v="53171.566666666666"/>
    <n v="6380588"/>
    <n v="120"/>
    <n v="53864.95"/>
    <n v="6463794"/>
    <m/>
    <m/>
    <n v="0"/>
    <m/>
    <m/>
    <n v="0"/>
    <m/>
    <m/>
    <n v="0"/>
    <m/>
    <m/>
    <n v="0"/>
    <m/>
    <m/>
    <n v="0"/>
    <m/>
    <m/>
    <n v="0"/>
    <m/>
    <m/>
    <n v="0"/>
    <m/>
    <m/>
    <n v="0"/>
    <m/>
    <m/>
    <n v="0"/>
    <m/>
    <m/>
    <n v="0"/>
    <n v="16"/>
    <n v="60408.4375"/>
    <n v="790818.93700000003"/>
    <n v="12"/>
    <n v="66966.833333333328"/>
    <n v="657507.15639999998"/>
  </r>
  <r>
    <x v="0"/>
    <s v="John C. Calhoun State Community College "/>
    <m/>
    <n v="101514"/>
    <x v="6"/>
    <m/>
    <m/>
    <n v="0"/>
    <m/>
    <m/>
    <n v="0"/>
    <m/>
    <m/>
    <n v="0"/>
    <m/>
    <m/>
    <n v="0"/>
    <m/>
    <m/>
    <n v="0"/>
    <m/>
    <m/>
    <n v="0"/>
    <m/>
    <m/>
    <n v="0"/>
    <m/>
    <m/>
    <n v="0"/>
    <m/>
    <m/>
    <n v="0"/>
    <m/>
    <m/>
    <n v="0"/>
    <n v="145"/>
    <n v="54137.331034482755"/>
    <n v="7849912.9999999991"/>
    <n v="147"/>
    <n v="54486.462585034016"/>
    <n v="8009510"/>
    <m/>
    <m/>
    <n v="0"/>
    <m/>
    <m/>
    <n v="0"/>
    <m/>
    <m/>
    <n v="0"/>
    <m/>
    <m/>
    <n v="0"/>
    <m/>
    <m/>
    <n v="0"/>
    <m/>
    <m/>
    <n v="0"/>
    <m/>
    <m/>
    <n v="0"/>
    <m/>
    <m/>
    <n v="0"/>
    <m/>
    <m/>
    <n v="0"/>
    <m/>
    <m/>
    <n v="0"/>
    <m/>
    <m/>
    <n v="0"/>
    <n v="1"/>
    <n v="31841"/>
    <n v="26052.306200000003"/>
  </r>
  <r>
    <x v="0"/>
    <s v="Wallace Community College - Hanceville"/>
    <s v="Reclassified: Met the criteria for Two-Year 1 in 2009-10, 2010-11 and 2011-12."/>
    <n v="101295"/>
    <x v="6"/>
    <m/>
    <m/>
    <n v="0"/>
    <m/>
    <m/>
    <n v="0"/>
    <m/>
    <m/>
    <n v="0"/>
    <m/>
    <m/>
    <n v="0"/>
    <m/>
    <m/>
    <n v="0"/>
    <m/>
    <m/>
    <n v="0"/>
    <m/>
    <m/>
    <n v="0"/>
    <m/>
    <m/>
    <n v="0"/>
    <m/>
    <m/>
    <n v="0"/>
    <m/>
    <m/>
    <n v="0"/>
    <n v="123"/>
    <n v="52211.235772357722"/>
    <n v="6421982"/>
    <n v="122"/>
    <n v="52488.893442622953"/>
    <n v="6403645"/>
    <m/>
    <m/>
    <n v="0"/>
    <m/>
    <m/>
    <n v="0"/>
    <m/>
    <m/>
    <n v="0"/>
    <m/>
    <m/>
    <n v="0"/>
    <m/>
    <m/>
    <n v="0"/>
    <m/>
    <m/>
    <n v="0"/>
    <m/>
    <m/>
    <n v="0"/>
    <m/>
    <m/>
    <n v="0"/>
    <m/>
    <m/>
    <n v="0"/>
    <m/>
    <m/>
    <n v="0"/>
    <n v="4"/>
    <n v="42430.25"/>
    <n v="138865.72220000002"/>
    <n v="5"/>
    <n v="51125.8"/>
    <n v="209155.64780000001"/>
  </r>
  <r>
    <x v="0"/>
    <s v="Bevill State Community College"/>
    <m/>
    <n v="102429"/>
    <x v="7"/>
    <m/>
    <m/>
    <n v="0"/>
    <m/>
    <m/>
    <n v="0"/>
    <m/>
    <m/>
    <n v="0"/>
    <m/>
    <m/>
    <n v="0"/>
    <m/>
    <m/>
    <n v="0"/>
    <m/>
    <m/>
    <n v="0"/>
    <m/>
    <m/>
    <n v="0"/>
    <m/>
    <m/>
    <n v="0"/>
    <m/>
    <m/>
    <n v="0"/>
    <m/>
    <m/>
    <n v="0"/>
    <n v="114"/>
    <n v="56041.26315789474"/>
    <n v="6388704"/>
    <n v="114"/>
    <n v="54485.192982456138"/>
    <n v="6211312"/>
    <m/>
    <m/>
    <n v="0"/>
    <m/>
    <m/>
    <n v="0"/>
    <m/>
    <m/>
    <n v="0"/>
    <m/>
    <m/>
    <n v="0"/>
    <m/>
    <m/>
    <n v="0"/>
    <m/>
    <m/>
    <n v="0"/>
    <m/>
    <m/>
    <n v="0"/>
    <m/>
    <m/>
    <n v="0"/>
    <m/>
    <m/>
    <n v="0"/>
    <m/>
    <m/>
    <n v="0"/>
    <n v="5"/>
    <n v="23447.599999999999"/>
    <n v="95924.131600000008"/>
    <n v="1"/>
    <n v="33792"/>
    <n v="27648.614400000002"/>
  </r>
  <r>
    <x v="0"/>
    <s v="Bishop State Community College"/>
    <m/>
    <n v="102030"/>
    <x v="7"/>
    <m/>
    <m/>
    <n v="0"/>
    <m/>
    <m/>
    <n v="0"/>
    <m/>
    <m/>
    <n v="0"/>
    <m/>
    <m/>
    <n v="0"/>
    <m/>
    <m/>
    <n v="0"/>
    <m/>
    <m/>
    <n v="0"/>
    <m/>
    <m/>
    <n v="0"/>
    <m/>
    <m/>
    <n v="0"/>
    <m/>
    <m/>
    <n v="0"/>
    <m/>
    <m/>
    <n v="0"/>
    <n v="82"/>
    <n v="55248.341463414632"/>
    <n v="4530364"/>
    <n v="80"/>
    <n v="54785.087500000001"/>
    <n v="4382807"/>
    <m/>
    <m/>
    <n v="0"/>
    <m/>
    <m/>
    <n v="0"/>
    <m/>
    <m/>
    <n v="0"/>
    <m/>
    <m/>
    <n v="0"/>
    <m/>
    <m/>
    <n v="0"/>
    <m/>
    <m/>
    <n v="0"/>
    <m/>
    <m/>
    <n v="0"/>
    <m/>
    <m/>
    <n v="0"/>
    <m/>
    <m/>
    <n v="0"/>
    <m/>
    <m/>
    <n v="0"/>
    <n v="9"/>
    <n v="51090.888888888891"/>
    <n v="376223.08760000003"/>
    <n v="6"/>
    <n v="51399.5"/>
    <n v="252330.42540000001"/>
  </r>
  <r>
    <x v="0"/>
    <s v="Central Alabama Community College"/>
    <s v="Reclassified: Met the criteria for Two-Year 2 in 2009-10, 2010-11 and 2011-12."/>
    <n v="100760"/>
    <x v="7"/>
    <m/>
    <m/>
    <n v="0"/>
    <m/>
    <m/>
    <n v="0"/>
    <m/>
    <m/>
    <n v="0"/>
    <m/>
    <m/>
    <n v="0"/>
    <m/>
    <m/>
    <n v="0"/>
    <m/>
    <m/>
    <n v="0"/>
    <m/>
    <m/>
    <n v="0"/>
    <m/>
    <m/>
    <n v="0"/>
    <m/>
    <m/>
    <n v="0"/>
    <m/>
    <m/>
    <n v="0"/>
    <n v="52"/>
    <n v="54204.788461538461"/>
    <n v="2818649"/>
    <n v="55"/>
    <n v="53784.854545454546"/>
    <n v="2958167"/>
    <m/>
    <m/>
    <n v="0"/>
    <m/>
    <m/>
    <n v="0"/>
    <m/>
    <m/>
    <n v="0"/>
    <m/>
    <m/>
    <n v="0"/>
    <m/>
    <m/>
    <n v="0"/>
    <m/>
    <m/>
    <n v="0"/>
    <m/>
    <m/>
    <n v="0"/>
    <m/>
    <m/>
    <n v="0"/>
    <m/>
    <m/>
    <n v="0"/>
    <m/>
    <m/>
    <n v="0"/>
    <n v="4"/>
    <n v="67093.5"/>
    <n v="219583.60680000001"/>
    <n v="7"/>
    <n v="50992.857142857145"/>
    <n v="292056.49"/>
  </r>
  <r>
    <x v="0"/>
    <s v="Enterprise-Ozark Community College"/>
    <s v="Reclassified: Met the criteria for Two-Year 2 in 2009-10, 2010-11 and 2011-12. Formerly listed as Enterprise-Ozark Community College -- name changed in 2009."/>
    <n v="101143"/>
    <x v="7"/>
    <m/>
    <m/>
    <n v="0"/>
    <m/>
    <m/>
    <n v="0"/>
    <m/>
    <m/>
    <n v="0"/>
    <m/>
    <m/>
    <n v="0"/>
    <m/>
    <m/>
    <n v="0"/>
    <m/>
    <m/>
    <n v="0"/>
    <m/>
    <m/>
    <n v="0"/>
    <m/>
    <m/>
    <n v="0"/>
    <m/>
    <m/>
    <n v="0"/>
    <m/>
    <m/>
    <n v="0"/>
    <n v="69"/>
    <n v="51427.304347826088"/>
    <n v="3548484"/>
    <n v="65"/>
    <n v="51909.523076923077"/>
    <n v="3374119"/>
    <m/>
    <m/>
    <n v="0"/>
    <m/>
    <m/>
    <n v="0"/>
    <m/>
    <m/>
    <n v="0"/>
    <m/>
    <m/>
    <n v="0"/>
    <m/>
    <m/>
    <n v="0"/>
    <m/>
    <m/>
    <n v="0"/>
    <m/>
    <m/>
    <n v="0"/>
    <m/>
    <m/>
    <n v="0"/>
    <m/>
    <m/>
    <n v="0"/>
    <m/>
    <m/>
    <n v="0"/>
    <m/>
    <m/>
    <n v="0"/>
    <n v="2"/>
    <n v="44251.5"/>
    <n v="72413.154600000009"/>
  </r>
  <r>
    <x v="0"/>
    <s v="George C. Wallace State Community College - Dothan"/>
    <m/>
    <n v="101286"/>
    <x v="7"/>
    <m/>
    <m/>
    <n v="0"/>
    <m/>
    <m/>
    <n v="0"/>
    <m/>
    <m/>
    <n v="0"/>
    <m/>
    <m/>
    <n v="0"/>
    <m/>
    <m/>
    <n v="0"/>
    <m/>
    <m/>
    <n v="0"/>
    <m/>
    <m/>
    <n v="0"/>
    <m/>
    <m/>
    <n v="0"/>
    <m/>
    <m/>
    <n v="0"/>
    <m/>
    <m/>
    <n v="0"/>
    <n v="124"/>
    <n v="50961.645161290326"/>
    <n v="6319244"/>
    <n v="126"/>
    <n v="50909.444444444445"/>
    <n v="6414590"/>
    <m/>
    <m/>
    <n v="0"/>
    <m/>
    <m/>
    <n v="0"/>
    <m/>
    <m/>
    <n v="0"/>
    <m/>
    <m/>
    <n v="0"/>
    <m/>
    <m/>
    <n v="0"/>
    <m/>
    <m/>
    <n v="0"/>
    <m/>
    <m/>
    <n v="0"/>
    <m/>
    <m/>
    <n v="0"/>
    <m/>
    <m/>
    <n v="0"/>
    <m/>
    <m/>
    <n v="0"/>
    <n v="3"/>
    <n v="71805"/>
    <n v="176252.55300000001"/>
    <n v="2"/>
    <n v="40500"/>
    <n v="66274.2"/>
  </r>
  <r>
    <x v="0"/>
    <s v="James H. Faulkner State Community College"/>
    <m/>
    <n v="101161"/>
    <x v="7"/>
    <m/>
    <m/>
    <n v="0"/>
    <m/>
    <m/>
    <n v="0"/>
    <m/>
    <m/>
    <n v="0"/>
    <m/>
    <m/>
    <n v="0"/>
    <m/>
    <m/>
    <n v="0"/>
    <m/>
    <m/>
    <n v="0"/>
    <m/>
    <m/>
    <n v="0"/>
    <m/>
    <m/>
    <n v="0"/>
    <m/>
    <m/>
    <n v="0"/>
    <m/>
    <m/>
    <n v="0"/>
    <n v="61"/>
    <n v="53318.229508196724"/>
    <n v="3252412"/>
    <n v="62"/>
    <n v="53446.596774193546"/>
    <n v="3313689"/>
    <m/>
    <m/>
    <n v="0"/>
    <m/>
    <m/>
    <n v="0"/>
    <m/>
    <m/>
    <n v="0"/>
    <m/>
    <m/>
    <n v="0"/>
    <m/>
    <m/>
    <n v="0"/>
    <m/>
    <m/>
    <n v="0"/>
    <m/>
    <m/>
    <n v="0"/>
    <m/>
    <m/>
    <n v="0"/>
    <m/>
    <m/>
    <n v="0"/>
    <m/>
    <m/>
    <n v="0"/>
    <n v="10"/>
    <n v="79222.3"/>
    <n v="648196.85860000004"/>
    <n v="12"/>
    <n v="73173.5"/>
    <n v="718446.69240000006"/>
  </r>
  <r>
    <x v="0"/>
    <s v="Lawson State Community College "/>
    <m/>
    <n v="101569"/>
    <x v="7"/>
    <m/>
    <m/>
    <n v="0"/>
    <m/>
    <m/>
    <n v="0"/>
    <m/>
    <m/>
    <n v="0"/>
    <m/>
    <m/>
    <n v="0"/>
    <m/>
    <m/>
    <n v="0"/>
    <m/>
    <m/>
    <n v="0"/>
    <m/>
    <m/>
    <n v="0"/>
    <m/>
    <m/>
    <n v="0"/>
    <m/>
    <m/>
    <n v="0"/>
    <m/>
    <m/>
    <n v="0"/>
    <n v="95"/>
    <n v="53957.715789473681"/>
    <n v="5125983"/>
    <n v="95"/>
    <n v="54223.57894736842"/>
    <n v="5151240"/>
    <m/>
    <m/>
    <n v="0"/>
    <m/>
    <m/>
    <n v="0"/>
    <m/>
    <m/>
    <n v="0"/>
    <m/>
    <m/>
    <n v="0"/>
    <m/>
    <m/>
    <n v="0"/>
    <m/>
    <m/>
    <n v="0"/>
    <m/>
    <m/>
    <n v="0"/>
    <m/>
    <m/>
    <n v="0"/>
    <m/>
    <m/>
    <n v="0"/>
    <m/>
    <m/>
    <n v="0"/>
    <m/>
    <m/>
    <n v="0"/>
    <m/>
    <m/>
    <n v="0"/>
  </r>
  <r>
    <x v="0"/>
    <s v="Northeast Alabama State Community College "/>
    <s v="Reclassified: met the criteria for Two-Year 2 in 2008-09, 2009-10 and 2010-11."/>
    <n v="101897"/>
    <x v="7"/>
    <m/>
    <m/>
    <n v="0"/>
    <m/>
    <m/>
    <n v="0"/>
    <m/>
    <m/>
    <n v="0"/>
    <m/>
    <m/>
    <n v="0"/>
    <m/>
    <m/>
    <n v="0"/>
    <m/>
    <m/>
    <n v="0"/>
    <m/>
    <m/>
    <n v="0"/>
    <m/>
    <m/>
    <n v="0"/>
    <m/>
    <m/>
    <n v="0"/>
    <m/>
    <m/>
    <n v="0"/>
    <n v="39"/>
    <n v="55499.230769230766"/>
    <n v="2164470"/>
    <n v="45"/>
    <n v="54543.688888888886"/>
    <n v="2454466"/>
    <m/>
    <m/>
    <n v="0"/>
    <m/>
    <m/>
    <n v="0"/>
    <m/>
    <m/>
    <n v="0"/>
    <m/>
    <m/>
    <n v="0"/>
    <m/>
    <m/>
    <n v="0"/>
    <m/>
    <m/>
    <n v="0"/>
    <m/>
    <m/>
    <n v="0"/>
    <m/>
    <m/>
    <n v="0"/>
    <m/>
    <m/>
    <n v="0"/>
    <m/>
    <m/>
    <n v="0"/>
    <n v="12"/>
    <n v="70001.333333333328"/>
    <n v="687301.09120000002"/>
    <n v="12"/>
    <n v="71484.916666666672"/>
    <n v="701867.50580000004"/>
  </r>
  <r>
    <x v="0"/>
    <s v="Northwest-Shoals Community College"/>
    <m/>
    <n v="101736"/>
    <x v="7"/>
    <m/>
    <m/>
    <n v="0"/>
    <m/>
    <m/>
    <n v="0"/>
    <m/>
    <m/>
    <n v="0"/>
    <m/>
    <m/>
    <n v="0"/>
    <m/>
    <m/>
    <n v="0"/>
    <m/>
    <m/>
    <n v="0"/>
    <m/>
    <m/>
    <n v="0"/>
    <m/>
    <m/>
    <n v="0"/>
    <m/>
    <m/>
    <n v="0"/>
    <m/>
    <m/>
    <n v="0"/>
    <n v="81"/>
    <n v="54319.444444444445"/>
    <n v="4399875"/>
    <n v="74"/>
    <n v="55235.891891891893"/>
    <n v="4087456"/>
    <m/>
    <m/>
    <n v="0"/>
    <m/>
    <m/>
    <n v="0"/>
    <m/>
    <m/>
    <n v="0"/>
    <m/>
    <m/>
    <n v="0"/>
    <m/>
    <m/>
    <n v="0"/>
    <m/>
    <m/>
    <n v="0"/>
    <m/>
    <m/>
    <n v="0"/>
    <m/>
    <m/>
    <n v="0"/>
    <m/>
    <m/>
    <n v="0"/>
    <m/>
    <m/>
    <n v="0"/>
    <n v="8"/>
    <n v="49222.625"/>
    <n v="322191.61420000001"/>
    <n v="7"/>
    <n v="48917.285714285717"/>
    <n v="280168.86220000003"/>
  </r>
  <r>
    <x v="0"/>
    <s v="Shelton State Community College"/>
    <s v="Met the criteria for Two-Year 1 in 2010-11."/>
    <n v="102067"/>
    <x v="7"/>
    <m/>
    <m/>
    <n v="0"/>
    <m/>
    <m/>
    <n v="0"/>
    <m/>
    <m/>
    <n v="0"/>
    <m/>
    <m/>
    <n v="0"/>
    <m/>
    <m/>
    <n v="0"/>
    <m/>
    <m/>
    <n v="0"/>
    <m/>
    <m/>
    <n v="0"/>
    <m/>
    <m/>
    <n v="0"/>
    <m/>
    <m/>
    <n v="0"/>
    <m/>
    <m/>
    <n v="0"/>
    <n v="81"/>
    <n v="54925.888888888891"/>
    <n v="4448997"/>
    <n v="85"/>
    <n v="54425.094117647059"/>
    <n v="4626133"/>
    <m/>
    <m/>
    <n v="0"/>
    <m/>
    <m/>
    <n v="0"/>
    <m/>
    <m/>
    <n v="0"/>
    <m/>
    <m/>
    <n v="0"/>
    <m/>
    <m/>
    <n v="0"/>
    <m/>
    <m/>
    <n v="0"/>
    <m/>
    <m/>
    <n v="0"/>
    <m/>
    <m/>
    <n v="0"/>
    <m/>
    <m/>
    <n v="0"/>
    <m/>
    <m/>
    <n v="0"/>
    <n v="6"/>
    <n v="49602"/>
    <n v="243506.13840000003"/>
    <n v="6"/>
    <n v="55424.5"/>
    <n v="272089.95540000004"/>
  </r>
  <r>
    <x v="0"/>
    <s v="Southern Union State Community College"/>
    <m/>
    <n v="251260"/>
    <x v="7"/>
    <m/>
    <m/>
    <n v="0"/>
    <m/>
    <m/>
    <n v="0"/>
    <m/>
    <m/>
    <n v="0"/>
    <m/>
    <m/>
    <n v="0"/>
    <m/>
    <m/>
    <n v="0"/>
    <m/>
    <m/>
    <n v="0"/>
    <m/>
    <m/>
    <n v="0"/>
    <m/>
    <m/>
    <n v="0"/>
    <m/>
    <m/>
    <n v="0"/>
    <m/>
    <m/>
    <n v="0"/>
    <n v="82"/>
    <n v="51593.024390243903"/>
    <n v="4230628"/>
    <n v="82"/>
    <n v="52271.317073170729"/>
    <n v="4286248"/>
    <m/>
    <m/>
    <n v="0"/>
    <m/>
    <m/>
    <n v="0"/>
    <m/>
    <m/>
    <n v="0"/>
    <m/>
    <m/>
    <n v="0"/>
    <m/>
    <m/>
    <n v="0"/>
    <m/>
    <m/>
    <n v="0"/>
    <m/>
    <m/>
    <n v="0"/>
    <m/>
    <m/>
    <n v="0"/>
    <m/>
    <m/>
    <n v="0"/>
    <m/>
    <m/>
    <n v="0"/>
    <n v="4"/>
    <n v="38890"/>
    <n v="127279.19200000001"/>
    <n v="4"/>
    <n v="43023.25"/>
    <n v="140806.4926"/>
  </r>
  <r>
    <x v="0"/>
    <s v="Alabama Southern Community College"/>
    <m/>
    <n v="101949"/>
    <x v="8"/>
    <m/>
    <m/>
    <n v="0"/>
    <m/>
    <m/>
    <n v="0"/>
    <m/>
    <m/>
    <n v="0"/>
    <m/>
    <m/>
    <n v="0"/>
    <m/>
    <m/>
    <n v="0"/>
    <m/>
    <m/>
    <n v="0"/>
    <m/>
    <m/>
    <n v="0"/>
    <m/>
    <m/>
    <n v="0"/>
    <m/>
    <m/>
    <n v="0"/>
    <m/>
    <m/>
    <n v="0"/>
    <n v="39"/>
    <n v="52220.564102564102"/>
    <n v="2036602"/>
    <n v="42"/>
    <n v="52283.214285714283"/>
    <n v="2195895"/>
    <m/>
    <m/>
    <n v="0"/>
    <m/>
    <m/>
    <n v="0"/>
    <m/>
    <m/>
    <n v="0"/>
    <m/>
    <m/>
    <n v="0"/>
    <m/>
    <m/>
    <n v="0"/>
    <m/>
    <m/>
    <n v="0"/>
    <m/>
    <m/>
    <n v="0"/>
    <m/>
    <m/>
    <n v="0"/>
    <m/>
    <m/>
    <n v="0"/>
    <m/>
    <m/>
    <n v="0"/>
    <n v="17"/>
    <n v="49493.470588235294"/>
    <n v="688424.47980000009"/>
    <n v="16"/>
    <n v="48194"/>
    <n v="630917.29280000005"/>
  </r>
  <r>
    <x v="0"/>
    <s v="Chattahoochee Valley State Community College "/>
    <m/>
    <n v="101028"/>
    <x v="8"/>
    <m/>
    <m/>
    <n v="0"/>
    <m/>
    <m/>
    <n v="0"/>
    <m/>
    <m/>
    <n v="0"/>
    <m/>
    <m/>
    <n v="0"/>
    <m/>
    <m/>
    <n v="0"/>
    <m/>
    <m/>
    <n v="0"/>
    <m/>
    <m/>
    <n v="0"/>
    <m/>
    <m/>
    <n v="0"/>
    <m/>
    <m/>
    <n v="0"/>
    <m/>
    <m/>
    <n v="0"/>
    <n v="34"/>
    <n v="54935.26470588235"/>
    <n v="1867799"/>
    <n v="35"/>
    <n v="53840.971428571429"/>
    <n v="1884434"/>
    <m/>
    <m/>
    <n v="0"/>
    <m/>
    <m/>
    <n v="0"/>
    <m/>
    <m/>
    <n v="0"/>
    <m/>
    <m/>
    <n v="0"/>
    <m/>
    <m/>
    <n v="0"/>
    <m/>
    <m/>
    <n v="0"/>
    <m/>
    <m/>
    <n v="0"/>
    <m/>
    <m/>
    <n v="0"/>
    <m/>
    <m/>
    <n v="0"/>
    <m/>
    <m/>
    <n v="0"/>
    <m/>
    <m/>
    <n v="0"/>
    <m/>
    <m/>
    <n v="0"/>
  </r>
  <r>
    <x v="0"/>
    <s v="George Corley Wallace State Community College - Selma"/>
    <m/>
    <n v="101301"/>
    <x v="8"/>
    <m/>
    <m/>
    <n v="0"/>
    <m/>
    <m/>
    <n v="0"/>
    <m/>
    <m/>
    <n v="0"/>
    <m/>
    <m/>
    <n v="0"/>
    <m/>
    <m/>
    <n v="0"/>
    <m/>
    <m/>
    <n v="0"/>
    <m/>
    <m/>
    <n v="0"/>
    <m/>
    <m/>
    <n v="0"/>
    <m/>
    <m/>
    <n v="0"/>
    <m/>
    <m/>
    <n v="0"/>
    <n v="52"/>
    <n v="50041.865384615383"/>
    <n v="2602177"/>
    <n v="52"/>
    <n v="50856.038461538461"/>
    <n v="2644514"/>
    <m/>
    <m/>
    <n v="0"/>
    <m/>
    <m/>
    <n v="0"/>
    <m/>
    <m/>
    <n v="0"/>
    <m/>
    <m/>
    <n v="0"/>
    <m/>
    <m/>
    <n v="0"/>
    <m/>
    <m/>
    <n v="0"/>
    <m/>
    <m/>
    <n v="0"/>
    <m/>
    <m/>
    <n v="0"/>
    <m/>
    <m/>
    <n v="0"/>
    <m/>
    <m/>
    <n v="0"/>
    <n v="3"/>
    <n v="38447.333333333336"/>
    <n v="94372.824399999998"/>
    <n v="1"/>
    <n v="45887"/>
    <n v="37544.743399999999"/>
  </r>
  <r>
    <x v="0"/>
    <s v="Jefferson Davis Community College"/>
    <m/>
    <n v="101499"/>
    <x v="8"/>
    <m/>
    <m/>
    <n v="0"/>
    <m/>
    <m/>
    <n v="0"/>
    <m/>
    <m/>
    <n v="0"/>
    <m/>
    <m/>
    <n v="0"/>
    <m/>
    <m/>
    <n v="0"/>
    <m/>
    <m/>
    <n v="0"/>
    <m/>
    <m/>
    <n v="0"/>
    <m/>
    <m/>
    <n v="0"/>
    <m/>
    <m/>
    <n v="0"/>
    <m/>
    <m/>
    <n v="0"/>
    <n v="33"/>
    <n v="52716.909090909088"/>
    <n v="1739658"/>
    <n v="34"/>
    <n v="52475.382352941175"/>
    <n v="1784163"/>
    <m/>
    <m/>
    <n v="0"/>
    <m/>
    <m/>
    <n v="0"/>
    <m/>
    <m/>
    <n v="0"/>
    <m/>
    <m/>
    <n v="0"/>
    <m/>
    <m/>
    <n v="0"/>
    <m/>
    <m/>
    <n v="0"/>
    <m/>
    <m/>
    <n v="0"/>
    <m/>
    <m/>
    <n v="0"/>
    <m/>
    <m/>
    <n v="0"/>
    <m/>
    <m/>
    <n v="0"/>
    <n v="4"/>
    <n v="85681.5"/>
    <n v="280418.41320000001"/>
    <n v="2"/>
    <n v="80002"/>
    <n v="130915.27280000001"/>
  </r>
  <r>
    <x v="0"/>
    <s v="Lurleen B. Wallace Community College "/>
    <m/>
    <n v="101602"/>
    <x v="8"/>
    <m/>
    <m/>
    <n v="0"/>
    <m/>
    <m/>
    <n v="0"/>
    <m/>
    <m/>
    <n v="0"/>
    <m/>
    <m/>
    <n v="0"/>
    <m/>
    <m/>
    <n v="0"/>
    <m/>
    <m/>
    <n v="0"/>
    <m/>
    <m/>
    <n v="0"/>
    <m/>
    <m/>
    <n v="0"/>
    <m/>
    <m/>
    <n v="0"/>
    <m/>
    <m/>
    <n v="0"/>
    <n v="52"/>
    <n v="51103.076923076922"/>
    <n v="2657360"/>
    <n v="55"/>
    <n v="50860.254545454547"/>
    <n v="2797314"/>
    <m/>
    <m/>
    <n v="0"/>
    <m/>
    <m/>
    <n v="0"/>
    <m/>
    <m/>
    <n v="0"/>
    <m/>
    <m/>
    <n v="0"/>
    <m/>
    <m/>
    <n v="0"/>
    <m/>
    <m/>
    <n v="0"/>
    <m/>
    <m/>
    <n v="0"/>
    <m/>
    <m/>
    <n v="0"/>
    <m/>
    <m/>
    <n v="0"/>
    <m/>
    <m/>
    <n v="0"/>
    <m/>
    <m/>
    <n v="0"/>
    <m/>
    <m/>
    <n v="0"/>
  </r>
  <r>
    <x v="0"/>
    <s v="Snead State Community College "/>
    <s v="Met the criteria for Two-Year 2 in 2010-11."/>
    <n v="102076"/>
    <x v="8"/>
    <m/>
    <m/>
    <n v="0"/>
    <m/>
    <m/>
    <n v="0"/>
    <m/>
    <m/>
    <n v="0"/>
    <m/>
    <m/>
    <n v="0"/>
    <m/>
    <m/>
    <n v="0"/>
    <m/>
    <m/>
    <n v="0"/>
    <m/>
    <m/>
    <n v="0"/>
    <m/>
    <m/>
    <n v="0"/>
    <m/>
    <m/>
    <n v="0"/>
    <m/>
    <m/>
    <n v="0"/>
    <n v="22"/>
    <n v="54464.045454545456"/>
    <n v="1198209"/>
    <n v="20"/>
    <n v="57425.8"/>
    <n v="1148516"/>
    <m/>
    <m/>
    <n v="0"/>
    <m/>
    <m/>
    <n v="0"/>
    <m/>
    <m/>
    <n v="0"/>
    <m/>
    <m/>
    <n v="0"/>
    <m/>
    <m/>
    <n v="0"/>
    <m/>
    <m/>
    <n v="0"/>
    <m/>
    <m/>
    <n v="0"/>
    <m/>
    <m/>
    <n v="0"/>
    <m/>
    <m/>
    <n v="0"/>
    <m/>
    <m/>
    <n v="0"/>
    <n v="15"/>
    <n v="74964.600000000006"/>
    <n v="920040.53580000007"/>
    <n v="14"/>
    <n v="75477.5"/>
    <n v="864579.66700000002"/>
  </r>
  <r>
    <x v="0"/>
    <s v="Trenholm State Technical College "/>
    <m/>
    <n v="102313"/>
    <x v="9"/>
    <m/>
    <m/>
    <n v="0"/>
    <m/>
    <m/>
    <n v="0"/>
    <m/>
    <m/>
    <n v="0"/>
    <m/>
    <m/>
    <n v="0"/>
    <m/>
    <m/>
    <n v="0"/>
    <m/>
    <m/>
    <n v="0"/>
    <m/>
    <m/>
    <n v="0"/>
    <m/>
    <m/>
    <n v="0"/>
    <m/>
    <m/>
    <n v="0"/>
    <m/>
    <m/>
    <n v="0"/>
    <n v="69"/>
    <n v="52717.434782608696"/>
    <n v="3637503"/>
    <n v="47"/>
    <n v="52402.425531914894"/>
    <n v="2462914"/>
    <m/>
    <m/>
    <n v="0"/>
    <m/>
    <m/>
    <n v="0"/>
    <m/>
    <m/>
    <n v="0"/>
    <m/>
    <m/>
    <n v="0"/>
    <m/>
    <m/>
    <n v="0"/>
    <m/>
    <m/>
    <n v="0"/>
    <m/>
    <m/>
    <n v="0"/>
    <m/>
    <m/>
    <n v="0"/>
    <m/>
    <m/>
    <n v="0"/>
    <m/>
    <m/>
    <n v="0"/>
    <n v="7"/>
    <n v="88150.28571428571"/>
    <n v="504871.94640000002"/>
    <n v="13"/>
    <n v="70430.538461538468"/>
    <n v="749141.4654000001"/>
  </r>
  <r>
    <x v="0"/>
    <s v="J.F. Drake State Technical College "/>
    <s v="Met the criteria for Technical Institute 1 in 2010-11."/>
    <n v="101462"/>
    <x v="10"/>
    <m/>
    <m/>
    <n v="0"/>
    <m/>
    <m/>
    <n v="0"/>
    <m/>
    <m/>
    <n v="0"/>
    <m/>
    <m/>
    <n v="0"/>
    <m/>
    <m/>
    <n v="0"/>
    <m/>
    <m/>
    <n v="0"/>
    <m/>
    <m/>
    <n v="0"/>
    <m/>
    <m/>
    <n v="0"/>
    <m/>
    <m/>
    <n v="0"/>
    <m/>
    <m/>
    <n v="0"/>
    <n v="24"/>
    <n v="53448.583333333336"/>
    <n v="1282766"/>
    <n v="27"/>
    <n v="50783.851851851854"/>
    <n v="1371164"/>
    <m/>
    <m/>
    <n v="0"/>
    <m/>
    <m/>
    <n v="0"/>
    <m/>
    <m/>
    <n v="0"/>
    <m/>
    <m/>
    <n v="0"/>
    <m/>
    <m/>
    <n v="0"/>
    <m/>
    <m/>
    <n v="0"/>
    <m/>
    <m/>
    <n v="0"/>
    <m/>
    <m/>
    <n v="0"/>
    <m/>
    <m/>
    <n v="0"/>
    <m/>
    <m/>
    <n v="0"/>
    <n v="4"/>
    <n v="30154.5"/>
    <n v="98689.647600000011"/>
    <n v="3"/>
    <n v="52988.333333333336"/>
    <n v="130065.163"/>
  </r>
  <r>
    <x v="0"/>
    <s v="J.F. Ingram State Technical College "/>
    <m/>
    <n v="101471"/>
    <x v="10"/>
    <m/>
    <m/>
    <n v="0"/>
    <m/>
    <m/>
    <n v="0"/>
    <m/>
    <m/>
    <n v="0"/>
    <m/>
    <m/>
    <n v="0"/>
    <m/>
    <m/>
    <n v="0"/>
    <m/>
    <m/>
    <n v="0"/>
    <m/>
    <m/>
    <n v="0"/>
    <m/>
    <m/>
    <n v="0"/>
    <m/>
    <m/>
    <n v="0"/>
    <m/>
    <m/>
    <n v="0"/>
    <n v="17"/>
    <n v="48086.941176470587"/>
    <n v="817478"/>
    <n v="19"/>
    <n v="48392.42105263158"/>
    <n v="919456"/>
    <m/>
    <m/>
    <n v="0"/>
    <m/>
    <m/>
    <n v="0"/>
    <m/>
    <m/>
    <n v="0"/>
    <m/>
    <m/>
    <n v="0"/>
    <m/>
    <m/>
    <n v="0"/>
    <m/>
    <m/>
    <n v="0"/>
    <m/>
    <m/>
    <n v="0"/>
    <m/>
    <m/>
    <n v="0"/>
    <m/>
    <m/>
    <n v="0"/>
    <m/>
    <m/>
    <n v="0"/>
    <n v="14"/>
    <n v="86097.928571428565"/>
    <n v="986234.55220000003"/>
    <n v="13"/>
    <n v="86568.076923076922"/>
    <n v="920790.0070000001"/>
  </r>
  <r>
    <x v="0"/>
    <s v="Reid State Technical College "/>
    <m/>
    <n v="101994"/>
    <x v="10"/>
    <m/>
    <m/>
    <n v="0"/>
    <m/>
    <m/>
    <n v="0"/>
    <m/>
    <m/>
    <n v="0"/>
    <m/>
    <m/>
    <n v="0"/>
    <m/>
    <m/>
    <n v="0"/>
    <m/>
    <m/>
    <n v="0"/>
    <m/>
    <m/>
    <n v="0"/>
    <m/>
    <m/>
    <n v="0"/>
    <m/>
    <m/>
    <n v="0"/>
    <m/>
    <m/>
    <n v="0"/>
    <n v="20"/>
    <n v="50390.2"/>
    <n v="1007804"/>
    <n v="21"/>
    <n v="51724.619047619046"/>
    <n v="1086217"/>
    <m/>
    <m/>
    <n v="0"/>
    <m/>
    <m/>
    <n v="0"/>
    <m/>
    <m/>
    <n v="0"/>
    <m/>
    <m/>
    <n v="0"/>
    <m/>
    <m/>
    <n v="0"/>
    <m/>
    <m/>
    <n v="0"/>
    <m/>
    <m/>
    <n v="0"/>
    <m/>
    <m/>
    <n v="0"/>
    <m/>
    <m/>
    <n v="0"/>
    <m/>
    <m/>
    <n v="0"/>
    <n v="6"/>
    <n v="54097.666666666664"/>
    <n v="265576.26520000002"/>
    <n v="6"/>
    <n v="55712.5"/>
    <n v="273503.80499999999"/>
  </r>
  <r>
    <x v="1"/>
    <s v="University of Arkansas, Fayetteville"/>
    <m/>
    <n v="106397"/>
    <x v="0"/>
    <n v="216"/>
    <n v="106586.71296296296"/>
    <n v="23022730"/>
    <n v="208"/>
    <n v="110892.69"/>
    <n v="23065679.52"/>
    <n v="165"/>
    <n v="74213.272727272721"/>
    <n v="12245189.999999998"/>
    <n v="168"/>
    <n v="76343.47"/>
    <n v="12825702.960000001"/>
    <n v="155"/>
    <n v="70544"/>
    <n v="10934320"/>
    <n v="154"/>
    <n v="76031.490000000005"/>
    <n v="11708849.460000001"/>
    <n v="100"/>
    <n v="42014.18"/>
    <n v="4201418"/>
    <n v="144"/>
    <n v="42321.5"/>
    <n v="6094296"/>
    <n v="70"/>
    <n v="43871.028571428571"/>
    <n v="3070972"/>
    <n v="67"/>
    <n v="44830.54"/>
    <n v="3003646.18"/>
    <n v="0"/>
    <n v="0"/>
    <n v="0"/>
    <m/>
    <m/>
    <n v="0"/>
    <n v="143"/>
    <n v="121053.42657342658"/>
    <n v="14163565.648"/>
    <n v="155"/>
    <n v="125514.68"/>
    <n v="15917897.232279999"/>
    <n v="53"/>
    <n v="88342.283018867922"/>
    <n v="3830927.7662"/>
    <n v="46"/>
    <n v="87290.74"/>
    <n v="3285379.0395280002"/>
    <n v="15"/>
    <n v="77584.399999999994"/>
    <n v="952193.34120000002"/>
    <n v="13"/>
    <n v="77682.31"/>
    <n v="826275.65854600002"/>
    <n v="29"/>
    <n v="56785.448275862072"/>
    <n v="1347393.7596"/>
    <n v="34"/>
    <n v="57872"/>
    <n v="1609929.5936"/>
    <n v="6"/>
    <n v="84135.166666666672"/>
    <n v="413036.3602"/>
    <n v="6"/>
    <n v="78768.17"/>
    <n v="386688.70016400004"/>
    <n v="0"/>
    <n v="0"/>
    <n v="0"/>
    <m/>
    <m/>
    <n v="0"/>
  </r>
  <r>
    <x v="1"/>
    <s v="Arkansas State University"/>
    <m/>
    <n v="106458"/>
    <x v="2"/>
    <n v="86"/>
    <n v="71929.558139534885"/>
    <n v="6185942"/>
    <n v="90"/>
    <n v="77095.13"/>
    <n v="6938561.7000000002"/>
    <n v="106"/>
    <n v="58569.264150943396"/>
    <n v="6208342"/>
    <n v="104"/>
    <n v="60972.36"/>
    <n v="6341125.4400000004"/>
    <n v="134"/>
    <n v="54350.305970149253"/>
    <n v="7282941"/>
    <n v="130"/>
    <n v="56582.68"/>
    <n v="7355748.4000000004"/>
    <n v="89"/>
    <n v="34684.415730337081"/>
    <n v="3086913"/>
    <n v="95"/>
    <n v="36157.06"/>
    <n v="3434920.6999999997"/>
    <n v="0"/>
    <n v="0"/>
    <n v="0"/>
    <n v="0"/>
    <m/>
    <n v="0"/>
    <n v="0"/>
    <n v="0"/>
    <n v="0"/>
    <m/>
    <m/>
    <n v="0"/>
    <n v="18"/>
    <n v="100073.94444444444"/>
    <n v="1473849.0242000001"/>
    <n v="14"/>
    <n v="103850"/>
    <n v="1189580.98"/>
    <n v="20"/>
    <n v="83918.6"/>
    <n v="1373243.9704"/>
    <n v="25"/>
    <n v="84445.28"/>
    <n v="1727328.2024000001"/>
    <n v="17"/>
    <n v="72595.76470588235"/>
    <n v="1009763.5296"/>
    <n v="17"/>
    <n v="70135.53"/>
    <n v="975543.14098200004"/>
    <n v="12"/>
    <n v="45289.416666666664"/>
    <n v="444669.60860000004"/>
    <n v="10"/>
    <n v="48178.6"/>
    <n v="394197.3052"/>
    <n v="0"/>
    <n v="0"/>
    <n v="0"/>
    <n v="0"/>
    <m/>
    <n v="0"/>
    <n v="0"/>
    <n v="0"/>
    <n v="0"/>
    <m/>
    <m/>
    <n v="0"/>
  </r>
  <r>
    <x v="1"/>
    <s v="University of Arkansas at Little Rock"/>
    <m/>
    <n v="106245"/>
    <x v="2"/>
    <n v="112"/>
    <n v="83832.267857142855"/>
    <n v="9389214"/>
    <n v="116"/>
    <n v="85717.15"/>
    <n v="9943189.3999999985"/>
    <n v="109"/>
    <n v="66162.46788990825"/>
    <n v="7211708.9999999991"/>
    <n v="104"/>
    <n v="67215.009999999995"/>
    <n v="6990361.0399999991"/>
    <n v="102"/>
    <n v="56930.656862745098"/>
    <n v="5806927"/>
    <n v="100"/>
    <n v="58754.29"/>
    <n v="5875429"/>
    <n v="70"/>
    <n v="40203.599999999999"/>
    <n v="2814252"/>
    <n v="75"/>
    <n v="42124.61"/>
    <n v="3159345.75"/>
    <n v="4"/>
    <n v="36400"/>
    <n v="145600"/>
    <n v="16"/>
    <n v="40935.56"/>
    <n v="654968.96"/>
    <n v="0"/>
    <n v="0"/>
    <n v="0"/>
    <m/>
    <m/>
    <n v="0"/>
    <n v="41"/>
    <n v="94424.707317073175"/>
    <n v="3167590.1166000003"/>
    <n v="32"/>
    <n v="102368.94"/>
    <n v="2680264.5346560003"/>
    <n v="20"/>
    <n v="81485.45"/>
    <n v="1333427.9038"/>
    <n v="19"/>
    <n v="91409.53"/>
    <n v="1421034.2714740001"/>
    <n v="21"/>
    <n v="55406.476190476191"/>
    <n v="952005.15520000004"/>
    <n v="10"/>
    <n v="65066.6"/>
    <n v="532374.92119999998"/>
    <n v="20"/>
    <n v="46756.4"/>
    <n v="765121.72960000008"/>
    <n v="15"/>
    <n v="52302.13"/>
    <n v="641904.04148999997"/>
    <n v="8"/>
    <n v="44833.375"/>
    <n v="293461.3394"/>
    <n v="9"/>
    <n v="43056.67"/>
    <n v="317060.70654599997"/>
    <n v="0"/>
    <n v="0"/>
    <n v="0"/>
    <m/>
    <m/>
    <n v="0"/>
  </r>
  <r>
    <x v="1"/>
    <s v="University of Central Arkansas "/>
    <m/>
    <n v="106704"/>
    <x v="2"/>
    <n v="62"/>
    <n v="75204.483870967742"/>
    <n v="4662678"/>
    <n v="61"/>
    <n v="76050.39"/>
    <n v="4639073.79"/>
    <n v="101"/>
    <n v="60495.792079207924"/>
    <n v="6110075"/>
    <n v="112"/>
    <n v="62189.43"/>
    <n v="6965216.1600000001"/>
    <n v="151"/>
    <n v="54741.423841059601"/>
    <n v="8265955"/>
    <n v="152"/>
    <n v="55562.3"/>
    <n v="8445469.5999999996"/>
    <n v="94"/>
    <n v="39040.361702127659"/>
    <n v="3669794"/>
    <n v="94"/>
    <n v="40649.910000000003"/>
    <n v="3821091.5400000005"/>
    <n v="51"/>
    <n v="41177.156862745098"/>
    <n v="2100035"/>
    <n v="53"/>
    <n v="42311.89"/>
    <n v="2242530.17"/>
    <n v="0"/>
    <n v="0"/>
    <n v="0"/>
    <m/>
    <m/>
    <n v="0"/>
    <n v="26"/>
    <n v="81868.769230769234"/>
    <n v="1741610.7016"/>
    <n v="24"/>
    <n v="103685.63"/>
    <n v="2036053.9791840003"/>
    <n v="12"/>
    <n v="71997.583333333328"/>
    <n v="706901.07220000005"/>
    <n v="12"/>
    <n v="94043.75"/>
    <n v="923359.15500000003"/>
    <n v="4"/>
    <n v="61677.75"/>
    <n v="201858.94020000001"/>
    <n v="4"/>
    <n v="78657.75"/>
    <n v="257431.08420000001"/>
    <n v="11"/>
    <n v="43272.272727272728"/>
    <n v="389459.109"/>
    <n v="11"/>
    <n v="53097.64"/>
    <n v="477889.37952800008"/>
    <n v="3"/>
    <n v="34829.666666666664"/>
    <n v="85492.899799999999"/>
    <n v="4"/>
    <n v="44236.25"/>
    <n v="144776.399"/>
    <n v="0"/>
    <n v="0"/>
    <n v="0"/>
    <m/>
    <m/>
    <n v="0"/>
  </r>
  <r>
    <x v="1"/>
    <s v="Arkansas Tech University"/>
    <s v="Met the criteria for Four-Year 3 in 2010-11 and 2011-12."/>
    <n v="106467"/>
    <x v="3"/>
    <n v="42"/>
    <n v="66246.523809523816"/>
    <n v="2782354.0000000005"/>
    <n v="44"/>
    <n v="67720.2"/>
    <n v="2979688.8"/>
    <n v="66"/>
    <n v="58958.545454545456"/>
    <n v="3891264"/>
    <n v="68"/>
    <n v="58119.63"/>
    <n v="3952134.84"/>
    <n v="102"/>
    <n v="48283.156862745098"/>
    <n v="4924882"/>
    <n v="106"/>
    <n v="48429.56"/>
    <n v="5133533.3599999994"/>
    <n v="24"/>
    <n v="37019.25"/>
    <n v="888462"/>
    <n v="27"/>
    <n v="37885.15"/>
    <n v="1022899.05"/>
    <n v="35"/>
    <n v="36957.885714285716"/>
    <n v="1293526"/>
    <n v="46"/>
    <n v="40568.85"/>
    <n v="1866167.0999999999"/>
    <n v="0"/>
    <n v="0"/>
    <n v="0"/>
    <m/>
    <m/>
    <n v="0"/>
    <n v="11"/>
    <n v="104969.27272727272"/>
    <n v="944744.44839999999"/>
    <n v="9"/>
    <n v="99497.22"/>
    <n v="732677.62863599998"/>
    <n v="9"/>
    <n v="79088.555555555562"/>
    <n v="582392.30540000007"/>
    <n v="9"/>
    <n v="79605"/>
    <n v="586195.299"/>
    <n v="1"/>
    <n v="67626"/>
    <n v="55331.593200000003"/>
    <n v="3"/>
    <n v="68921.67"/>
    <n v="169175.13118200001"/>
    <n v="0"/>
    <n v="0"/>
    <n v="0"/>
    <n v="0"/>
    <m/>
    <n v="0"/>
    <n v="0"/>
    <n v="0"/>
    <n v="0"/>
    <n v="0"/>
    <m/>
    <n v="0"/>
    <n v="0"/>
    <n v="0"/>
    <n v="0"/>
    <m/>
    <m/>
    <n v="0"/>
  </r>
  <r>
    <x v="1"/>
    <s v="Henderson State University"/>
    <m/>
    <n v="107071"/>
    <x v="3"/>
    <n v="54"/>
    <n v="62894"/>
    <n v="3396276"/>
    <n v="64"/>
    <n v="63740.14"/>
    <n v="4079368.96"/>
    <n v="35"/>
    <n v="53047.542857142857"/>
    <n v="1856664"/>
    <n v="23"/>
    <n v="53991.48"/>
    <n v="1241804.04"/>
    <n v="39"/>
    <n v="48998.769230769234"/>
    <n v="1910952.0000000002"/>
    <n v="48"/>
    <n v="50980.92"/>
    <n v="2447084.16"/>
    <n v="25"/>
    <n v="38808.639999999999"/>
    <n v="970216"/>
    <n v="23"/>
    <n v="41873.35"/>
    <n v="963087.04999999993"/>
    <n v="0"/>
    <n v="0"/>
    <n v="0"/>
    <n v="0"/>
    <m/>
    <n v="0"/>
    <n v="0"/>
    <n v="0"/>
    <n v="0"/>
    <m/>
    <m/>
    <n v="0"/>
    <n v="3"/>
    <n v="80155"/>
    <n v="196748.46300000002"/>
    <n v="2"/>
    <n v="78114.5"/>
    <n v="127826.5678"/>
    <n v="1"/>
    <n v="68150"/>
    <n v="55760.33"/>
    <n v="2"/>
    <n v="77973"/>
    <n v="127595.0172"/>
    <n v="3"/>
    <n v="63282"/>
    <n v="155331.99720000001"/>
    <n v="2"/>
    <n v="64827"/>
    <n v="106082.90280000001"/>
    <n v="6"/>
    <n v="48434.166666666664"/>
    <n v="237773.011"/>
    <n v="6"/>
    <n v="50667.33"/>
    <n v="248736.05643599998"/>
    <n v="0"/>
    <n v="0"/>
    <n v="0"/>
    <n v="1"/>
    <n v="62424"/>
    <n v="51075.316800000001"/>
    <n v="0"/>
    <n v="0"/>
    <n v="0"/>
    <m/>
    <m/>
    <n v="0"/>
  </r>
  <r>
    <x v="1"/>
    <s v="Southern Arkansas University"/>
    <s v="Reclassified: met the criteria for Four-Year 4 in 2009-10, 2010-11 and 2011-12."/>
    <n v="107983"/>
    <x v="3"/>
    <n v="17"/>
    <n v="66832.470588235301"/>
    <n v="1136152"/>
    <n v="17"/>
    <n v="71565.820000000007"/>
    <n v="1216618.9400000002"/>
    <n v="34"/>
    <n v="56800.911764705881"/>
    <n v="1931231"/>
    <n v="36"/>
    <n v="56422.720000000001"/>
    <n v="2031217.92"/>
    <n v="58"/>
    <n v="48927.603448275862"/>
    <n v="2837801"/>
    <n v="57"/>
    <n v="49842.04"/>
    <n v="2840996.2800000003"/>
    <n v="26"/>
    <n v="41315.115384615383"/>
    <n v="1074193"/>
    <n v="27"/>
    <n v="41271.67"/>
    <n v="1114335.0899999999"/>
    <n v="0"/>
    <n v="0"/>
    <n v="0"/>
    <n v="0"/>
    <m/>
    <n v="0"/>
    <n v="0"/>
    <n v="0"/>
    <n v="0"/>
    <m/>
    <m/>
    <n v="0"/>
    <n v="4"/>
    <n v="101484.25"/>
    <n v="332137.65340000001"/>
    <n v="4"/>
    <n v="107440.25"/>
    <n v="351630.45020000002"/>
    <n v="1"/>
    <n v="103544"/>
    <n v="84719.700800000006"/>
    <n v="1"/>
    <n v="108000"/>
    <n v="88365.6"/>
    <n v="5"/>
    <n v="66185.399999999994"/>
    <n v="270764.47140000004"/>
    <n v="4"/>
    <n v="63860.5"/>
    <n v="209002.64440000002"/>
    <n v="15"/>
    <n v="47358.866666666669"/>
    <n v="581235.37060000002"/>
    <n v="14"/>
    <n v="45899.21"/>
    <n v="525766.27070799994"/>
    <n v="1"/>
    <n v="44000"/>
    <n v="36000.800000000003"/>
    <n v="1"/>
    <n v="56960"/>
    <n v="46604.671999999999"/>
    <n v="0"/>
    <n v="0"/>
    <n v="0"/>
    <m/>
    <m/>
    <n v="0"/>
  </r>
  <r>
    <x v="1"/>
    <s v="University of Arkansas at Monticello"/>
    <m/>
    <n v="106485"/>
    <x v="4"/>
    <n v="16"/>
    <n v="61699.25"/>
    <n v="987188"/>
    <n v="17"/>
    <n v="63217.94"/>
    <n v="1074704.98"/>
    <n v="28"/>
    <n v="57021.357142857145"/>
    <n v="1596598"/>
    <n v="39"/>
    <n v="55081.82"/>
    <n v="2148190.98"/>
    <n v="31"/>
    <n v="45827.322580645159"/>
    <n v="1420647"/>
    <n v="20"/>
    <n v="46541.65"/>
    <n v="930833"/>
    <n v="22"/>
    <n v="39993.818181818184"/>
    <n v="879864"/>
    <n v="21"/>
    <n v="40985.379999999997"/>
    <n v="860692.98"/>
    <n v="13"/>
    <n v="38807.769230769234"/>
    <n v="504501.00000000006"/>
    <n v="8"/>
    <n v="40492.25"/>
    <n v="323938"/>
    <n v="0"/>
    <n v="0"/>
    <n v="0"/>
    <m/>
    <m/>
    <n v="0"/>
    <n v="4"/>
    <n v="103739.25"/>
    <n v="339517.8174"/>
    <n v="3"/>
    <n v="103231.33"/>
    <n v="253391.62261799999"/>
    <n v="2"/>
    <n v="74286"/>
    <n v="121561.61040000001"/>
    <n v="6"/>
    <n v="71452.17"/>
    <n v="350772.99296400003"/>
    <n v="5"/>
    <n v="66068"/>
    <n v="270284.18800000002"/>
    <n v="3"/>
    <n v="63708"/>
    <n v="156377.6568"/>
    <n v="2"/>
    <n v="62475"/>
    <n v="102234.09000000001"/>
    <n v="8"/>
    <n v="51681.38"/>
    <n v="338285.64092799998"/>
    <n v="28"/>
    <n v="42789.857142857145"/>
    <n v="980298.51120000007"/>
    <n v="29"/>
    <n v="41391.69"/>
    <n v="982133.74198200007"/>
    <n v="0"/>
    <n v="0"/>
    <n v="0"/>
    <m/>
    <m/>
    <n v="0"/>
  </r>
  <r>
    <x v="1"/>
    <s v="University of Arkansas at Fort Smith"/>
    <m/>
    <n v="108092"/>
    <x v="5"/>
    <n v="10"/>
    <n v="80730.100000000006"/>
    <n v="807301"/>
    <n v="10"/>
    <n v="88512.1"/>
    <n v="885121"/>
    <n v="39"/>
    <n v="67671.794871794875"/>
    <n v="2639200"/>
    <n v="36"/>
    <n v="69515.14"/>
    <n v="2502545.04"/>
    <n v="95"/>
    <n v="52792.831578947371"/>
    <n v="5015319"/>
    <n v="98"/>
    <n v="54242.720000000001"/>
    <n v="5315786.5600000005"/>
    <n v="44"/>
    <n v="45735.022727272728"/>
    <n v="2012341"/>
    <n v="47"/>
    <n v="47494.55"/>
    <n v="2232243.85"/>
    <n v="6"/>
    <n v="38583.333333333336"/>
    <n v="231500"/>
    <n v="8"/>
    <n v="43288.88"/>
    <n v="346311.04"/>
    <n v="0"/>
    <n v="0"/>
    <n v="0"/>
    <m/>
    <m/>
    <n v="0"/>
    <n v="1"/>
    <n v="98075"/>
    <n v="80244.964999999997"/>
    <n v="2"/>
    <n v="102484.5"/>
    <n v="167705.63580000002"/>
    <n v="9"/>
    <n v="84329"/>
    <n v="620981.89020000002"/>
    <n v="18"/>
    <n v="92452.17"/>
    <n v="1361598.578892"/>
    <n v="9"/>
    <n v="70948.222222222219"/>
    <n v="522448.51880000002"/>
    <n v="8"/>
    <n v="69718.38"/>
    <n v="456348.62812800007"/>
    <n v="11"/>
    <n v="56849.272727272728"/>
    <n v="511654.82440000004"/>
    <n v="13"/>
    <n v="59468.38"/>
    <n v="632541.37070800003"/>
    <n v="1"/>
    <n v="65000"/>
    <n v="53183"/>
    <n v="1"/>
    <n v="55000"/>
    <n v="45001"/>
    <n v="0"/>
    <n v="0"/>
    <n v="0"/>
    <m/>
    <m/>
    <n v="0"/>
  </r>
  <r>
    <x v="1"/>
    <s v="University of Arkansas at Pine Bluff"/>
    <m/>
    <n v="106412"/>
    <x v="5"/>
    <n v="17"/>
    <n v="57986.941176470587"/>
    <n v="985778"/>
    <n v="13"/>
    <n v="59526.15"/>
    <n v="773839.95000000007"/>
    <n v="19"/>
    <n v="55012.105263157893"/>
    <n v="1045230"/>
    <n v="22"/>
    <n v="55657.77"/>
    <n v="1224470.94"/>
    <n v="28"/>
    <n v="46557.785714285717"/>
    <n v="1303618"/>
    <n v="28"/>
    <n v="46978.04"/>
    <n v="1315385.1200000001"/>
    <n v="46"/>
    <n v="37562.260869565216"/>
    <n v="1727864"/>
    <n v="48"/>
    <n v="38728.42"/>
    <n v="1858964.16"/>
    <n v="0"/>
    <n v="0"/>
    <n v="0"/>
    <n v="0"/>
    <m/>
    <n v="0"/>
    <n v="0"/>
    <n v="0"/>
    <n v="0"/>
    <m/>
    <m/>
    <n v="0"/>
    <n v="13"/>
    <n v="76082.461538461532"/>
    <n v="809258.71039999998"/>
    <n v="16"/>
    <n v="74403.56"/>
    <n v="974031.88467200007"/>
    <n v="15"/>
    <n v="69133.866666666669"/>
    <n v="848479.94560000009"/>
    <n v="15"/>
    <n v="70838.87"/>
    <n v="869405.45150999993"/>
    <n v="19"/>
    <n v="57762.315789473687"/>
    <n v="897961.40880000009"/>
    <n v="19"/>
    <n v="60245.53"/>
    <n v="936564.96027400007"/>
    <n v="14"/>
    <n v="42543.214285714283"/>
    <n v="487324.011"/>
    <n v="19"/>
    <n v="41859.47"/>
    <n v="650738.94872600003"/>
    <n v="0"/>
    <n v="0"/>
    <n v="0"/>
    <n v="0"/>
    <m/>
    <n v="0"/>
    <n v="0"/>
    <n v="0"/>
    <n v="0"/>
    <m/>
    <m/>
    <n v="0"/>
  </r>
  <r>
    <x v="1"/>
    <s v="Northwest Arkansas Community College "/>
    <s v="Reclassified: Met the criteria for Two-Year 1 in 2009-10, 2010-11 and 2011-12."/>
    <n v="367459"/>
    <x v="6"/>
    <n v="0"/>
    <n v="0"/>
    <n v="0"/>
    <m/>
    <m/>
    <n v="0"/>
    <n v="0"/>
    <n v="0"/>
    <n v="0"/>
    <m/>
    <m/>
    <n v="0"/>
    <n v="0"/>
    <n v="0"/>
    <n v="0"/>
    <m/>
    <m/>
    <n v="0"/>
    <n v="0"/>
    <n v="0"/>
    <n v="0"/>
    <m/>
    <m/>
    <n v="0"/>
    <n v="0"/>
    <n v="0"/>
    <n v="0"/>
    <m/>
    <m/>
    <n v="0"/>
    <n v="143"/>
    <n v="50463.328671328672"/>
    <n v="7216256"/>
    <n v="134"/>
    <n v="52804.15"/>
    <n v="7075756.1000000006"/>
    <n v="0"/>
    <n v="0"/>
    <n v="0"/>
    <m/>
    <m/>
    <n v="0"/>
    <n v="0"/>
    <n v="0"/>
    <n v="0"/>
    <m/>
    <m/>
    <n v="0"/>
    <n v="0"/>
    <n v="0"/>
    <n v="0"/>
    <m/>
    <m/>
    <n v="0"/>
    <n v="0"/>
    <n v="0"/>
    <n v="0"/>
    <m/>
    <m/>
    <n v="0"/>
    <n v="0"/>
    <n v="0"/>
    <n v="0"/>
    <m/>
    <m/>
    <n v="0"/>
    <n v="0"/>
    <n v="0"/>
    <n v="0"/>
    <n v="19"/>
    <n v="66823.53"/>
    <n v="1038825.2326740001"/>
  </r>
  <r>
    <x v="1"/>
    <s v="Pulaski Technical College"/>
    <m/>
    <n v="107664"/>
    <x v="6"/>
    <n v="0"/>
    <n v="0"/>
    <n v="0"/>
    <m/>
    <m/>
    <n v="0"/>
    <n v="0"/>
    <n v="0"/>
    <n v="0"/>
    <m/>
    <m/>
    <n v="0"/>
    <n v="0"/>
    <n v="0"/>
    <n v="0"/>
    <m/>
    <m/>
    <n v="0"/>
    <n v="0"/>
    <n v="0"/>
    <n v="0"/>
    <m/>
    <m/>
    <n v="0"/>
    <n v="0"/>
    <n v="0"/>
    <n v="0"/>
    <m/>
    <m/>
    <n v="0"/>
    <n v="157"/>
    <n v="47254.757961783442"/>
    <n v="7418997"/>
    <n v="162"/>
    <n v="47605.57"/>
    <n v="7712102.3399999999"/>
    <n v="0"/>
    <n v="0"/>
    <n v="0"/>
    <m/>
    <m/>
    <n v="0"/>
    <n v="0"/>
    <n v="0"/>
    <n v="0"/>
    <m/>
    <m/>
    <n v="0"/>
    <n v="0"/>
    <n v="0"/>
    <n v="0"/>
    <m/>
    <m/>
    <n v="0"/>
    <n v="0"/>
    <n v="0"/>
    <n v="0"/>
    <m/>
    <m/>
    <n v="0"/>
    <n v="0"/>
    <n v="0"/>
    <n v="0"/>
    <m/>
    <m/>
    <n v="0"/>
    <n v="14"/>
    <n v="59984"/>
    <n v="687104.72320000001"/>
    <n v="12"/>
    <n v="60868.58"/>
    <n v="597632.06587199995"/>
  </r>
  <r>
    <x v="1"/>
    <s v="Arkansas State University-Beebe"/>
    <m/>
    <n v="106449"/>
    <x v="7"/>
    <n v="4"/>
    <n v="56693.5"/>
    <n v="226774"/>
    <n v="5"/>
    <n v="46380.800000000003"/>
    <n v="231904"/>
    <n v="5"/>
    <n v="47763.4"/>
    <n v="238817"/>
    <n v="6"/>
    <n v="48204.5"/>
    <n v="289227"/>
    <n v="29"/>
    <n v="46053.931034482761"/>
    <n v="1335564"/>
    <n v="27"/>
    <n v="44710.81"/>
    <n v="1207191.8699999999"/>
    <n v="62"/>
    <n v="40489.516129032258"/>
    <n v="2510350"/>
    <n v="61"/>
    <n v="40931.07"/>
    <n v="2496795.27"/>
    <n v="0"/>
    <n v="0"/>
    <n v="0"/>
    <m/>
    <m/>
    <n v="0"/>
    <n v="0"/>
    <n v="0"/>
    <n v="0"/>
    <m/>
    <m/>
    <n v="0"/>
    <n v="1"/>
    <n v="75921"/>
    <n v="62118.5622"/>
    <n v="0"/>
    <m/>
    <n v="0"/>
    <n v="4"/>
    <n v="82620.25"/>
    <n v="270399.55420000001"/>
    <n v="4"/>
    <n v="81255.25"/>
    <n v="265932.18220000004"/>
    <n v="5"/>
    <n v="61634.6"/>
    <n v="252147.14860000001"/>
    <n v="5"/>
    <n v="61364.6"/>
    <n v="251042.57860000001"/>
    <n v="11"/>
    <n v="43992.545454545456"/>
    <n v="395941.70760000002"/>
    <n v="13"/>
    <n v="46971.46"/>
    <n v="499616.631436"/>
    <n v="0"/>
    <n v="0"/>
    <n v="0"/>
    <m/>
    <m/>
    <n v="0"/>
    <n v="0"/>
    <n v="0"/>
    <n v="0"/>
    <m/>
    <m/>
    <n v="0"/>
  </r>
  <r>
    <x v="1"/>
    <s v="National Park Community College"/>
    <m/>
    <n v="106980"/>
    <x v="7"/>
    <n v="0"/>
    <n v="0"/>
    <n v="0"/>
    <m/>
    <m/>
    <n v="0"/>
    <n v="0"/>
    <n v="0"/>
    <n v="0"/>
    <m/>
    <m/>
    <n v="0"/>
    <n v="0"/>
    <n v="0"/>
    <n v="0"/>
    <m/>
    <m/>
    <n v="0"/>
    <n v="0"/>
    <n v="0"/>
    <n v="0"/>
    <m/>
    <m/>
    <n v="0"/>
    <n v="0"/>
    <n v="0"/>
    <n v="0"/>
    <m/>
    <m/>
    <n v="0"/>
    <n v="77"/>
    <n v="42230.389610389611"/>
    <n v="3251740"/>
    <n v="77"/>
    <n v="42762.27"/>
    <n v="3292694.7899999996"/>
    <n v="0"/>
    <n v="0"/>
    <n v="0"/>
    <m/>
    <m/>
    <n v="0"/>
    <n v="0"/>
    <n v="0"/>
    <n v="0"/>
    <m/>
    <m/>
    <n v="0"/>
    <n v="0"/>
    <n v="0"/>
    <n v="0"/>
    <m/>
    <m/>
    <n v="0"/>
    <n v="0"/>
    <n v="0"/>
    <n v="0"/>
    <m/>
    <m/>
    <n v="0"/>
    <n v="0"/>
    <n v="0"/>
    <n v="0"/>
    <m/>
    <m/>
    <n v="0"/>
    <n v="14"/>
    <n v="52941.142857142855"/>
    <n v="606430.20319999999"/>
    <n v="20"/>
    <n v="54007.199999999997"/>
    <n v="883773.82079999999"/>
  </r>
  <r>
    <x v="1"/>
    <s v="Arkansas Northeastern College"/>
    <m/>
    <n v="107327"/>
    <x v="8"/>
    <n v="0"/>
    <n v="0"/>
    <n v="0"/>
    <m/>
    <m/>
    <n v="0"/>
    <n v="0"/>
    <n v="0"/>
    <n v="0"/>
    <m/>
    <m/>
    <n v="0"/>
    <n v="0"/>
    <n v="0"/>
    <n v="0"/>
    <m/>
    <m/>
    <n v="0"/>
    <n v="0"/>
    <n v="0"/>
    <n v="0"/>
    <m/>
    <m/>
    <n v="0"/>
    <n v="0"/>
    <n v="0"/>
    <n v="0"/>
    <m/>
    <m/>
    <n v="0"/>
    <n v="73"/>
    <n v="43227.493150684932"/>
    <n v="3155607"/>
    <n v="68"/>
    <n v="43984.44"/>
    <n v="2990941.92"/>
    <n v="0"/>
    <n v="0"/>
    <n v="0"/>
    <m/>
    <m/>
    <n v="0"/>
    <n v="0"/>
    <n v="0"/>
    <n v="0"/>
    <m/>
    <m/>
    <n v="0"/>
    <n v="0"/>
    <n v="0"/>
    <n v="0"/>
    <m/>
    <m/>
    <n v="0"/>
    <n v="0"/>
    <n v="0"/>
    <n v="0"/>
    <m/>
    <m/>
    <n v="0"/>
    <n v="0"/>
    <n v="0"/>
    <n v="0"/>
    <m/>
    <m/>
    <n v="0"/>
    <n v="6"/>
    <n v="64897.833333333336"/>
    <n v="318596.44339999999"/>
    <n v="8"/>
    <n v="56169.25"/>
    <n v="367661.44280000002"/>
  </r>
  <r>
    <x v="1"/>
    <s v="Arkansas State University Mountain Home"/>
    <m/>
    <n v="420538"/>
    <x v="8"/>
    <n v="0"/>
    <n v="0"/>
    <n v="0"/>
    <m/>
    <m/>
    <n v="0"/>
    <n v="0"/>
    <n v="0"/>
    <n v="0"/>
    <m/>
    <m/>
    <n v="0"/>
    <n v="11"/>
    <n v="48291.727272727272"/>
    <n v="531209"/>
    <n v="11"/>
    <n v="49742.36"/>
    <n v="547165.96"/>
    <n v="37"/>
    <n v="39908.405405405407"/>
    <n v="1476611"/>
    <n v="37"/>
    <n v="38358.89"/>
    <n v="1419278.93"/>
    <n v="0"/>
    <n v="0"/>
    <n v="0"/>
    <m/>
    <m/>
    <n v="0"/>
    <n v="0"/>
    <n v="0"/>
    <n v="0"/>
    <m/>
    <m/>
    <n v="0"/>
    <n v="0"/>
    <n v="0"/>
    <n v="0"/>
    <m/>
    <m/>
    <n v="0"/>
    <n v="0"/>
    <n v="0"/>
    <n v="0"/>
    <m/>
    <m/>
    <n v="0"/>
    <n v="0"/>
    <n v="0"/>
    <n v="0"/>
    <m/>
    <m/>
    <n v="0"/>
    <n v="0"/>
    <n v="0"/>
    <n v="0"/>
    <m/>
    <m/>
    <n v="0"/>
    <n v="0"/>
    <n v="0"/>
    <n v="0"/>
    <m/>
    <m/>
    <n v="0"/>
    <n v="0"/>
    <n v="0"/>
    <n v="0"/>
    <m/>
    <m/>
    <n v="0"/>
  </r>
  <r>
    <x v="1"/>
    <s v="Arkansas State University-Newport"/>
    <m/>
    <n v="440402"/>
    <x v="8"/>
    <n v="0"/>
    <n v="0"/>
    <n v="0"/>
    <m/>
    <m/>
    <n v="0"/>
    <n v="0"/>
    <n v="0"/>
    <n v="0"/>
    <m/>
    <m/>
    <n v="0"/>
    <n v="18"/>
    <n v="40753.388888888891"/>
    <n v="733561"/>
    <n v="20"/>
    <n v="34892.199999999997"/>
    <n v="697844"/>
    <n v="27"/>
    <n v="40621.703703703701"/>
    <n v="1096786"/>
    <n v="26"/>
    <n v="43494.04"/>
    <n v="1130845.04"/>
    <n v="0"/>
    <n v="0"/>
    <n v="0"/>
    <m/>
    <m/>
    <n v="0"/>
    <n v="0"/>
    <n v="0"/>
    <n v="0"/>
    <m/>
    <m/>
    <n v="0"/>
    <n v="0"/>
    <n v="0"/>
    <n v="0"/>
    <m/>
    <m/>
    <n v="0"/>
    <n v="0"/>
    <n v="0"/>
    <n v="0"/>
    <m/>
    <m/>
    <n v="0"/>
    <n v="3"/>
    <n v="42633.666666666664"/>
    <n v="104648.59820000001"/>
    <n v="5"/>
    <n v="36769.4"/>
    <n v="150423.61540000001"/>
    <n v="14"/>
    <n v="45095.928571428572"/>
    <n v="516564.84260000003"/>
    <n v="14"/>
    <n v="48962.43"/>
    <n v="560854.84316400008"/>
    <n v="0"/>
    <n v="0"/>
    <n v="0"/>
    <m/>
    <m/>
    <n v="0"/>
    <n v="0"/>
    <n v="0"/>
    <n v="0"/>
    <m/>
    <m/>
    <n v="0"/>
  </r>
  <r>
    <x v="1"/>
    <s v="Black River Technical College"/>
    <s v="Met the criteria for Two-Year 2 in 2010-11 and 2011-12."/>
    <n v="106625"/>
    <x v="8"/>
    <n v="0"/>
    <n v="0"/>
    <n v="0"/>
    <m/>
    <m/>
    <n v="0"/>
    <n v="0"/>
    <n v="0"/>
    <n v="0"/>
    <m/>
    <m/>
    <n v="0"/>
    <n v="0"/>
    <n v="0"/>
    <n v="0"/>
    <m/>
    <m/>
    <n v="0"/>
    <n v="0"/>
    <n v="0"/>
    <n v="0"/>
    <m/>
    <m/>
    <n v="0"/>
    <n v="0"/>
    <n v="0"/>
    <n v="0"/>
    <m/>
    <m/>
    <n v="0"/>
    <n v="64"/>
    <n v="41392.75"/>
    <n v="2649136"/>
    <n v="62"/>
    <n v="41205.339999999997"/>
    <n v="2554731.0799999996"/>
    <n v="0"/>
    <n v="0"/>
    <n v="0"/>
    <m/>
    <m/>
    <n v="0"/>
    <n v="0"/>
    <n v="0"/>
    <n v="0"/>
    <m/>
    <m/>
    <n v="0"/>
    <n v="0"/>
    <n v="0"/>
    <n v="0"/>
    <m/>
    <m/>
    <n v="0"/>
    <n v="0"/>
    <n v="0"/>
    <n v="0"/>
    <m/>
    <m/>
    <n v="0"/>
    <n v="0"/>
    <n v="0"/>
    <n v="0"/>
    <m/>
    <m/>
    <n v="0"/>
    <n v="4"/>
    <n v="48859.5"/>
    <n v="159907.37160000001"/>
    <n v="5"/>
    <n v="53669.2"/>
    <n v="219560.69720000002"/>
  </r>
  <r>
    <x v="1"/>
    <s v="College of the Ouachitas"/>
    <s v="Formerly Ouachita Technical College."/>
    <n v="107521"/>
    <x v="8"/>
    <n v="0"/>
    <n v="0"/>
    <n v="0"/>
    <m/>
    <m/>
    <n v="0"/>
    <n v="0"/>
    <n v="0"/>
    <n v="0"/>
    <m/>
    <m/>
    <n v="0"/>
    <n v="0"/>
    <n v="0"/>
    <n v="0"/>
    <m/>
    <m/>
    <n v="0"/>
    <n v="0"/>
    <n v="0"/>
    <n v="0"/>
    <m/>
    <m/>
    <n v="0"/>
    <n v="0"/>
    <n v="0"/>
    <n v="0"/>
    <m/>
    <m/>
    <n v="0"/>
    <n v="32"/>
    <n v="43168.21875"/>
    <n v="1381383"/>
    <n v="35"/>
    <n v="42130.03"/>
    <n v="1474551.05"/>
    <n v="0"/>
    <n v="0"/>
    <n v="0"/>
    <m/>
    <m/>
    <n v="0"/>
    <n v="0"/>
    <n v="0"/>
    <n v="0"/>
    <m/>
    <m/>
    <n v="0"/>
    <n v="0"/>
    <n v="0"/>
    <n v="0"/>
    <m/>
    <m/>
    <n v="0"/>
    <n v="0"/>
    <n v="0"/>
    <n v="0"/>
    <m/>
    <m/>
    <n v="0"/>
    <n v="0"/>
    <n v="0"/>
    <n v="0"/>
    <m/>
    <m/>
    <n v="0"/>
    <n v="8"/>
    <n v="41268.875"/>
    <n v="270129.54820000002"/>
    <n v="5"/>
    <n v="44431.6"/>
    <n v="181769.67560000002"/>
  </r>
  <r>
    <x v="1"/>
    <s v="Cossatot Community College of the University of Arkansas"/>
    <m/>
    <n v="106795"/>
    <x v="8"/>
    <n v="0"/>
    <n v="0"/>
    <n v="0"/>
    <m/>
    <m/>
    <n v="0"/>
    <n v="0"/>
    <n v="0"/>
    <n v="0"/>
    <m/>
    <m/>
    <n v="0"/>
    <n v="0"/>
    <n v="0"/>
    <n v="0"/>
    <m/>
    <m/>
    <n v="0"/>
    <n v="0"/>
    <n v="0"/>
    <n v="0"/>
    <m/>
    <m/>
    <n v="0"/>
    <n v="0"/>
    <n v="0"/>
    <n v="0"/>
    <m/>
    <m/>
    <n v="0"/>
    <n v="31"/>
    <n v="39934.774193548386"/>
    <n v="1237978"/>
    <n v="29"/>
    <n v="40860.550000000003"/>
    <n v="1184955.9500000002"/>
    <n v="0"/>
    <n v="0"/>
    <n v="0"/>
    <m/>
    <m/>
    <n v="0"/>
    <n v="0"/>
    <n v="0"/>
    <n v="0"/>
    <m/>
    <m/>
    <n v="0"/>
    <n v="0"/>
    <n v="0"/>
    <n v="0"/>
    <m/>
    <m/>
    <n v="0"/>
    <n v="0"/>
    <n v="0"/>
    <n v="0"/>
    <m/>
    <m/>
    <n v="0"/>
    <n v="0"/>
    <n v="0"/>
    <n v="0"/>
    <m/>
    <m/>
    <n v="0"/>
    <n v="3"/>
    <n v="39708.333333333336"/>
    <n v="97468.075000000012"/>
    <n v="6"/>
    <n v="44502"/>
    <n v="218469.21840000001"/>
  </r>
  <r>
    <x v="1"/>
    <s v="East Arkansas Community College "/>
    <m/>
    <n v="106883"/>
    <x v="8"/>
    <n v="0"/>
    <n v="0"/>
    <n v="0"/>
    <m/>
    <m/>
    <n v="0"/>
    <n v="0"/>
    <n v="0"/>
    <n v="0"/>
    <m/>
    <m/>
    <n v="0"/>
    <n v="0"/>
    <n v="0"/>
    <n v="0"/>
    <m/>
    <m/>
    <n v="0"/>
    <n v="0"/>
    <n v="0"/>
    <n v="0"/>
    <m/>
    <m/>
    <n v="0"/>
    <n v="0"/>
    <n v="0"/>
    <n v="0"/>
    <m/>
    <m/>
    <n v="0"/>
    <n v="28"/>
    <n v="46553.5"/>
    <n v="1303498"/>
    <n v="26"/>
    <n v="46795.65"/>
    <n v="1216686.9000000001"/>
    <n v="0"/>
    <n v="0"/>
    <n v="0"/>
    <m/>
    <m/>
    <n v="0"/>
    <n v="0"/>
    <n v="0"/>
    <n v="0"/>
    <m/>
    <m/>
    <n v="0"/>
    <n v="0"/>
    <n v="0"/>
    <n v="0"/>
    <m/>
    <m/>
    <n v="0"/>
    <n v="0"/>
    <n v="0"/>
    <n v="0"/>
    <m/>
    <m/>
    <n v="0"/>
    <n v="0"/>
    <n v="0"/>
    <n v="0"/>
    <m/>
    <m/>
    <n v="0"/>
    <n v="6"/>
    <n v="50731.833333333336"/>
    <n v="249052.71620000002"/>
    <n v="9"/>
    <n v="51291.89"/>
    <n v="377703.21958200005"/>
  </r>
  <r>
    <x v="1"/>
    <s v="Mid-South Community College "/>
    <m/>
    <n v="107318"/>
    <x v="8"/>
    <n v="0"/>
    <n v="0"/>
    <n v="0"/>
    <m/>
    <m/>
    <n v="0"/>
    <n v="0"/>
    <n v="0"/>
    <n v="0"/>
    <m/>
    <m/>
    <n v="0"/>
    <n v="0"/>
    <n v="0"/>
    <n v="0"/>
    <m/>
    <m/>
    <n v="0"/>
    <n v="0"/>
    <n v="0"/>
    <n v="0"/>
    <m/>
    <m/>
    <n v="0"/>
    <n v="0"/>
    <n v="0"/>
    <n v="0"/>
    <m/>
    <m/>
    <n v="0"/>
    <n v="28"/>
    <n v="41124.25"/>
    <n v="1151479"/>
    <n v="27"/>
    <n v="40701.81"/>
    <n v="1098948.8699999999"/>
    <n v="0"/>
    <n v="0"/>
    <n v="0"/>
    <m/>
    <m/>
    <n v="0"/>
    <n v="0"/>
    <n v="0"/>
    <n v="0"/>
    <m/>
    <m/>
    <n v="0"/>
    <n v="0"/>
    <n v="0"/>
    <n v="0"/>
    <m/>
    <m/>
    <n v="0"/>
    <n v="0"/>
    <n v="0"/>
    <n v="0"/>
    <m/>
    <m/>
    <n v="0"/>
    <n v="0"/>
    <n v="0"/>
    <n v="0"/>
    <m/>
    <m/>
    <n v="0"/>
    <n v="12"/>
    <n v="56038.333333333336"/>
    <n v="550206.772"/>
    <n v="13"/>
    <n v="51458.46"/>
    <n v="547343.055636"/>
  </r>
  <r>
    <x v="1"/>
    <s v="North Arkansas College"/>
    <m/>
    <n v="107460"/>
    <x v="8"/>
    <n v="0"/>
    <n v="0"/>
    <n v="0"/>
    <m/>
    <m/>
    <n v="0"/>
    <n v="0"/>
    <n v="0"/>
    <n v="0"/>
    <m/>
    <m/>
    <n v="0"/>
    <n v="0"/>
    <n v="0"/>
    <n v="0"/>
    <m/>
    <m/>
    <n v="0"/>
    <n v="0"/>
    <n v="0"/>
    <n v="0"/>
    <m/>
    <m/>
    <n v="0"/>
    <n v="0"/>
    <n v="0"/>
    <n v="0"/>
    <m/>
    <m/>
    <n v="0"/>
    <n v="56"/>
    <n v="46755.571428571428"/>
    <n v="2618312"/>
    <n v="60"/>
    <n v="45685.18"/>
    <n v="2741110.8"/>
    <n v="0"/>
    <n v="0"/>
    <n v="0"/>
    <m/>
    <m/>
    <n v="0"/>
    <n v="0"/>
    <n v="0"/>
    <n v="0"/>
    <m/>
    <m/>
    <n v="0"/>
    <n v="0"/>
    <n v="0"/>
    <n v="0"/>
    <m/>
    <m/>
    <n v="0"/>
    <n v="0"/>
    <n v="0"/>
    <n v="0"/>
    <m/>
    <m/>
    <n v="0"/>
    <n v="0"/>
    <n v="0"/>
    <n v="0"/>
    <m/>
    <m/>
    <n v="0"/>
    <n v="9"/>
    <n v="56043.111111111109"/>
    <n v="412690.26160000003"/>
    <n v="10"/>
    <n v="51980.1"/>
    <n v="425301.17820000002"/>
  </r>
  <r>
    <x v="1"/>
    <s v="Ozarka College "/>
    <m/>
    <n v="107549"/>
    <x v="8"/>
    <n v="0"/>
    <n v="0"/>
    <n v="0"/>
    <m/>
    <m/>
    <n v="0"/>
    <n v="0"/>
    <n v="0"/>
    <n v="0"/>
    <m/>
    <m/>
    <n v="0"/>
    <n v="0"/>
    <n v="0"/>
    <n v="0"/>
    <m/>
    <m/>
    <n v="0"/>
    <n v="0"/>
    <n v="0"/>
    <n v="0"/>
    <m/>
    <m/>
    <n v="0"/>
    <n v="0"/>
    <n v="0"/>
    <n v="0"/>
    <m/>
    <m/>
    <n v="0"/>
    <n v="28"/>
    <n v="39972.892857142855"/>
    <n v="1119241"/>
    <n v="31"/>
    <n v="39436.449999999997"/>
    <n v="1222529.95"/>
    <n v="0"/>
    <n v="0"/>
    <n v="0"/>
    <m/>
    <m/>
    <n v="0"/>
    <n v="0"/>
    <n v="0"/>
    <n v="0"/>
    <m/>
    <m/>
    <n v="0"/>
    <n v="0"/>
    <n v="0"/>
    <n v="0"/>
    <m/>
    <m/>
    <n v="0"/>
    <n v="0"/>
    <n v="0"/>
    <n v="0"/>
    <m/>
    <m/>
    <n v="0"/>
    <n v="0"/>
    <n v="0"/>
    <n v="0"/>
    <m/>
    <m/>
    <n v="0"/>
    <n v="7"/>
    <n v="48835.428571428572"/>
    <n v="279700.03360000002"/>
    <n v="6"/>
    <n v="51133.67"/>
    <n v="251025.41276400004"/>
  </r>
  <r>
    <x v="1"/>
    <s v="Phillips Community College of the Univ of Arkansas"/>
    <m/>
    <n v="107619"/>
    <x v="8"/>
    <n v="0"/>
    <n v="0"/>
    <n v="0"/>
    <m/>
    <m/>
    <n v="0"/>
    <n v="0"/>
    <n v="0"/>
    <n v="0"/>
    <m/>
    <m/>
    <n v="0"/>
    <n v="0"/>
    <n v="0"/>
    <n v="0"/>
    <m/>
    <m/>
    <n v="0"/>
    <n v="0"/>
    <n v="0"/>
    <n v="0"/>
    <m/>
    <m/>
    <n v="0"/>
    <n v="0"/>
    <n v="0"/>
    <n v="0"/>
    <m/>
    <m/>
    <n v="0"/>
    <n v="66"/>
    <n v="38803.07575757576"/>
    <n v="2561003"/>
    <n v="66"/>
    <n v="38803.08"/>
    <n v="2561003.2800000003"/>
    <n v="0"/>
    <n v="0"/>
    <n v="0"/>
    <m/>
    <m/>
    <n v="0"/>
    <n v="0"/>
    <n v="0"/>
    <n v="0"/>
    <m/>
    <m/>
    <n v="0"/>
    <n v="0"/>
    <n v="0"/>
    <n v="0"/>
    <m/>
    <m/>
    <n v="0"/>
    <n v="0"/>
    <n v="0"/>
    <n v="0"/>
    <m/>
    <m/>
    <n v="0"/>
    <n v="0"/>
    <n v="0"/>
    <n v="0"/>
    <m/>
    <m/>
    <n v="0"/>
    <n v="13"/>
    <n v="46360.846153846156"/>
    <n v="493121.77620000002"/>
    <n v="13"/>
    <n v="46360.85"/>
    <n v="493121.81710999995"/>
  </r>
  <r>
    <x v="1"/>
    <s v="Rich Mountain Community College "/>
    <m/>
    <n v="107743"/>
    <x v="8"/>
    <n v="0"/>
    <n v="0"/>
    <n v="0"/>
    <m/>
    <m/>
    <n v="0"/>
    <n v="0"/>
    <n v="0"/>
    <n v="0"/>
    <m/>
    <m/>
    <n v="0"/>
    <n v="0"/>
    <n v="0"/>
    <n v="0"/>
    <m/>
    <m/>
    <n v="0"/>
    <n v="0"/>
    <n v="0"/>
    <n v="0"/>
    <m/>
    <m/>
    <n v="0"/>
    <n v="0"/>
    <n v="0"/>
    <n v="0"/>
    <m/>
    <m/>
    <n v="0"/>
    <n v="19"/>
    <n v="47491.210526315786"/>
    <n v="902333"/>
    <n v="20"/>
    <n v="47611.4"/>
    <n v="952228"/>
    <n v="0"/>
    <n v="0"/>
    <n v="0"/>
    <m/>
    <m/>
    <n v="0"/>
    <n v="0"/>
    <n v="0"/>
    <n v="0"/>
    <m/>
    <m/>
    <n v="0"/>
    <n v="0"/>
    <n v="0"/>
    <n v="0"/>
    <m/>
    <m/>
    <n v="0"/>
    <n v="0"/>
    <n v="0"/>
    <n v="0"/>
    <m/>
    <m/>
    <n v="0"/>
    <n v="0"/>
    <n v="0"/>
    <n v="0"/>
    <m/>
    <m/>
    <n v="0"/>
    <n v="2"/>
    <n v="37396.5"/>
    <n v="61195.632600000004"/>
    <n v="0"/>
    <m/>
    <n v="0"/>
  </r>
  <r>
    <x v="1"/>
    <s v="South Arkansas Community College"/>
    <m/>
    <n v="107974"/>
    <x v="8"/>
    <n v="0"/>
    <n v="0"/>
    <n v="0"/>
    <n v="10"/>
    <n v="54997.7"/>
    <n v="549977"/>
    <n v="0"/>
    <n v="0"/>
    <n v="0"/>
    <n v="2"/>
    <n v="46316"/>
    <n v="92632"/>
    <n v="0"/>
    <n v="0"/>
    <n v="0"/>
    <n v="1"/>
    <n v="37716"/>
    <n v="37716"/>
    <n v="0"/>
    <n v="0"/>
    <n v="0"/>
    <n v="20"/>
    <n v="39848.85"/>
    <n v="796977"/>
    <n v="0"/>
    <n v="0"/>
    <n v="0"/>
    <m/>
    <m/>
    <n v="0"/>
    <n v="32"/>
    <n v="44506"/>
    <n v="1424192"/>
    <m/>
    <m/>
    <n v="0"/>
    <n v="0"/>
    <n v="0"/>
    <n v="0"/>
    <n v="5"/>
    <n v="65055.6"/>
    <n v="266142.4596"/>
    <n v="0"/>
    <n v="0"/>
    <n v="0"/>
    <n v="2"/>
    <n v="56427.5"/>
    <n v="92337.96100000001"/>
    <n v="0"/>
    <n v="0"/>
    <n v="0"/>
    <n v="7"/>
    <n v="47470.71"/>
    <n v="271883.74445399997"/>
    <n v="0"/>
    <n v="0"/>
    <n v="0"/>
    <n v="14"/>
    <n v="44121.64"/>
    <n v="505404.56187199999"/>
    <n v="0"/>
    <n v="0"/>
    <n v="0"/>
    <m/>
    <m/>
    <n v="0"/>
    <n v="29"/>
    <n v="50320.137931034486"/>
    <n v="1193986.1688000001"/>
    <m/>
    <m/>
    <n v="0"/>
  </r>
  <r>
    <x v="1"/>
    <s v="Southeast Arkansas College"/>
    <m/>
    <n v="107637"/>
    <x v="8"/>
    <n v="0"/>
    <n v="0"/>
    <n v="0"/>
    <m/>
    <m/>
    <n v="0"/>
    <n v="0"/>
    <n v="0"/>
    <n v="0"/>
    <m/>
    <m/>
    <n v="0"/>
    <n v="0"/>
    <n v="0"/>
    <n v="0"/>
    <m/>
    <m/>
    <n v="0"/>
    <n v="0"/>
    <n v="0"/>
    <n v="0"/>
    <m/>
    <m/>
    <n v="0"/>
    <n v="0"/>
    <n v="0"/>
    <n v="0"/>
    <m/>
    <m/>
    <n v="0"/>
    <n v="43"/>
    <n v="42465.860465116282"/>
    <n v="1826032.0000000002"/>
    <n v="41"/>
    <n v="43307.98"/>
    <n v="1775627.1800000002"/>
    <n v="0"/>
    <n v="0"/>
    <n v="0"/>
    <m/>
    <m/>
    <n v="0"/>
    <n v="0"/>
    <n v="0"/>
    <n v="0"/>
    <m/>
    <m/>
    <n v="0"/>
    <n v="0"/>
    <n v="0"/>
    <n v="0"/>
    <m/>
    <m/>
    <n v="0"/>
    <n v="0"/>
    <n v="0"/>
    <n v="0"/>
    <m/>
    <m/>
    <n v="0"/>
    <n v="0"/>
    <n v="0"/>
    <n v="0"/>
    <m/>
    <m/>
    <n v="0"/>
    <n v="5"/>
    <n v="53877.4"/>
    <n v="220412.44340000002"/>
    <n v="8"/>
    <n v="54912.75"/>
    <n v="359436.89640000003"/>
  </r>
  <r>
    <x v="1"/>
    <s v="Southern Arkansas University Tech"/>
    <m/>
    <n v="107992"/>
    <x v="8"/>
    <n v="0"/>
    <n v="0"/>
    <n v="0"/>
    <m/>
    <m/>
    <n v="0"/>
    <n v="0"/>
    <n v="0"/>
    <n v="0"/>
    <m/>
    <m/>
    <n v="0"/>
    <n v="0"/>
    <n v="0"/>
    <n v="0"/>
    <m/>
    <m/>
    <n v="0"/>
    <n v="0"/>
    <n v="0"/>
    <n v="0"/>
    <m/>
    <m/>
    <n v="0"/>
    <n v="0"/>
    <n v="0"/>
    <n v="0"/>
    <m/>
    <m/>
    <n v="0"/>
    <n v="22"/>
    <n v="42151.36363636364"/>
    <n v="927330.00000000012"/>
    <n v="25"/>
    <n v="41642.160000000003"/>
    <n v="1041054.0000000001"/>
    <n v="0"/>
    <n v="0"/>
    <n v="0"/>
    <m/>
    <m/>
    <n v="0"/>
    <n v="0"/>
    <n v="0"/>
    <n v="0"/>
    <m/>
    <m/>
    <n v="0"/>
    <n v="0"/>
    <n v="0"/>
    <n v="0"/>
    <m/>
    <m/>
    <n v="0"/>
    <n v="0"/>
    <n v="0"/>
    <n v="0"/>
    <m/>
    <m/>
    <n v="0"/>
    <n v="0"/>
    <n v="0"/>
    <n v="0"/>
    <m/>
    <m/>
    <n v="0"/>
    <n v="9"/>
    <n v="45626.555555555555"/>
    <n v="335984.82980000001"/>
    <n v="9"/>
    <n v="44953.56"/>
    <n v="331029.02512800001"/>
  </r>
  <r>
    <x v="1"/>
    <s v="University of Arkansas Community College at Batesville"/>
    <m/>
    <n v="106999"/>
    <x v="8"/>
    <n v="0"/>
    <n v="0"/>
    <n v="0"/>
    <m/>
    <m/>
    <n v="0"/>
    <n v="0"/>
    <n v="0"/>
    <n v="0"/>
    <m/>
    <m/>
    <n v="0"/>
    <n v="0"/>
    <n v="0"/>
    <n v="0"/>
    <m/>
    <m/>
    <n v="0"/>
    <n v="0"/>
    <n v="0"/>
    <n v="0"/>
    <m/>
    <m/>
    <n v="0"/>
    <n v="0"/>
    <n v="0"/>
    <n v="0"/>
    <m/>
    <m/>
    <n v="0"/>
    <n v="31"/>
    <n v="40681.483870967742"/>
    <n v="1261126"/>
    <n v="29"/>
    <n v="39303.79"/>
    <n v="1139809.9099999999"/>
    <n v="0"/>
    <n v="0"/>
    <n v="0"/>
    <m/>
    <m/>
    <n v="0"/>
    <n v="0"/>
    <n v="0"/>
    <n v="0"/>
    <m/>
    <m/>
    <n v="0"/>
    <n v="0"/>
    <n v="0"/>
    <n v="0"/>
    <m/>
    <m/>
    <n v="0"/>
    <n v="0"/>
    <n v="0"/>
    <n v="0"/>
    <m/>
    <m/>
    <n v="0"/>
    <n v="0"/>
    <n v="0"/>
    <n v="0"/>
    <m/>
    <m/>
    <n v="0"/>
    <n v="18"/>
    <n v="50229.722222222219"/>
    <n v="739763.25699999998"/>
    <n v="18"/>
    <n v="48775.39"/>
    <n v="718344.43376400007"/>
  </r>
  <r>
    <x v="1"/>
    <s v="University of Arkansas Community College at Hope"/>
    <m/>
    <n v="107725"/>
    <x v="8"/>
    <n v="0"/>
    <n v="0"/>
    <n v="0"/>
    <m/>
    <m/>
    <n v="0"/>
    <n v="0"/>
    <n v="0"/>
    <n v="0"/>
    <m/>
    <m/>
    <n v="0"/>
    <n v="0"/>
    <n v="0"/>
    <n v="0"/>
    <m/>
    <m/>
    <n v="0"/>
    <n v="0"/>
    <n v="0"/>
    <n v="0"/>
    <m/>
    <m/>
    <n v="0"/>
    <n v="0"/>
    <n v="0"/>
    <n v="0"/>
    <m/>
    <m/>
    <n v="0"/>
    <n v="32"/>
    <n v="39593.5"/>
    <n v="1266992"/>
    <n v="31"/>
    <n v="38995.94"/>
    <n v="1208874.1400000001"/>
    <n v="0"/>
    <n v="0"/>
    <n v="0"/>
    <m/>
    <m/>
    <n v="0"/>
    <n v="0"/>
    <n v="0"/>
    <n v="0"/>
    <m/>
    <m/>
    <n v="0"/>
    <n v="0"/>
    <n v="0"/>
    <n v="0"/>
    <m/>
    <m/>
    <n v="0"/>
    <n v="0"/>
    <n v="0"/>
    <n v="0"/>
    <m/>
    <m/>
    <n v="0"/>
    <n v="0"/>
    <n v="0"/>
    <n v="0"/>
    <m/>
    <m/>
    <n v="0"/>
    <n v="6"/>
    <n v="61883"/>
    <n v="303796.02360000001"/>
    <n v="6"/>
    <n v="63090.67"/>
    <n v="309724.71716400003"/>
  </r>
  <r>
    <x v="1"/>
    <s v="University of Arkansas Community College at Morrilton"/>
    <m/>
    <n v="107585"/>
    <x v="8"/>
    <n v="0"/>
    <n v="0"/>
    <n v="0"/>
    <m/>
    <m/>
    <n v="0"/>
    <n v="0"/>
    <n v="0"/>
    <n v="0"/>
    <m/>
    <m/>
    <n v="0"/>
    <n v="0"/>
    <n v="0"/>
    <n v="0"/>
    <m/>
    <m/>
    <n v="0"/>
    <n v="0"/>
    <n v="0"/>
    <n v="0"/>
    <m/>
    <m/>
    <n v="0"/>
    <n v="0"/>
    <n v="0"/>
    <n v="0"/>
    <m/>
    <m/>
    <n v="0"/>
    <n v="68"/>
    <n v="40233.823529411762"/>
    <n v="2735900"/>
    <n v="58"/>
    <n v="44988.12"/>
    <n v="2609310.96"/>
    <n v="0"/>
    <n v="0"/>
    <n v="0"/>
    <m/>
    <m/>
    <n v="0"/>
    <n v="0"/>
    <n v="0"/>
    <n v="0"/>
    <m/>
    <m/>
    <n v="0"/>
    <n v="0"/>
    <n v="0"/>
    <n v="0"/>
    <m/>
    <m/>
    <n v="0"/>
    <n v="0"/>
    <n v="0"/>
    <n v="0"/>
    <m/>
    <m/>
    <n v="0"/>
    <n v="0"/>
    <n v="0"/>
    <n v="0"/>
    <m/>
    <m/>
    <n v="0"/>
    <n v="0"/>
    <n v="0"/>
    <n v="0"/>
    <n v="8"/>
    <n v="46553.75"/>
    <n v="304722.22600000002"/>
  </r>
  <r>
    <x v="2"/>
    <s v="University of Delaware"/>
    <m/>
    <n v="130943"/>
    <x v="0"/>
    <n v="340"/>
    <n v="135635"/>
    <n v="46115900"/>
    <n v="359"/>
    <n v="139178"/>
    <n v="49964902"/>
    <n v="330"/>
    <n v="91859"/>
    <n v="30313470"/>
    <n v="317"/>
    <n v="94661"/>
    <n v="30007537"/>
    <n v="275"/>
    <n v="78538"/>
    <n v="21597950"/>
    <n v="285"/>
    <n v="81954"/>
    <n v="23356890"/>
    <n v="94"/>
    <n v="61766"/>
    <n v="5806004"/>
    <n v="90"/>
    <n v="66080"/>
    <n v="5947200"/>
    <n v="0"/>
    <m/>
    <n v="0"/>
    <n v="0"/>
    <n v="0"/>
    <n v="0"/>
    <m/>
    <m/>
    <n v="0"/>
    <m/>
    <m/>
    <n v="0"/>
    <n v="39"/>
    <n v="153510"/>
    <n v="4898473.398"/>
    <n v="36"/>
    <n v="161002"/>
    <n v="4742346.1104000006"/>
    <n v="20"/>
    <n v="108597"/>
    <n v="1777081.3080000002"/>
    <n v="17"/>
    <n v="111610"/>
    <n v="1552428.1340000001"/>
    <n v="15"/>
    <n v="81047"/>
    <n v="994689.83100000001"/>
    <n v="15"/>
    <n v="88935"/>
    <n v="1091499.2550000001"/>
    <n v="13"/>
    <n v="65579"/>
    <n v="697537.59140000003"/>
    <n v="12"/>
    <n v="63727"/>
    <n v="625697.17680000002"/>
    <n v="0"/>
    <m/>
    <n v="0"/>
    <n v="0"/>
    <n v="0"/>
    <n v="0"/>
    <m/>
    <m/>
    <n v="0"/>
    <n v="0"/>
    <n v="0"/>
    <n v="0"/>
  </r>
  <r>
    <x v="2"/>
    <s v="Delaware State University"/>
    <s v="Met the criteria for Four-Year 3 in 2010-11 and 2011-12."/>
    <n v="130934"/>
    <x v="3"/>
    <n v="20"/>
    <n v="80156"/>
    <n v="1603120"/>
    <n v="28"/>
    <n v="78554"/>
    <n v="2199512"/>
    <n v="62"/>
    <n v="67605"/>
    <n v="4191510"/>
    <n v="72"/>
    <n v="64313"/>
    <n v="4630536"/>
    <n v="53"/>
    <n v="61599"/>
    <n v="3264747"/>
    <n v="54"/>
    <n v="59104"/>
    <n v="3191616"/>
    <n v="11"/>
    <n v="56856"/>
    <n v="625416"/>
    <n v="12"/>
    <n v="47244"/>
    <n v="566928"/>
    <n v="2"/>
    <n v="41893"/>
    <n v="83786"/>
    <n v="2"/>
    <n v="47000"/>
    <n v="94000"/>
    <m/>
    <m/>
    <n v="0"/>
    <m/>
    <m/>
    <n v="0"/>
    <n v="16"/>
    <n v="95348"/>
    <n v="1248219.7376000001"/>
    <n v="11"/>
    <n v="102307"/>
    <n v="920783.46140000003"/>
    <n v="24"/>
    <n v="69440"/>
    <n v="1363579.392"/>
    <n v="19"/>
    <n v="72315"/>
    <n v="1124194.527"/>
    <n v="10"/>
    <n v="61421"/>
    <n v="502546.62200000003"/>
    <n v="9"/>
    <n v="64841"/>
    <n v="477476.15580000001"/>
    <n v="0"/>
    <m/>
    <n v="0"/>
    <m/>
    <m/>
    <n v="0"/>
    <m/>
    <m/>
    <n v="0"/>
    <m/>
    <m/>
    <n v="0"/>
    <m/>
    <m/>
    <n v="0"/>
    <m/>
    <m/>
    <n v="0"/>
  </r>
  <r>
    <x v="2"/>
    <s v="Delaware Technical and Community College--Stanton-Wilmington"/>
    <s v="Reclassified: Met the criteria for Two-Year 1 in 2009-10, 2010-11 and 2011-12."/>
    <n v="130916"/>
    <x v="6"/>
    <m/>
    <m/>
    <n v="0"/>
    <m/>
    <m/>
    <n v="0"/>
    <m/>
    <m/>
    <n v="0"/>
    <m/>
    <m/>
    <n v="0"/>
    <m/>
    <m/>
    <n v="0"/>
    <m/>
    <m/>
    <n v="0"/>
    <m/>
    <m/>
    <n v="0"/>
    <m/>
    <m/>
    <n v="0"/>
    <m/>
    <m/>
    <n v="0"/>
    <m/>
    <m/>
    <n v="0"/>
    <n v="134"/>
    <n v="63911"/>
    <n v="8564074"/>
    <n v="125"/>
    <n v="64430"/>
    <n v="8053750"/>
    <m/>
    <m/>
    <n v="0"/>
    <m/>
    <m/>
    <n v="0"/>
    <m/>
    <m/>
    <n v="0"/>
    <m/>
    <m/>
    <n v="0"/>
    <m/>
    <m/>
    <n v="0"/>
    <m/>
    <m/>
    <n v="0"/>
    <m/>
    <m/>
    <n v="0"/>
    <m/>
    <m/>
    <n v="0"/>
    <m/>
    <m/>
    <n v="0"/>
    <m/>
    <m/>
    <n v="0"/>
    <n v="45"/>
    <n v="78306"/>
    <n v="2883148.6140000001"/>
    <n v="51"/>
    <n v="77726"/>
    <n v="3243366.0732"/>
  </r>
  <r>
    <x v="2"/>
    <s v="Delaware Technical and Community College--Owens"/>
    <m/>
    <n v="130891"/>
    <x v="7"/>
    <m/>
    <m/>
    <n v="0"/>
    <m/>
    <m/>
    <n v="0"/>
    <m/>
    <m/>
    <n v="0"/>
    <m/>
    <m/>
    <n v="0"/>
    <m/>
    <m/>
    <n v="0"/>
    <m/>
    <m/>
    <n v="0"/>
    <m/>
    <m/>
    <n v="0"/>
    <m/>
    <m/>
    <n v="0"/>
    <m/>
    <m/>
    <n v="0"/>
    <m/>
    <m/>
    <n v="0"/>
    <n v="80"/>
    <n v="63759"/>
    <n v="5100720"/>
    <n v="77"/>
    <n v="64640"/>
    <n v="4977280"/>
    <m/>
    <m/>
    <n v="0"/>
    <m/>
    <m/>
    <n v="0"/>
    <m/>
    <m/>
    <n v="0"/>
    <m/>
    <m/>
    <n v="0"/>
    <m/>
    <m/>
    <n v="0"/>
    <m/>
    <m/>
    <n v="0"/>
    <m/>
    <m/>
    <n v="0"/>
    <m/>
    <m/>
    <n v="0"/>
    <m/>
    <m/>
    <n v="0"/>
    <m/>
    <m/>
    <n v="0"/>
    <n v="41"/>
    <n v="77530"/>
    <n v="2600836.8859999999"/>
    <n v="45"/>
    <n v="79585"/>
    <n v="2930240.1150000002"/>
  </r>
  <r>
    <x v="2"/>
    <s v="Delaware Technical and Community College--Terry"/>
    <m/>
    <n v="130907"/>
    <x v="8"/>
    <m/>
    <m/>
    <n v="0"/>
    <m/>
    <m/>
    <n v="0"/>
    <m/>
    <m/>
    <n v="0"/>
    <m/>
    <m/>
    <n v="0"/>
    <m/>
    <m/>
    <n v="0"/>
    <m/>
    <m/>
    <n v="0"/>
    <m/>
    <m/>
    <n v="0"/>
    <m/>
    <m/>
    <n v="0"/>
    <m/>
    <m/>
    <n v="0"/>
    <m/>
    <m/>
    <n v="0"/>
    <n v="60"/>
    <n v="63681"/>
    <n v="3820860"/>
    <n v="58"/>
    <n v="63549"/>
    <n v="3685842"/>
    <m/>
    <m/>
    <n v="0"/>
    <m/>
    <m/>
    <n v="0"/>
    <m/>
    <m/>
    <n v="0"/>
    <m/>
    <m/>
    <n v="0"/>
    <m/>
    <m/>
    <n v="0"/>
    <m/>
    <m/>
    <n v="0"/>
    <m/>
    <m/>
    <n v="0"/>
    <m/>
    <m/>
    <n v="0"/>
    <m/>
    <m/>
    <n v="0"/>
    <m/>
    <m/>
    <n v="0"/>
    <n v="24"/>
    <n v="77979"/>
    <n v="1531258.0272000001"/>
    <n v="27"/>
    <n v="76290"/>
    <n v="1685352.9060000002"/>
  </r>
  <r>
    <x v="3"/>
    <s v="Florida International University"/>
    <m/>
    <n v="133951"/>
    <x v="0"/>
    <n v="198"/>
    <n v="112485.42545454546"/>
    <n v="22272114.240000002"/>
    <n v="208"/>
    <n v="113626.77961538461"/>
    <n v="23634370.16"/>
    <n v="248"/>
    <n v="81294.390846774186"/>
    <n v="20161008.93"/>
    <n v="240"/>
    <n v="82573.168374999994"/>
    <n v="19817560.41"/>
    <n v="211"/>
    <n v="73105.763270142183"/>
    <n v="15425316.050000001"/>
    <n v="228"/>
    <n v="74246.975877192977"/>
    <n v="16928310.5"/>
    <n v="111"/>
    <n v="53853.389009009006"/>
    <n v="5977726.1799999997"/>
    <n v="123"/>
    <n v="55194.510569105689"/>
    <n v="6788924.7999999998"/>
    <n v="40"/>
    <n v="65280"/>
    <n v="2611200"/>
    <n v="0"/>
    <m/>
    <n v="0"/>
    <m/>
    <m/>
    <n v="0"/>
    <m/>
    <m/>
    <n v="0"/>
    <n v="17"/>
    <n v="197040.34882352941"/>
    <n v="2740713.0279259998"/>
    <n v="14"/>
    <n v="181460.58714285717"/>
    <n v="2078594.7336040002"/>
    <n v="11"/>
    <n v="119851.94545454545"/>
    <n v="1078691.47948"/>
    <n v="14"/>
    <n v="126427.62571428572"/>
    <n v="1448203.1670320001"/>
    <n v="8"/>
    <n v="102716.58875"/>
    <n v="672341.70332199999"/>
    <n v="15"/>
    <n v="101458.68066666667"/>
    <n v="1245202.3878220001"/>
    <n v="9"/>
    <n v="86410.183333333334"/>
    <n v="636307.30803000007"/>
    <n v="10"/>
    <n v="82977.062999999995"/>
    <n v="678918.32946599997"/>
    <n v="7"/>
    <n v="88181.349999999991"/>
    <n v="505049.86398999998"/>
    <n v="0"/>
    <m/>
    <n v="0"/>
    <m/>
    <m/>
    <n v="0"/>
    <m/>
    <m/>
    <n v="0"/>
  </r>
  <r>
    <x v="3"/>
    <s v="Florida State University "/>
    <m/>
    <n v="134097"/>
    <x v="0"/>
    <n v="442"/>
    <n v="103432.64027149322"/>
    <n v="45717227"/>
    <n v="441"/>
    <n v="108180.68253968254"/>
    <n v="47707681"/>
    <n v="342"/>
    <n v="73725.54678362573"/>
    <n v="25214137"/>
    <n v="327"/>
    <n v="75485.715596330279"/>
    <n v="24683829"/>
    <n v="239"/>
    <n v="72372.456066945611"/>
    <n v="17297017"/>
    <n v="228"/>
    <n v="75941.280701754382"/>
    <n v="17314612"/>
    <n v="4"/>
    <n v="34267.5"/>
    <n v="137070"/>
    <n v="2"/>
    <n v="46446"/>
    <n v="92892"/>
    <n v="117"/>
    <n v="52866.837606837609"/>
    <n v="6185420"/>
    <n v="117"/>
    <n v="55637.965811965812"/>
    <n v="6509642"/>
    <m/>
    <m/>
    <n v="0"/>
    <m/>
    <m/>
    <n v="0"/>
    <n v="5"/>
    <n v="149330.79999999999"/>
    <n v="610912.30280000006"/>
    <n v="7"/>
    <n v="192587"/>
    <n v="1103022.7838000001"/>
    <n v="0"/>
    <m/>
    <n v="0"/>
    <n v="1"/>
    <n v="96006"/>
    <n v="78552.109200000006"/>
    <n v="1"/>
    <n v="66000"/>
    <n v="54001.200000000004"/>
    <n v="1"/>
    <n v="106153"/>
    <n v="86854.384600000005"/>
    <n v="1"/>
    <n v="36000"/>
    <n v="29455.200000000001"/>
    <n v="5"/>
    <n v="36000"/>
    <n v="147276"/>
    <n v="97"/>
    <n v="67485.47422680413"/>
    <n v="5356011.656200001"/>
    <n v="111"/>
    <n v="69739.801801801805"/>
    <n v="6333782.7476000004"/>
    <m/>
    <m/>
    <n v="0"/>
    <m/>
    <m/>
    <n v="0"/>
  </r>
  <r>
    <x v="3"/>
    <s v="University of Central Florida "/>
    <m/>
    <n v="132903"/>
    <x v="0"/>
    <n v="200"/>
    <n v="111912.2"/>
    <n v="22382440"/>
    <n v="193"/>
    <n v="117002.34196891192"/>
    <n v="22581452"/>
    <n v="296"/>
    <n v="76835.138513513521"/>
    <n v="22743201.000000004"/>
    <n v="305"/>
    <n v="79753.570491803272"/>
    <n v="24324838.999999996"/>
    <n v="198"/>
    <n v="63603.984848484848"/>
    <n v="12593589"/>
    <n v="214"/>
    <n v="65403.350467289718"/>
    <n v="13996317"/>
    <n v="256"/>
    <n v="44946.38671875"/>
    <n v="11506275"/>
    <n v="267"/>
    <n v="46624.183520599254"/>
    <n v="12448657"/>
    <n v="62"/>
    <n v="56754.661290322583"/>
    <n v="3518789"/>
    <n v="0"/>
    <m/>
    <n v="0"/>
    <m/>
    <m/>
    <n v="0"/>
    <m/>
    <m/>
    <n v="0"/>
    <n v="46"/>
    <n v="163851.17391304349"/>
    <n v="6166899.4028000003"/>
    <n v="36"/>
    <n v="161064.47222222222"/>
    <n v="4744186.2422000002"/>
    <n v="19"/>
    <n v="132341.31578947368"/>
    <n v="2057351.6270000001"/>
    <n v="18"/>
    <n v="130082.05555555556"/>
    <n v="1915796.4814000002"/>
    <n v="11"/>
    <n v="132597.27272727274"/>
    <n v="1193401.9740000002"/>
    <n v="0"/>
    <m/>
    <n v="0"/>
    <n v="54"/>
    <n v="58996.592592592591"/>
    <n v="2606634.6512000002"/>
    <n v="53"/>
    <n v="62167.07547169811"/>
    <n v="2695850.361"/>
    <n v="3"/>
    <n v="97050"/>
    <n v="238218.93000000002"/>
    <n v="0"/>
    <m/>
    <n v="0"/>
    <m/>
    <m/>
    <n v="0"/>
    <m/>
    <m/>
    <n v="0"/>
  </r>
  <r>
    <x v="3"/>
    <s v="University of Florida"/>
    <m/>
    <n v="134130"/>
    <x v="0"/>
    <n v="470"/>
    <n v="125476.27234042554"/>
    <n v="58973848"/>
    <n v="485"/>
    <n v="125356.40618556702"/>
    <n v="60797857"/>
    <n v="418"/>
    <n v="81057.363636363632"/>
    <n v="33881978"/>
    <n v="415"/>
    <n v="81149.518072289153"/>
    <n v="33677050"/>
    <n v="282"/>
    <n v="73116.907801418434"/>
    <n v="20618968"/>
    <n v="248"/>
    <n v="75511.475806451606"/>
    <n v="18726846"/>
    <n v="0"/>
    <m/>
    <n v="0"/>
    <n v="0"/>
    <m/>
    <n v="0"/>
    <n v="133"/>
    <n v="56910.977443609023"/>
    <n v="7569160"/>
    <n v="0"/>
    <m/>
    <n v="0"/>
    <m/>
    <m/>
    <n v="0"/>
    <m/>
    <m/>
    <n v="0"/>
    <n v="219"/>
    <n v="140314.27397260274"/>
    <n v="25142325.433200002"/>
    <n v="221"/>
    <n v="139127.51131221719"/>
    <n v="25157342.676000003"/>
    <n v="171"/>
    <n v="94579.233918128652"/>
    <n v="13232788.6918"/>
    <n v="182"/>
    <n v="94964.225274725279"/>
    <n v="14141350.699800001"/>
    <n v="232"/>
    <n v="76558.625"/>
    <n v="14532541.938200001"/>
    <n v="233"/>
    <n v="75719.570815450643"/>
    <n v="14435224.412"/>
    <n v="0"/>
    <m/>
    <n v="0"/>
    <n v="0"/>
    <m/>
    <n v="0"/>
    <n v="67"/>
    <n v="75887.507462686568"/>
    <n v="4160107.6266000001"/>
    <n v="0"/>
    <m/>
    <n v="0"/>
    <m/>
    <m/>
    <n v="0"/>
    <m/>
    <m/>
    <n v="0"/>
  </r>
  <r>
    <x v="3"/>
    <s v="University of South Florida "/>
    <m/>
    <n v="137351"/>
    <x v="0"/>
    <n v="279"/>
    <n v="108733.74551971327"/>
    <n v="30336715"/>
    <n v="272"/>
    <n v="110724.83455882352"/>
    <n v="30117155"/>
    <n v="316"/>
    <n v="77253.465189873416"/>
    <n v="24412095"/>
    <n v="326"/>
    <n v="80012.48466257668"/>
    <n v="26084069.999999996"/>
    <n v="311"/>
    <n v="67640.816720257237"/>
    <n v="21036294"/>
    <n v="311"/>
    <n v="70159.067524115759"/>
    <n v="21819470"/>
    <n v="147"/>
    <n v="53529.394557823129"/>
    <n v="7868821"/>
    <n v="152"/>
    <n v="53352.697368421053"/>
    <n v="8109610"/>
    <n v="9"/>
    <n v="52629.111111111109"/>
    <n v="473662"/>
    <n v="0"/>
    <m/>
    <n v="0"/>
    <m/>
    <m/>
    <n v="0"/>
    <m/>
    <m/>
    <n v="0"/>
    <n v="68"/>
    <n v="134360.66176470587"/>
    <n v="7475504.7549999999"/>
    <n v="66"/>
    <n v="113614.68181818182"/>
    <n v="6135329.1557999998"/>
    <n v="55"/>
    <n v="95552.654545454541"/>
    <n v="4299965.0071999999"/>
    <n v="38"/>
    <n v="83578.105263157893"/>
    <n v="2598577.0175999999"/>
    <n v="53"/>
    <n v="76724.75471698113"/>
    <n v="3327138.2984000002"/>
    <n v="44"/>
    <n v="65771.75"/>
    <n v="2367835.6174000003"/>
    <n v="77"/>
    <n v="58835.038961038961"/>
    <n v="3706689.8236000002"/>
    <n v="78"/>
    <n v="48867.538461538461"/>
    <n v="3118706.7576000001"/>
    <n v="2"/>
    <n v="59807"/>
    <n v="97868.174800000008"/>
    <n v="0"/>
    <m/>
    <n v="0"/>
    <m/>
    <m/>
    <n v="0"/>
    <m/>
    <m/>
    <n v="0"/>
  </r>
  <r>
    <x v="3"/>
    <s v="Florida Atlantic University "/>
    <m/>
    <n v="133669"/>
    <x v="1"/>
    <n v="189"/>
    <n v="96491.153439153437"/>
    <n v="18236828"/>
    <n v="194"/>
    <n v="95953.407216494845"/>
    <n v="18614961"/>
    <n v="216"/>
    <n v="72057.481481481474"/>
    <n v="15564415.999999998"/>
    <n v="224"/>
    <n v="72154.767857142855"/>
    <n v="16162668"/>
    <n v="160"/>
    <n v="64214.393750000003"/>
    <n v="10274303"/>
    <n v="146"/>
    <n v="65129.979452054795"/>
    <n v="9508977"/>
    <n v="152"/>
    <n v="46307.21710526316"/>
    <n v="7038697"/>
    <n v="160"/>
    <n v="46648.731249999997"/>
    <n v="7463797"/>
    <n v="2"/>
    <n v="50924.5"/>
    <n v="101849"/>
    <n v="0"/>
    <m/>
    <n v="0"/>
    <m/>
    <m/>
    <n v="0"/>
    <m/>
    <m/>
    <n v="0"/>
    <n v="4"/>
    <n v="128481.25"/>
    <n v="420493.435"/>
    <n v="2"/>
    <n v="113998.5"/>
    <n v="186547.14540000001"/>
    <n v="14"/>
    <n v="94300.28571428571"/>
    <n v="1080190.9128"/>
    <n v="5"/>
    <n v="92780"/>
    <n v="379562.98000000004"/>
    <n v="6"/>
    <n v="72221"/>
    <n v="354547.33319999999"/>
    <n v="2"/>
    <n v="66957"/>
    <n v="109568.4348"/>
    <n v="30"/>
    <n v="67658.2"/>
    <n v="1660738.1772"/>
    <n v="28"/>
    <n v="67152.25"/>
    <n v="1538431.1866000001"/>
    <n v="1"/>
    <n v="72157"/>
    <n v="59038.857400000001"/>
    <n v="1"/>
    <n v="66862"/>
    <n v="54706.488400000002"/>
    <m/>
    <m/>
    <n v="0"/>
    <m/>
    <m/>
    <n v="0"/>
  </r>
  <r>
    <x v="3"/>
    <s v="Florida Agricultural &amp; Mechanical University "/>
    <s v="Met the criteria for Four-Year 2 in 2011-12."/>
    <n v="133650"/>
    <x v="2"/>
    <n v="85"/>
    <n v="87729.623529411765"/>
    <n v="7457018"/>
    <n v="80"/>
    <n v="90403.199999999997"/>
    <n v="7232256"/>
    <n v="124"/>
    <n v="72496.661290322576"/>
    <n v="8989586"/>
    <n v="129"/>
    <n v="74278.844961240306"/>
    <n v="9581971"/>
    <n v="114"/>
    <n v="61973.973684210527"/>
    <n v="7065033"/>
    <n v="95"/>
    <n v="60404.757894736846"/>
    <n v="5738452"/>
    <n v="42"/>
    <n v="52771.214285714283"/>
    <n v="2216391"/>
    <n v="41"/>
    <n v="54873.121951219509"/>
    <n v="2249798"/>
    <n v="0"/>
    <m/>
    <n v="0"/>
    <n v="0"/>
    <m/>
    <n v="0"/>
    <m/>
    <m/>
    <n v="0"/>
    <m/>
    <m/>
    <n v="0"/>
    <n v="74"/>
    <n v="103653.94594594595"/>
    <n v="6275914.7344000004"/>
    <n v="64"/>
    <n v="109748.625"/>
    <n v="5746964.7984000007"/>
    <n v="55"/>
    <n v="90655.2"/>
    <n v="4079574.6552000004"/>
    <n v="55"/>
    <n v="91986.272727272721"/>
    <n v="4139474.2590000001"/>
    <n v="52"/>
    <n v="76161.480769230766"/>
    <n v="3240396.8254"/>
    <n v="48"/>
    <n v="72799.854166666672"/>
    <n v="2859112.3526000003"/>
    <n v="27"/>
    <n v="59160.333333333336"/>
    <n v="1306934.5878000001"/>
    <n v="25"/>
    <n v="62651.96"/>
    <n v="1281545.8418000001"/>
    <n v="0"/>
    <m/>
    <n v="0"/>
    <n v="0"/>
    <m/>
    <n v="0"/>
    <m/>
    <m/>
    <n v="0"/>
    <m/>
    <m/>
    <n v="0"/>
  </r>
  <r>
    <x v="3"/>
    <s v="University of North Florida"/>
    <m/>
    <n v="136172"/>
    <x v="2"/>
    <n v="67"/>
    <n v="91211.67164179105"/>
    <n v="6111182"/>
    <n v="70"/>
    <n v="94772.457142857136"/>
    <n v="6634072"/>
    <n v="127"/>
    <n v="66596.716535433065"/>
    <n v="8457783"/>
    <n v="130"/>
    <n v="67775.530769230769"/>
    <n v="8810819"/>
    <n v="146"/>
    <n v="55262.219178082189"/>
    <n v="8068284"/>
    <n v="155"/>
    <n v="57376.503225806453"/>
    <n v="8893358"/>
    <n v="75"/>
    <n v="43268.386666666665"/>
    <n v="3245129"/>
    <n v="73"/>
    <n v="44267.397260273974"/>
    <n v="3231520"/>
    <n v="1"/>
    <n v="40000"/>
    <n v="40000"/>
    <n v="0"/>
    <m/>
    <n v="0"/>
    <m/>
    <m/>
    <n v="0"/>
    <m/>
    <m/>
    <n v="0"/>
    <n v="10"/>
    <n v="132857"/>
    <n v="1087035.9740000002"/>
    <n v="10"/>
    <n v="130985.4"/>
    <n v="1071722.5427999999"/>
    <n v="8"/>
    <n v="109326.25"/>
    <n v="715605.902"/>
    <n v="6"/>
    <n v="108300"/>
    <n v="531666.36"/>
    <n v="4"/>
    <n v="96750"/>
    <n v="316643.40000000002"/>
    <n v="4"/>
    <n v="98113.75"/>
    <n v="321106.68100000004"/>
    <n v="5"/>
    <n v="66643.8"/>
    <n v="272639.78580000001"/>
    <n v="6"/>
    <n v="66278"/>
    <n v="325371.95760000002"/>
    <n v="7"/>
    <n v="46103.714285714283"/>
    <n v="264054.41320000001"/>
    <n v="0"/>
    <m/>
    <n v="0"/>
    <m/>
    <m/>
    <n v="0"/>
    <m/>
    <m/>
    <n v="0"/>
  </r>
  <r>
    <x v="3"/>
    <s v="University of West Florida"/>
    <m/>
    <n v="138354"/>
    <x v="2"/>
    <n v="53"/>
    <n v="88849.018867924533"/>
    <n v="4708998"/>
    <n v="58"/>
    <n v="86041.534482758623"/>
    <n v="4990409"/>
    <n v="79"/>
    <n v="65568.936708860754"/>
    <n v="5179946"/>
    <n v="75"/>
    <n v="63320.84"/>
    <n v="4749063"/>
    <n v="68"/>
    <n v="56020.75"/>
    <n v="3809411"/>
    <n v="74"/>
    <n v="57440.2027027027"/>
    <n v="4250575"/>
    <n v="27"/>
    <n v="43700.555555555555"/>
    <n v="1179915"/>
    <n v="26"/>
    <n v="43967.538461538461"/>
    <n v="1143156"/>
    <n v="8"/>
    <n v="46864"/>
    <n v="374912"/>
    <n v="1"/>
    <n v="59510"/>
    <n v="59510"/>
    <m/>
    <m/>
    <n v="0"/>
    <m/>
    <m/>
    <n v="0"/>
    <n v="15"/>
    <n v="114868.73333333334"/>
    <n v="1409783.9642"/>
    <n v="16"/>
    <n v="115099.6875"/>
    <n v="1506793.0290000001"/>
    <n v="10"/>
    <n v="93163"/>
    <n v="762259.66600000008"/>
    <n v="10"/>
    <n v="90536.7"/>
    <n v="740771.2794"/>
    <n v="4"/>
    <n v="65911.75"/>
    <n v="215715.9754"/>
    <n v="2"/>
    <n v="63133.5"/>
    <n v="103311.6594"/>
    <n v="10"/>
    <n v="58591.1"/>
    <n v="479392.38020000001"/>
    <n v="9"/>
    <n v="58706.333333333336"/>
    <n v="432301.6974"/>
    <n v="29"/>
    <n v="58929.758620689652"/>
    <n v="1398273.5266"/>
    <n v="8"/>
    <n v="51107.375"/>
    <n v="334528.4338"/>
    <m/>
    <m/>
    <n v="0"/>
    <m/>
    <m/>
    <n v="0"/>
  </r>
  <r>
    <x v="3"/>
    <s v="Florida Gulf Coast University"/>
    <m/>
    <n v="433660"/>
    <x v="3"/>
    <n v="46"/>
    <n v="86391.195652173919"/>
    <n v="3973995.0000000005"/>
    <n v="48"/>
    <n v="87280.666666666672"/>
    <n v="4189472"/>
    <n v="81"/>
    <n v="70359.617283950618"/>
    <n v="5699129"/>
    <n v="82"/>
    <n v="70349.085365853665"/>
    <n v="5768625.0000000009"/>
    <n v="106"/>
    <n v="55292.943396226416"/>
    <n v="5861052"/>
    <n v="110"/>
    <n v="59186.509090909094"/>
    <n v="6510516"/>
    <n v="70"/>
    <n v="41290.542857142857"/>
    <n v="2890338"/>
    <n v="78"/>
    <n v="41800.756410256414"/>
    <n v="3260459.0000000005"/>
    <n v="0"/>
    <m/>
    <n v="0"/>
    <n v="0"/>
    <m/>
    <n v="0"/>
    <m/>
    <m/>
    <n v="0"/>
    <m/>
    <m/>
    <n v="0"/>
    <n v="18"/>
    <n v="115922.55555555556"/>
    <n v="1707261.0292"/>
    <n v="16"/>
    <n v="125154.5"/>
    <n v="1638422.5904000001"/>
    <n v="14"/>
    <n v="94400.142857142855"/>
    <n v="1081334.7564000001"/>
    <n v="17"/>
    <n v="85962.529411764699"/>
    <n v="1195687.2066000002"/>
    <n v="18"/>
    <n v="75494.777777777781"/>
    <n v="1111856.8892000001"/>
    <n v="22"/>
    <n v="77151.272727272721"/>
    <n v="1388753.7695999998"/>
    <n v="20"/>
    <n v="65934.45"/>
    <n v="1078951.3398"/>
    <n v="21"/>
    <n v="64943.142857142855"/>
    <n v="1115866.0692"/>
    <n v="0"/>
    <m/>
    <n v="0"/>
    <n v="0"/>
    <m/>
    <n v="0"/>
    <m/>
    <m/>
    <n v="0"/>
    <m/>
    <m/>
    <n v="0"/>
  </r>
  <r>
    <x v="3"/>
    <s v="New College of Florida"/>
    <m/>
    <n v="262129"/>
    <x v="5"/>
    <n v="24"/>
    <n v="82860.049583333326"/>
    <n v="1988641.19"/>
    <n v="26"/>
    <n v="81942.025384615394"/>
    <n v="2130492.66"/>
    <n v="24"/>
    <n v="66594.874639999995"/>
    <n v="1598276.9913599999"/>
    <n v="19"/>
    <n v="66578.10263157895"/>
    <n v="1264983.95"/>
    <n v="22"/>
    <n v="55388.154999999999"/>
    <n v="1218539.4099999999"/>
    <n v="23"/>
    <n v="54848.53"/>
    <n v="1261516.19"/>
    <n v="1"/>
    <n v="42020.78"/>
    <n v="42020.78"/>
    <n v="1"/>
    <n v="42020.78"/>
    <n v="42020.78"/>
    <n v="0"/>
    <m/>
    <n v="0"/>
    <n v="0"/>
    <m/>
    <n v="0"/>
    <m/>
    <m/>
    <n v="0"/>
    <m/>
    <m/>
    <n v="0"/>
    <n v="0"/>
    <m/>
    <n v="0"/>
    <n v="0"/>
    <m/>
    <n v="0"/>
    <n v="0"/>
    <m/>
    <n v="0"/>
    <n v="0"/>
    <m/>
    <n v="0"/>
    <n v="0"/>
    <m/>
    <n v="0"/>
    <n v="0"/>
    <m/>
    <n v="0"/>
    <n v="0"/>
    <m/>
    <n v="0"/>
    <n v="0"/>
    <m/>
    <n v="0"/>
    <n v="0"/>
    <m/>
    <n v="0"/>
    <n v="0"/>
    <m/>
    <n v="0"/>
    <m/>
    <m/>
    <n v="0"/>
    <m/>
    <m/>
    <n v="0"/>
  </r>
  <r>
    <x v="3"/>
    <s v="Chipola College "/>
    <m/>
    <n v="133021"/>
    <x v="11"/>
    <m/>
    <m/>
    <n v="0"/>
    <m/>
    <m/>
    <n v="0"/>
    <m/>
    <m/>
    <n v="0"/>
    <m/>
    <m/>
    <n v="0"/>
    <m/>
    <m/>
    <n v="0"/>
    <m/>
    <m/>
    <n v="0"/>
    <m/>
    <m/>
    <n v="0"/>
    <m/>
    <m/>
    <n v="0"/>
    <m/>
    <m/>
    <n v="0"/>
    <m/>
    <m/>
    <n v="0"/>
    <n v="43"/>
    <n v="44018"/>
    <n v="1892774"/>
    <n v="40"/>
    <n v="44222"/>
    <n v="1768880"/>
    <m/>
    <m/>
    <n v="0"/>
    <m/>
    <m/>
    <n v="0"/>
    <m/>
    <m/>
    <n v="0"/>
    <m/>
    <m/>
    <n v="0"/>
    <m/>
    <m/>
    <n v="0"/>
    <m/>
    <m/>
    <n v="0"/>
    <m/>
    <m/>
    <n v="0"/>
    <m/>
    <m/>
    <n v="0"/>
    <m/>
    <m/>
    <n v="0"/>
    <m/>
    <m/>
    <n v="0"/>
    <m/>
    <m/>
    <n v="0"/>
    <m/>
    <m/>
    <n v="0"/>
  </r>
  <r>
    <x v="3"/>
    <s v="Daytona State College "/>
    <m/>
    <n v="133386"/>
    <x v="11"/>
    <m/>
    <m/>
    <n v="0"/>
    <m/>
    <m/>
    <n v="0"/>
    <m/>
    <m/>
    <n v="0"/>
    <m/>
    <m/>
    <n v="0"/>
    <m/>
    <m/>
    <n v="0"/>
    <m/>
    <m/>
    <n v="0"/>
    <m/>
    <m/>
    <n v="0"/>
    <m/>
    <m/>
    <n v="0"/>
    <m/>
    <m/>
    <n v="0"/>
    <m/>
    <m/>
    <n v="0"/>
    <n v="307"/>
    <n v="60462"/>
    <n v="18561834"/>
    <n v="318"/>
    <n v="56981"/>
    <n v="18119958"/>
    <m/>
    <m/>
    <n v="0"/>
    <m/>
    <m/>
    <n v="0"/>
    <m/>
    <m/>
    <n v="0"/>
    <m/>
    <m/>
    <n v="0"/>
    <m/>
    <m/>
    <n v="0"/>
    <m/>
    <m/>
    <n v="0"/>
    <m/>
    <m/>
    <n v="0"/>
    <m/>
    <m/>
    <n v="0"/>
    <m/>
    <m/>
    <n v="0"/>
    <m/>
    <m/>
    <n v="0"/>
    <m/>
    <m/>
    <n v="0"/>
    <m/>
    <m/>
    <n v="0"/>
  </r>
  <r>
    <x v="3"/>
    <s v="Edison State College "/>
    <m/>
    <n v="133508"/>
    <x v="11"/>
    <m/>
    <m/>
    <n v="0"/>
    <m/>
    <m/>
    <n v="0"/>
    <m/>
    <m/>
    <n v="0"/>
    <m/>
    <m/>
    <n v="0"/>
    <m/>
    <m/>
    <n v="0"/>
    <m/>
    <m/>
    <n v="0"/>
    <m/>
    <m/>
    <n v="0"/>
    <m/>
    <m/>
    <n v="0"/>
    <m/>
    <m/>
    <n v="0"/>
    <m/>
    <m/>
    <n v="0"/>
    <n v="140"/>
    <n v="55324"/>
    <n v="7745360"/>
    <n v="161"/>
    <n v="54172"/>
    <n v="8721692"/>
    <m/>
    <m/>
    <n v="0"/>
    <m/>
    <m/>
    <n v="0"/>
    <m/>
    <m/>
    <n v="0"/>
    <m/>
    <m/>
    <n v="0"/>
    <m/>
    <m/>
    <n v="0"/>
    <m/>
    <m/>
    <n v="0"/>
    <m/>
    <m/>
    <n v="0"/>
    <m/>
    <m/>
    <n v="0"/>
    <m/>
    <m/>
    <n v="0"/>
    <m/>
    <m/>
    <n v="0"/>
    <m/>
    <m/>
    <n v="0"/>
    <m/>
    <m/>
    <n v="0"/>
  </r>
  <r>
    <x v="3"/>
    <s v="Miami Dade College "/>
    <m/>
    <n v="135717"/>
    <x v="11"/>
    <m/>
    <m/>
    <n v="0"/>
    <m/>
    <m/>
    <n v="0"/>
    <m/>
    <m/>
    <n v="0"/>
    <m/>
    <m/>
    <n v="0"/>
    <m/>
    <m/>
    <n v="0"/>
    <m/>
    <m/>
    <n v="0"/>
    <m/>
    <m/>
    <n v="0"/>
    <m/>
    <m/>
    <n v="0"/>
    <m/>
    <m/>
    <n v="0"/>
    <m/>
    <m/>
    <n v="0"/>
    <n v="658"/>
    <n v="60235"/>
    <n v="39634630"/>
    <n v="673"/>
    <n v="59560"/>
    <n v="40083880"/>
    <m/>
    <m/>
    <n v="0"/>
    <m/>
    <m/>
    <n v="0"/>
    <m/>
    <m/>
    <n v="0"/>
    <m/>
    <m/>
    <n v="0"/>
    <m/>
    <m/>
    <n v="0"/>
    <m/>
    <m/>
    <n v="0"/>
    <m/>
    <m/>
    <n v="0"/>
    <m/>
    <m/>
    <n v="0"/>
    <m/>
    <m/>
    <n v="0"/>
    <m/>
    <m/>
    <n v="0"/>
    <m/>
    <m/>
    <n v="0"/>
    <m/>
    <m/>
    <n v="0"/>
  </r>
  <r>
    <x v="3"/>
    <s v="Northwest Florida State College"/>
    <m/>
    <n v="136233"/>
    <x v="11"/>
    <m/>
    <m/>
    <n v="0"/>
    <m/>
    <m/>
    <n v="0"/>
    <m/>
    <m/>
    <n v="0"/>
    <m/>
    <m/>
    <n v="0"/>
    <m/>
    <m/>
    <n v="0"/>
    <m/>
    <m/>
    <n v="0"/>
    <m/>
    <m/>
    <n v="0"/>
    <m/>
    <m/>
    <n v="0"/>
    <m/>
    <m/>
    <n v="0"/>
    <m/>
    <m/>
    <n v="0"/>
    <n v="94"/>
    <n v="54723"/>
    <n v="5143962"/>
    <n v="102"/>
    <n v="56150"/>
    <n v="5727300"/>
    <m/>
    <m/>
    <n v="0"/>
    <m/>
    <m/>
    <n v="0"/>
    <m/>
    <m/>
    <n v="0"/>
    <m/>
    <m/>
    <n v="0"/>
    <m/>
    <m/>
    <n v="0"/>
    <m/>
    <m/>
    <n v="0"/>
    <m/>
    <m/>
    <n v="0"/>
    <m/>
    <m/>
    <n v="0"/>
    <m/>
    <m/>
    <n v="0"/>
    <m/>
    <m/>
    <n v="0"/>
    <m/>
    <m/>
    <n v="0"/>
    <m/>
    <m/>
    <n v="0"/>
  </r>
  <r>
    <x v="3"/>
    <s v="St. Petersburg College "/>
    <m/>
    <n v="137078"/>
    <x v="11"/>
    <m/>
    <m/>
    <n v="0"/>
    <m/>
    <m/>
    <n v="0"/>
    <m/>
    <m/>
    <n v="0"/>
    <m/>
    <m/>
    <n v="0"/>
    <m/>
    <m/>
    <n v="0"/>
    <m/>
    <m/>
    <n v="0"/>
    <m/>
    <m/>
    <n v="0"/>
    <m/>
    <m/>
    <n v="0"/>
    <m/>
    <m/>
    <n v="0"/>
    <m/>
    <m/>
    <n v="0"/>
    <n v="325"/>
    <n v="58860"/>
    <n v="19129500"/>
    <n v="332"/>
    <n v="61496"/>
    <n v="20416672"/>
    <m/>
    <m/>
    <n v="0"/>
    <m/>
    <m/>
    <n v="0"/>
    <m/>
    <m/>
    <n v="0"/>
    <m/>
    <m/>
    <n v="0"/>
    <m/>
    <m/>
    <n v="0"/>
    <m/>
    <m/>
    <n v="0"/>
    <m/>
    <m/>
    <n v="0"/>
    <m/>
    <m/>
    <n v="0"/>
    <m/>
    <m/>
    <n v="0"/>
    <m/>
    <m/>
    <n v="0"/>
    <m/>
    <m/>
    <n v="0"/>
    <m/>
    <m/>
    <n v="0"/>
  </r>
  <r>
    <x v="3"/>
    <s v="Brevard Community College "/>
    <m/>
    <n v="132693"/>
    <x v="6"/>
    <m/>
    <m/>
    <n v="0"/>
    <m/>
    <m/>
    <n v="0"/>
    <m/>
    <m/>
    <n v="0"/>
    <m/>
    <m/>
    <n v="0"/>
    <m/>
    <m/>
    <n v="0"/>
    <m/>
    <m/>
    <n v="0"/>
    <m/>
    <m/>
    <n v="0"/>
    <m/>
    <m/>
    <n v="0"/>
    <m/>
    <m/>
    <n v="0"/>
    <m/>
    <m/>
    <n v="0"/>
    <n v="243"/>
    <n v="53659"/>
    <n v="13039137"/>
    <n v="254"/>
    <n v="53169"/>
    <n v="13504926"/>
    <m/>
    <m/>
    <n v="0"/>
    <m/>
    <m/>
    <n v="0"/>
    <m/>
    <m/>
    <n v="0"/>
    <m/>
    <m/>
    <n v="0"/>
    <m/>
    <m/>
    <n v="0"/>
    <m/>
    <m/>
    <n v="0"/>
    <m/>
    <m/>
    <n v="0"/>
    <m/>
    <m/>
    <n v="0"/>
    <m/>
    <m/>
    <n v="0"/>
    <m/>
    <m/>
    <n v="0"/>
    <m/>
    <m/>
    <n v="0"/>
    <m/>
    <m/>
    <n v="0"/>
  </r>
  <r>
    <x v="3"/>
    <s v="Broward College "/>
    <s v="Met the criteria for Two-Year with Bachelor's in 2011-12."/>
    <n v="132709"/>
    <x v="6"/>
    <m/>
    <m/>
    <n v="0"/>
    <m/>
    <m/>
    <n v="0"/>
    <m/>
    <m/>
    <n v="0"/>
    <m/>
    <m/>
    <n v="0"/>
    <m/>
    <m/>
    <n v="0"/>
    <m/>
    <m/>
    <n v="0"/>
    <m/>
    <m/>
    <n v="0"/>
    <m/>
    <m/>
    <n v="0"/>
    <m/>
    <m/>
    <n v="0"/>
    <m/>
    <m/>
    <n v="0"/>
    <n v="382"/>
    <n v="56134"/>
    <n v="21443188"/>
    <n v="386"/>
    <n v="55838"/>
    <n v="21553468"/>
    <m/>
    <m/>
    <n v="0"/>
    <m/>
    <m/>
    <n v="0"/>
    <m/>
    <m/>
    <n v="0"/>
    <m/>
    <m/>
    <n v="0"/>
    <m/>
    <m/>
    <n v="0"/>
    <m/>
    <m/>
    <n v="0"/>
    <m/>
    <m/>
    <n v="0"/>
    <m/>
    <m/>
    <n v="0"/>
    <m/>
    <m/>
    <n v="0"/>
    <m/>
    <m/>
    <n v="0"/>
    <m/>
    <m/>
    <n v="0"/>
    <m/>
    <m/>
    <n v="0"/>
  </r>
  <r>
    <x v="3"/>
    <s v="College of Central Florida"/>
    <m/>
    <n v="132851"/>
    <x v="6"/>
    <m/>
    <m/>
    <n v="0"/>
    <m/>
    <m/>
    <n v="0"/>
    <m/>
    <m/>
    <n v="0"/>
    <m/>
    <m/>
    <n v="0"/>
    <m/>
    <m/>
    <n v="0"/>
    <m/>
    <m/>
    <n v="0"/>
    <m/>
    <m/>
    <n v="0"/>
    <m/>
    <m/>
    <n v="0"/>
    <m/>
    <m/>
    <n v="0"/>
    <m/>
    <m/>
    <n v="0"/>
    <n v="127"/>
    <n v="47512"/>
    <n v="6034024"/>
    <n v="124"/>
    <n v="49387"/>
    <n v="6123988"/>
    <m/>
    <m/>
    <n v="0"/>
    <m/>
    <m/>
    <n v="0"/>
    <m/>
    <m/>
    <n v="0"/>
    <m/>
    <m/>
    <n v="0"/>
    <m/>
    <m/>
    <n v="0"/>
    <m/>
    <m/>
    <n v="0"/>
    <m/>
    <m/>
    <n v="0"/>
    <m/>
    <m/>
    <n v="0"/>
    <m/>
    <m/>
    <n v="0"/>
    <m/>
    <m/>
    <n v="0"/>
    <m/>
    <m/>
    <n v="0"/>
    <m/>
    <m/>
    <n v="0"/>
  </r>
  <r>
    <x v="3"/>
    <s v="Florida State College at Jacksonville"/>
    <s v="Reclassified: met the criteria for Two-Year with Bachelor's in 2009-10, 2010-11 and 2011-12."/>
    <n v="133702"/>
    <x v="11"/>
    <m/>
    <m/>
    <n v="0"/>
    <m/>
    <m/>
    <n v="0"/>
    <m/>
    <m/>
    <n v="0"/>
    <m/>
    <m/>
    <n v="0"/>
    <m/>
    <m/>
    <n v="0"/>
    <m/>
    <m/>
    <n v="0"/>
    <m/>
    <m/>
    <n v="0"/>
    <m/>
    <m/>
    <n v="0"/>
    <m/>
    <m/>
    <n v="0"/>
    <m/>
    <m/>
    <n v="0"/>
    <n v="395"/>
    <n v="48371"/>
    <n v="19106545"/>
    <n v="407"/>
    <n v="47972"/>
    <n v="19524604"/>
    <m/>
    <m/>
    <n v="0"/>
    <m/>
    <m/>
    <n v="0"/>
    <m/>
    <m/>
    <n v="0"/>
    <m/>
    <m/>
    <n v="0"/>
    <m/>
    <m/>
    <n v="0"/>
    <m/>
    <m/>
    <n v="0"/>
    <m/>
    <m/>
    <n v="0"/>
    <m/>
    <m/>
    <n v="0"/>
    <m/>
    <m/>
    <n v="0"/>
    <m/>
    <m/>
    <n v="0"/>
    <m/>
    <m/>
    <n v="0"/>
    <m/>
    <m/>
    <n v="0"/>
  </r>
  <r>
    <x v="3"/>
    <s v="Hillsborough Community College "/>
    <m/>
    <n v="134495"/>
    <x v="6"/>
    <m/>
    <m/>
    <n v="0"/>
    <m/>
    <m/>
    <n v="0"/>
    <m/>
    <m/>
    <n v="0"/>
    <m/>
    <m/>
    <n v="0"/>
    <m/>
    <m/>
    <n v="0"/>
    <m/>
    <m/>
    <n v="0"/>
    <m/>
    <m/>
    <n v="0"/>
    <m/>
    <m/>
    <n v="0"/>
    <m/>
    <m/>
    <n v="0"/>
    <m/>
    <m/>
    <n v="0"/>
    <n v="292"/>
    <n v="52000"/>
    <n v="15184000"/>
    <n v="298"/>
    <n v="52076"/>
    <n v="15518648"/>
    <m/>
    <m/>
    <n v="0"/>
    <m/>
    <m/>
    <n v="0"/>
    <m/>
    <m/>
    <n v="0"/>
    <m/>
    <m/>
    <n v="0"/>
    <m/>
    <m/>
    <n v="0"/>
    <m/>
    <m/>
    <n v="0"/>
    <m/>
    <m/>
    <n v="0"/>
    <m/>
    <m/>
    <n v="0"/>
    <m/>
    <m/>
    <n v="0"/>
    <m/>
    <m/>
    <n v="0"/>
    <m/>
    <m/>
    <n v="0"/>
    <m/>
    <m/>
    <n v="0"/>
  </r>
  <r>
    <x v="3"/>
    <s v="Indian River State College "/>
    <s v="Reclassified: met the criteria for Two-Year with Bachelor's in 2009-10, 2010-11 and 2011-12."/>
    <n v="134608"/>
    <x v="11"/>
    <m/>
    <m/>
    <n v="0"/>
    <m/>
    <m/>
    <n v="0"/>
    <m/>
    <m/>
    <n v="0"/>
    <m/>
    <m/>
    <n v="0"/>
    <m/>
    <m/>
    <n v="0"/>
    <m/>
    <m/>
    <n v="0"/>
    <m/>
    <m/>
    <n v="0"/>
    <m/>
    <m/>
    <n v="0"/>
    <m/>
    <m/>
    <n v="0"/>
    <m/>
    <m/>
    <n v="0"/>
    <n v="185"/>
    <n v="66822"/>
    <n v="12362070"/>
    <n v="197"/>
    <n v="68329"/>
    <n v="13460813"/>
    <m/>
    <m/>
    <n v="0"/>
    <m/>
    <m/>
    <n v="0"/>
    <m/>
    <m/>
    <n v="0"/>
    <m/>
    <m/>
    <n v="0"/>
    <m/>
    <m/>
    <n v="0"/>
    <m/>
    <m/>
    <n v="0"/>
    <m/>
    <m/>
    <n v="0"/>
    <m/>
    <m/>
    <n v="0"/>
    <m/>
    <m/>
    <n v="0"/>
    <m/>
    <m/>
    <n v="0"/>
    <m/>
    <m/>
    <n v="0"/>
    <m/>
    <m/>
    <n v="0"/>
  </r>
  <r>
    <x v="3"/>
    <s v="Palm Beach State College "/>
    <s v="Met the criteria for Two-Year with Bachelor's in 2011-12."/>
    <n v="136358"/>
    <x v="6"/>
    <m/>
    <m/>
    <n v="0"/>
    <m/>
    <m/>
    <n v="0"/>
    <m/>
    <m/>
    <n v="0"/>
    <m/>
    <m/>
    <n v="0"/>
    <m/>
    <m/>
    <n v="0"/>
    <m/>
    <m/>
    <n v="0"/>
    <m/>
    <m/>
    <n v="0"/>
    <m/>
    <m/>
    <n v="0"/>
    <m/>
    <m/>
    <n v="0"/>
    <m/>
    <m/>
    <n v="0"/>
    <n v="283"/>
    <n v="54910"/>
    <n v="15539530"/>
    <n v="291"/>
    <n v="55316"/>
    <n v="16096956"/>
    <m/>
    <m/>
    <n v="0"/>
    <m/>
    <m/>
    <n v="0"/>
    <m/>
    <m/>
    <n v="0"/>
    <m/>
    <m/>
    <n v="0"/>
    <m/>
    <m/>
    <n v="0"/>
    <m/>
    <m/>
    <n v="0"/>
    <m/>
    <m/>
    <n v="0"/>
    <m/>
    <m/>
    <n v="0"/>
    <m/>
    <m/>
    <n v="0"/>
    <m/>
    <m/>
    <n v="0"/>
    <m/>
    <m/>
    <n v="0"/>
    <m/>
    <m/>
    <n v="0"/>
  </r>
  <r>
    <x v="3"/>
    <s v="Pasco-Hernando Community College "/>
    <m/>
    <n v="136400"/>
    <x v="6"/>
    <m/>
    <m/>
    <n v="0"/>
    <m/>
    <m/>
    <n v="0"/>
    <m/>
    <m/>
    <n v="0"/>
    <m/>
    <m/>
    <n v="0"/>
    <m/>
    <m/>
    <n v="0"/>
    <m/>
    <m/>
    <n v="0"/>
    <m/>
    <m/>
    <n v="0"/>
    <m/>
    <m/>
    <n v="0"/>
    <m/>
    <m/>
    <n v="0"/>
    <m/>
    <m/>
    <n v="0"/>
    <n v="118"/>
    <n v="51207"/>
    <n v="6042426"/>
    <n v="120"/>
    <n v="54012"/>
    <n v="6481440"/>
    <m/>
    <m/>
    <n v="0"/>
    <m/>
    <m/>
    <n v="0"/>
    <m/>
    <m/>
    <n v="0"/>
    <m/>
    <m/>
    <n v="0"/>
    <m/>
    <m/>
    <n v="0"/>
    <m/>
    <m/>
    <n v="0"/>
    <m/>
    <m/>
    <n v="0"/>
    <m/>
    <m/>
    <n v="0"/>
    <m/>
    <m/>
    <n v="0"/>
    <m/>
    <m/>
    <n v="0"/>
    <m/>
    <m/>
    <n v="0"/>
    <m/>
    <m/>
    <n v="0"/>
  </r>
  <r>
    <x v="3"/>
    <s v="Pensacola State College "/>
    <m/>
    <n v="136473"/>
    <x v="6"/>
    <m/>
    <m/>
    <n v="0"/>
    <m/>
    <m/>
    <n v="0"/>
    <m/>
    <m/>
    <n v="0"/>
    <m/>
    <m/>
    <n v="0"/>
    <m/>
    <m/>
    <n v="0"/>
    <m/>
    <m/>
    <n v="0"/>
    <m/>
    <m/>
    <n v="0"/>
    <m/>
    <m/>
    <n v="0"/>
    <m/>
    <m/>
    <n v="0"/>
    <m/>
    <m/>
    <n v="0"/>
    <n v="192"/>
    <n v="49024"/>
    <n v="9412608"/>
    <n v="203"/>
    <n v="47695"/>
    <n v="9682085"/>
    <m/>
    <m/>
    <n v="0"/>
    <m/>
    <m/>
    <n v="0"/>
    <m/>
    <m/>
    <n v="0"/>
    <m/>
    <m/>
    <n v="0"/>
    <m/>
    <m/>
    <n v="0"/>
    <m/>
    <m/>
    <n v="0"/>
    <m/>
    <m/>
    <n v="0"/>
    <m/>
    <m/>
    <n v="0"/>
    <m/>
    <m/>
    <n v="0"/>
    <m/>
    <m/>
    <n v="0"/>
    <m/>
    <m/>
    <n v="0"/>
    <m/>
    <m/>
    <n v="0"/>
  </r>
  <r>
    <x v="3"/>
    <s v="Polk State College "/>
    <s v="Met the criteria for Two-Year with Bachelor's in 2011-12."/>
    <n v="136516"/>
    <x v="6"/>
    <m/>
    <m/>
    <n v="0"/>
    <m/>
    <m/>
    <n v="0"/>
    <m/>
    <m/>
    <n v="0"/>
    <m/>
    <m/>
    <n v="0"/>
    <m/>
    <m/>
    <n v="0"/>
    <m/>
    <m/>
    <n v="0"/>
    <m/>
    <m/>
    <n v="0"/>
    <m/>
    <m/>
    <n v="0"/>
    <m/>
    <m/>
    <n v="0"/>
    <m/>
    <m/>
    <n v="0"/>
    <n v="125"/>
    <n v="47942"/>
    <n v="5992750"/>
    <n v="124"/>
    <n v="52921"/>
    <n v="6562204"/>
    <m/>
    <m/>
    <n v="0"/>
    <m/>
    <m/>
    <n v="0"/>
    <m/>
    <m/>
    <n v="0"/>
    <m/>
    <m/>
    <n v="0"/>
    <m/>
    <m/>
    <n v="0"/>
    <m/>
    <m/>
    <n v="0"/>
    <m/>
    <m/>
    <n v="0"/>
    <m/>
    <m/>
    <n v="0"/>
    <m/>
    <m/>
    <n v="0"/>
    <m/>
    <m/>
    <n v="0"/>
    <m/>
    <m/>
    <n v="0"/>
    <m/>
    <m/>
    <n v="0"/>
  </r>
  <r>
    <x v="3"/>
    <s v="Santa Fe College "/>
    <m/>
    <n v="137096"/>
    <x v="6"/>
    <m/>
    <m/>
    <n v="0"/>
    <m/>
    <m/>
    <n v="0"/>
    <m/>
    <m/>
    <n v="0"/>
    <m/>
    <m/>
    <n v="0"/>
    <m/>
    <m/>
    <n v="0"/>
    <m/>
    <m/>
    <n v="0"/>
    <m/>
    <m/>
    <n v="0"/>
    <m/>
    <m/>
    <n v="0"/>
    <m/>
    <m/>
    <n v="0"/>
    <m/>
    <m/>
    <n v="0"/>
    <n v="230"/>
    <n v="48531"/>
    <n v="11162130"/>
    <n v="230"/>
    <n v="50497"/>
    <n v="11614310"/>
    <m/>
    <m/>
    <n v="0"/>
    <m/>
    <m/>
    <n v="0"/>
    <m/>
    <m/>
    <n v="0"/>
    <m/>
    <m/>
    <n v="0"/>
    <m/>
    <m/>
    <n v="0"/>
    <m/>
    <m/>
    <n v="0"/>
    <m/>
    <m/>
    <n v="0"/>
    <m/>
    <m/>
    <n v="0"/>
    <m/>
    <m/>
    <n v="0"/>
    <m/>
    <m/>
    <n v="0"/>
    <m/>
    <m/>
    <n v="0"/>
    <m/>
    <m/>
    <n v="0"/>
  </r>
  <r>
    <x v="3"/>
    <s v="Seminole State College of Florida"/>
    <m/>
    <n v="137209"/>
    <x v="6"/>
    <m/>
    <m/>
    <n v="0"/>
    <m/>
    <m/>
    <n v="0"/>
    <m/>
    <m/>
    <n v="0"/>
    <m/>
    <m/>
    <n v="0"/>
    <m/>
    <m/>
    <n v="0"/>
    <m/>
    <m/>
    <n v="0"/>
    <m/>
    <m/>
    <n v="0"/>
    <m/>
    <m/>
    <n v="0"/>
    <m/>
    <m/>
    <n v="0"/>
    <m/>
    <m/>
    <n v="0"/>
    <n v="196"/>
    <n v="56525"/>
    <n v="11078900"/>
    <n v="199"/>
    <n v="56392"/>
    <n v="11222008"/>
    <m/>
    <m/>
    <n v="0"/>
    <m/>
    <m/>
    <n v="0"/>
    <m/>
    <m/>
    <n v="0"/>
    <m/>
    <m/>
    <n v="0"/>
    <m/>
    <m/>
    <n v="0"/>
    <m/>
    <m/>
    <n v="0"/>
    <m/>
    <m/>
    <n v="0"/>
    <m/>
    <m/>
    <n v="0"/>
    <m/>
    <m/>
    <n v="0"/>
    <m/>
    <m/>
    <n v="0"/>
    <m/>
    <m/>
    <n v="0"/>
    <m/>
    <m/>
    <n v="0"/>
  </r>
  <r>
    <x v="3"/>
    <s v="State College of Florida, Manatee-Sarasota"/>
    <s v="Met the criteria for Two-Year with Bachelor's in 2011-12."/>
    <n v="135391"/>
    <x v="6"/>
    <m/>
    <m/>
    <n v="0"/>
    <m/>
    <m/>
    <n v="0"/>
    <m/>
    <m/>
    <n v="0"/>
    <m/>
    <m/>
    <n v="0"/>
    <m/>
    <m/>
    <n v="0"/>
    <m/>
    <m/>
    <n v="0"/>
    <m/>
    <m/>
    <n v="0"/>
    <m/>
    <m/>
    <n v="0"/>
    <m/>
    <m/>
    <n v="0"/>
    <m/>
    <m/>
    <n v="0"/>
    <n v="133"/>
    <n v="52853"/>
    <n v="7029449"/>
    <n v="139"/>
    <n v="53864"/>
    <n v="7487096"/>
    <m/>
    <m/>
    <n v="0"/>
    <m/>
    <m/>
    <n v="0"/>
    <m/>
    <m/>
    <n v="0"/>
    <m/>
    <m/>
    <n v="0"/>
    <m/>
    <m/>
    <n v="0"/>
    <m/>
    <m/>
    <n v="0"/>
    <m/>
    <m/>
    <n v="0"/>
    <m/>
    <m/>
    <n v="0"/>
    <m/>
    <m/>
    <n v="0"/>
    <m/>
    <m/>
    <n v="0"/>
    <m/>
    <m/>
    <n v="0"/>
    <m/>
    <m/>
    <n v="0"/>
  </r>
  <r>
    <x v="3"/>
    <s v="Tallahassee Community College "/>
    <m/>
    <n v="137759"/>
    <x v="6"/>
    <m/>
    <m/>
    <n v="0"/>
    <m/>
    <m/>
    <n v="0"/>
    <m/>
    <m/>
    <n v="0"/>
    <m/>
    <m/>
    <n v="0"/>
    <m/>
    <m/>
    <n v="0"/>
    <m/>
    <m/>
    <n v="0"/>
    <m/>
    <m/>
    <n v="0"/>
    <m/>
    <m/>
    <n v="0"/>
    <m/>
    <m/>
    <n v="0"/>
    <m/>
    <m/>
    <n v="0"/>
    <n v="175"/>
    <n v="57951"/>
    <n v="10141425"/>
    <n v="187"/>
    <n v="58547"/>
    <n v="10948289"/>
    <m/>
    <m/>
    <n v="0"/>
    <m/>
    <m/>
    <n v="0"/>
    <m/>
    <m/>
    <n v="0"/>
    <m/>
    <m/>
    <n v="0"/>
    <m/>
    <m/>
    <n v="0"/>
    <m/>
    <m/>
    <n v="0"/>
    <m/>
    <m/>
    <n v="0"/>
    <m/>
    <m/>
    <n v="0"/>
    <m/>
    <m/>
    <n v="0"/>
    <m/>
    <m/>
    <n v="0"/>
    <m/>
    <m/>
    <n v="0"/>
    <m/>
    <m/>
    <n v="0"/>
  </r>
  <r>
    <x v="3"/>
    <s v="Valencia Community College "/>
    <m/>
    <n v="138187"/>
    <x v="6"/>
    <m/>
    <m/>
    <n v="0"/>
    <m/>
    <m/>
    <n v="0"/>
    <m/>
    <m/>
    <n v="0"/>
    <m/>
    <m/>
    <n v="0"/>
    <m/>
    <m/>
    <n v="0"/>
    <m/>
    <m/>
    <n v="0"/>
    <m/>
    <m/>
    <n v="0"/>
    <m/>
    <m/>
    <n v="0"/>
    <m/>
    <m/>
    <n v="0"/>
    <m/>
    <m/>
    <n v="0"/>
    <n v="360"/>
    <n v="54005"/>
    <n v="19441800"/>
    <n v="408"/>
    <n v="54553"/>
    <n v="22257624"/>
    <m/>
    <m/>
    <n v="0"/>
    <m/>
    <m/>
    <n v="0"/>
    <m/>
    <m/>
    <n v="0"/>
    <m/>
    <m/>
    <n v="0"/>
    <m/>
    <m/>
    <n v="0"/>
    <m/>
    <m/>
    <n v="0"/>
    <m/>
    <m/>
    <n v="0"/>
    <m/>
    <m/>
    <n v="0"/>
    <m/>
    <m/>
    <n v="0"/>
    <m/>
    <m/>
    <n v="0"/>
    <m/>
    <m/>
    <n v="0"/>
    <m/>
    <m/>
    <n v="0"/>
  </r>
  <r>
    <x v="3"/>
    <s v="Gulf Coast Community College "/>
    <m/>
    <n v="134343"/>
    <x v="7"/>
    <m/>
    <m/>
    <n v="0"/>
    <m/>
    <m/>
    <n v="0"/>
    <m/>
    <m/>
    <n v="0"/>
    <m/>
    <m/>
    <n v="0"/>
    <m/>
    <m/>
    <n v="0"/>
    <m/>
    <m/>
    <n v="0"/>
    <m/>
    <m/>
    <n v="0"/>
    <m/>
    <m/>
    <n v="0"/>
    <m/>
    <m/>
    <n v="0"/>
    <m/>
    <m/>
    <n v="0"/>
    <n v="111"/>
    <n v="48551"/>
    <n v="5389161"/>
    <n v="114"/>
    <n v="49249"/>
    <n v="5614386"/>
    <m/>
    <m/>
    <n v="0"/>
    <m/>
    <m/>
    <n v="0"/>
    <m/>
    <m/>
    <n v="0"/>
    <m/>
    <m/>
    <n v="0"/>
    <m/>
    <m/>
    <n v="0"/>
    <m/>
    <m/>
    <n v="0"/>
    <m/>
    <m/>
    <n v="0"/>
    <m/>
    <m/>
    <n v="0"/>
    <m/>
    <m/>
    <n v="0"/>
    <m/>
    <m/>
    <n v="0"/>
    <m/>
    <m/>
    <n v="0"/>
    <m/>
    <m/>
    <n v="0"/>
  </r>
  <r>
    <x v="3"/>
    <s v="Lake City Community College "/>
    <m/>
    <n v="135160"/>
    <x v="7"/>
    <m/>
    <m/>
    <n v="0"/>
    <m/>
    <m/>
    <n v="0"/>
    <m/>
    <m/>
    <n v="0"/>
    <m/>
    <m/>
    <n v="0"/>
    <m/>
    <m/>
    <n v="0"/>
    <m/>
    <m/>
    <n v="0"/>
    <m/>
    <m/>
    <n v="0"/>
    <m/>
    <m/>
    <n v="0"/>
    <m/>
    <m/>
    <n v="0"/>
    <m/>
    <m/>
    <n v="0"/>
    <n v="61"/>
    <n v="45105"/>
    <n v="2751405"/>
    <n v="60"/>
    <n v="46530"/>
    <n v="2791800"/>
    <m/>
    <m/>
    <n v="0"/>
    <m/>
    <m/>
    <n v="0"/>
    <m/>
    <m/>
    <n v="0"/>
    <m/>
    <m/>
    <n v="0"/>
    <m/>
    <m/>
    <n v="0"/>
    <m/>
    <m/>
    <n v="0"/>
    <m/>
    <m/>
    <n v="0"/>
    <m/>
    <m/>
    <n v="0"/>
    <m/>
    <m/>
    <n v="0"/>
    <m/>
    <m/>
    <n v="0"/>
    <m/>
    <m/>
    <n v="0"/>
    <m/>
    <m/>
    <n v="0"/>
  </r>
  <r>
    <x v="3"/>
    <s v="Lake-Sumter Community College "/>
    <m/>
    <n v="135188"/>
    <x v="7"/>
    <m/>
    <m/>
    <n v="0"/>
    <m/>
    <m/>
    <n v="0"/>
    <m/>
    <m/>
    <n v="0"/>
    <m/>
    <m/>
    <n v="0"/>
    <m/>
    <m/>
    <n v="0"/>
    <m/>
    <m/>
    <n v="0"/>
    <m/>
    <m/>
    <n v="0"/>
    <m/>
    <m/>
    <n v="0"/>
    <m/>
    <m/>
    <n v="0"/>
    <m/>
    <m/>
    <n v="0"/>
    <n v="84"/>
    <n v="43669"/>
    <n v="3668196"/>
    <n v="79"/>
    <n v="45192"/>
    <n v="3570168"/>
    <m/>
    <m/>
    <n v="0"/>
    <m/>
    <m/>
    <n v="0"/>
    <m/>
    <m/>
    <n v="0"/>
    <m/>
    <m/>
    <n v="0"/>
    <m/>
    <m/>
    <n v="0"/>
    <m/>
    <m/>
    <n v="0"/>
    <m/>
    <m/>
    <n v="0"/>
    <m/>
    <m/>
    <n v="0"/>
    <m/>
    <m/>
    <n v="0"/>
    <m/>
    <m/>
    <n v="0"/>
    <m/>
    <m/>
    <n v="0"/>
    <m/>
    <m/>
    <n v="0"/>
  </r>
  <r>
    <x v="3"/>
    <s v="South Florida Community College "/>
    <m/>
    <n v="137315"/>
    <x v="7"/>
    <m/>
    <m/>
    <n v="0"/>
    <m/>
    <m/>
    <n v="0"/>
    <m/>
    <m/>
    <n v="0"/>
    <m/>
    <m/>
    <n v="0"/>
    <m/>
    <m/>
    <n v="0"/>
    <m/>
    <m/>
    <n v="0"/>
    <m/>
    <m/>
    <n v="0"/>
    <m/>
    <m/>
    <n v="0"/>
    <m/>
    <m/>
    <n v="0"/>
    <m/>
    <m/>
    <n v="0"/>
    <n v="64"/>
    <n v="47419"/>
    <n v="3034816"/>
    <n v="62"/>
    <n v="48656"/>
    <n v="3016672"/>
    <m/>
    <m/>
    <n v="0"/>
    <m/>
    <m/>
    <n v="0"/>
    <m/>
    <m/>
    <n v="0"/>
    <m/>
    <m/>
    <n v="0"/>
    <m/>
    <m/>
    <n v="0"/>
    <m/>
    <m/>
    <n v="0"/>
    <m/>
    <m/>
    <n v="0"/>
    <m/>
    <m/>
    <n v="0"/>
    <m/>
    <m/>
    <n v="0"/>
    <m/>
    <m/>
    <n v="0"/>
    <m/>
    <m/>
    <n v="0"/>
    <m/>
    <m/>
    <n v="0"/>
  </r>
  <r>
    <x v="3"/>
    <s v="St. Johns River Community College "/>
    <s v="Met the criteria for Two-Year with Bachelor's in 2011-12."/>
    <n v="137281"/>
    <x v="7"/>
    <m/>
    <m/>
    <n v="0"/>
    <m/>
    <m/>
    <n v="0"/>
    <m/>
    <m/>
    <n v="0"/>
    <m/>
    <m/>
    <n v="0"/>
    <m/>
    <m/>
    <n v="0"/>
    <m/>
    <m/>
    <n v="0"/>
    <m/>
    <m/>
    <n v="0"/>
    <m/>
    <m/>
    <n v="0"/>
    <m/>
    <m/>
    <n v="0"/>
    <m/>
    <m/>
    <n v="0"/>
    <n v="113"/>
    <n v="45526"/>
    <n v="5144438"/>
    <n v="126"/>
    <n v="47523"/>
    <n v="5987898"/>
    <m/>
    <m/>
    <n v="0"/>
    <m/>
    <m/>
    <n v="0"/>
    <m/>
    <m/>
    <n v="0"/>
    <m/>
    <m/>
    <n v="0"/>
    <m/>
    <m/>
    <n v="0"/>
    <m/>
    <m/>
    <n v="0"/>
    <m/>
    <m/>
    <n v="0"/>
    <m/>
    <m/>
    <n v="0"/>
    <m/>
    <m/>
    <n v="0"/>
    <m/>
    <m/>
    <n v="0"/>
    <m/>
    <m/>
    <n v="0"/>
    <m/>
    <m/>
    <n v="0"/>
  </r>
  <r>
    <x v="3"/>
    <s v="Florida Keys Community College "/>
    <m/>
    <n v="133960"/>
    <x v="8"/>
    <m/>
    <m/>
    <n v="0"/>
    <m/>
    <m/>
    <n v="0"/>
    <m/>
    <m/>
    <n v="0"/>
    <m/>
    <m/>
    <n v="0"/>
    <m/>
    <m/>
    <n v="0"/>
    <m/>
    <m/>
    <n v="0"/>
    <m/>
    <m/>
    <n v="0"/>
    <m/>
    <m/>
    <n v="0"/>
    <m/>
    <m/>
    <n v="0"/>
    <m/>
    <m/>
    <n v="0"/>
    <n v="28"/>
    <n v="57592"/>
    <n v="1612576"/>
    <n v="28"/>
    <n v="55343"/>
    <n v="1549604"/>
    <m/>
    <m/>
    <n v="0"/>
    <m/>
    <m/>
    <n v="0"/>
    <m/>
    <m/>
    <n v="0"/>
    <m/>
    <m/>
    <n v="0"/>
    <m/>
    <m/>
    <n v="0"/>
    <m/>
    <m/>
    <n v="0"/>
    <m/>
    <m/>
    <n v="0"/>
    <m/>
    <m/>
    <n v="0"/>
    <m/>
    <m/>
    <n v="0"/>
    <m/>
    <m/>
    <n v="0"/>
    <m/>
    <m/>
    <n v="0"/>
    <m/>
    <m/>
    <n v="0"/>
  </r>
  <r>
    <x v="3"/>
    <s v="North Florida Community College "/>
    <m/>
    <n v="136145"/>
    <x v="8"/>
    <m/>
    <m/>
    <n v="0"/>
    <m/>
    <m/>
    <n v="0"/>
    <m/>
    <m/>
    <n v="0"/>
    <m/>
    <m/>
    <n v="0"/>
    <m/>
    <m/>
    <n v="0"/>
    <m/>
    <m/>
    <n v="0"/>
    <m/>
    <m/>
    <n v="0"/>
    <m/>
    <m/>
    <n v="0"/>
    <m/>
    <m/>
    <n v="0"/>
    <m/>
    <m/>
    <n v="0"/>
    <n v="29"/>
    <n v="42870"/>
    <n v="1243230"/>
    <n v="29"/>
    <n v="42764"/>
    <n v="1240156"/>
    <m/>
    <m/>
    <n v="0"/>
    <m/>
    <m/>
    <n v="0"/>
    <m/>
    <m/>
    <n v="0"/>
    <m/>
    <m/>
    <n v="0"/>
    <m/>
    <m/>
    <n v="0"/>
    <m/>
    <m/>
    <n v="0"/>
    <m/>
    <m/>
    <n v="0"/>
    <m/>
    <m/>
    <n v="0"/>
    <m/>
    <m/>
    <n v="0"/>
    <m/>
    <m/>
    <n v="0"/>
    <m/>
    <m/>
    <n v="0"/>
    <m/>
    <m/>
    <n v="0"/>
  </r>
  <r>
    <x v="4"/>
    <s v="Georgia State University "/>
    <m/>
    <n v="139940"/>
    <x v="0"/>
    <n v="197"/>
    <n v="119788.21"/>
    <n v="23598277.370000001"/>
    <n v="207"/>
    <n v="120380"/>
    <n v="24918660"/>
    <n v="299"/>
    <n v="78252.649999999994"/>
    <n v="23397542.349999998"/>
    <n v="321"/>
    <n v="77998"/>
    <n v="25037358"/>
    <n v="349"/>
    <n v="67459.56"/>
    <n v="23543386.439999998"/>
    <n v="329"/>
    <n v="69506"/>
    <n v="22867474"/>
    <n v="55"/>
    <n v="53801.1"/>
    <n v="2959060.5"/>
    <n v="50"/>
    <n v="53182"/>
    <n v="2659100"/>
    <n v="149"/>
    <n v="44747.08"/>
    <n v="6667314.9199999999"/>
    <n v="159"/>
    <n v="44918"/>
    <n v="7141962"/>
    <m/>
    <m/>
    <n v="0"/>
    <m/>
    <m/>
    <n v="0"/>
    <n v="6"/>
    <n v="139895"/>
    <n v="686772.53399999999"/>
    <n v="7"/>
    <n v="136455"/>
    <n v="781532.36700000009"/>
    <m/>
    <m/>
    <n v="0"/>
    <n v="5"/>
    <n v="98775"/>
    <n v="404088.52500000002"/>
    <m/>
    <m/>
    <n v="0"/>
    <n v="2"/>
    <n v="85150"/>
    <n v="139339.46000000002"/>
    <m/>
    <m/>
    <n v="0"/>
    <n v="4"/>
    <n v="70931"/>
    <n v="232142.9768"/>
    <n v="4"/>
    <n v="66964"/>
    <n v="219159.77920000002"/>
    <n v="4"/>
    <n v="66964"/>
    <n v="219159.77920000002"/>
    <m/>
    <m/>
    <n v="0"/>
    <m/>
    <m/>
    <n v="0"/>
  </r>
  <r>
    <x v="4"/>
    <s v="University of Georgia"/>
    <m/>
    <n v="139959"/>
    <x v="0"/>
    <n v="459"/>
    <n v="110339.2"/>
    <n v="50645692.799999997"/>
    <n v="480"/>
    <n v="111668"/>
    <n v="53600640"/>
    <n v="367"/>
    <n v="78575.05"/>
    <n v="28837043.350000001"/>
    <n v="383"/>
    <n v="79768"/>
    <n v="30551144"/>
    <n v="321"/>
    <n v="76061.37"/>
    <n v="24415699.77"/>
    <n v="320"/>
    <n v="76740"/>
    <n v="24556800"/>
    <n v="41"/>
    <n v="50128.61"/>
    <n v="2055273.01"/>
    <n v="41"/>
    <n v="52372"/>
    <n v="2147252"/>
    <n v="100"/>
    <n v="60755.16"/>
    <n v="6075516"/>
    <n v="128"/>
    <n v="59468"/>
    <n v="7611904"/>
    <m/>
    <m/>
    <n v="0"/>
    <m/>
    <m/>
    <n v="0"/>
    <n v="225"/>
    <n v="122650"/>
    <n v="22579251.75"/>
    <n v="219"/>
    <n v="121419"/>
    <n v="21756560.650200002"/>
    <n v="122"/>
    <n v="93869.9"/>
    <n v="9370130.9659599997"/>
    <n v="127"/>
    <n v="94475"/>
    <n v="9817029.5150000006"/>
    <n v="97"/>
    <n v="83934.3"/>
    <n v="6661479.2932200003"/>
    <n v="81"/>
    <n v="85255"/>
    <n v="5650206.9210000001"/>
    <n v="10"/>
    <n v="61947.4"/>
    <n v="506853.62680000003"/>
    <n v="10"/>
    <n v="65090"/>
    <n v="532566.38"/>
    <n v="7"/>
    <n v="66366.600000000006"/>
    <n v="380108.06484000006"/>
    <n v="7"/>
    <n v="74864"/>
    <n v="428776.0736"/>
    <m/>
    <m/>
    <n v="0"/>
    <m/>
    <m/>
    <n v="0"/>
  </r>
  <r>
    <x v="4"/>
    <s v="Georgia Institute of Technology"/>
    <m/>
    <n v="139755"/>
    <x v="1"/>
    <n v="361"/>
    <n v="131917.4"/>
    <n v="47622181.399999999"/>
    <n v="374"/>
    <n v="134829"/>
    <n v="50426046"/>
    <n v="237"/>
    <n v="93978.86"/>
    <n v="22272989.82"/>
    <n v="252"/>
    <n v="94836"/>
    <n v="23898672"/>
    <n v="223"/>
    <n v="85603.49"/>
    <n v="19089578.27"/>
    <n v="225"/>
    <n v="86689"/>
    <n v="19505025"/>
    <n v="26"/>
    <n v="49219.85"/>
    <n v="1279716.0999999999"/>
    <n v="45"/>
    <n v="34803"/>
    <n v="1566135"/>
    <n v="58"/>
    <n v="61122.14"/>
    <n v="3545084.12"/>
    <n v="64"/>
    <n v="66851"/>
    <n v="4278464"/>
    <m/>
    <m/>
    <n v="0"/>
    <m/>
    <m/>
    <n v="0"/>
    <n v="50"/>
    <n v="226432"/>
    <n v="9263333.120000001"/>
    <n v="43"/>
    <n v="234758"/>
    <n v="8259396.8108000001"/>
    <n v="4"/>
    <n v="133696"/>
    <n v="437560.26880000002"/>
    <n v="2"/>
    <n v="133696"/>
    <n v="218780.13440000001"/>
    <m/>
    <m/>
    <n v="0"/>
    <m/>
    <m/>
    <n v="0"/>
    <m/>
    <m/>
    <n v="0"/>
    <m/>
    <m/>
    <n v="0"/>
    <n v="16"/>
    <n v="83440.75"/>
    <n v="1092339.5464000001"/>
    <n v="23"/>
    <n v="81187"/>
    <n v="1527825.6782"/>
    <m/>
    <m/>
    <n v="0"/>
    <m/>
    <m/>
    <n v="0"/>
  </r>
  <r>
    <x v="4"/>
    <s v="Georgia Southern University"/>
    <m/>
    <n v="139931"/>
    <x v="2"/>
    <n v="144"/>
    <n v="79994.179999999993"/>
    <n v="11519161.919999998"/>
    <n v="145"/>
    <n v="79703"/>
    <n v="11556935"/>
    <n v="174"/>
    <n v="68059.97"/>
    <n v="11842434.779999999"/>
    <n v="191"/>
    <n v="66446"/>
    <n v="12691186"/>
    <n v="252"/>
    <n v="58699.78"/>
    <n v="14792344.560000001"/>
    <n v="244"/>
    <n v="58769"/>
    <n v="14339636"/>
    <n v="108"/>
    <n v="38680.44"/>
    <n v="4177487.5200000005"/>
    <n v="106"/>
    <n v="39876"/>
    <n v="4226856"/>
    <n v="23"/>
    <n v="43153"/>
    <n v="992519"/>
    <n v="45"/>
    <n v="42823"/>
    <n v="1927035"/>
    <m/>
    <m/>
    <n v="0"/>
    <m/>
    <m/>
    <n v="0"/>
    <n v="27"/>
    <n v="117038"/>
    <n v="2585533.2732000002"/>
    <n v="7"/>
    <n v="102641"/>
    <n v="587866.06339999998"/>
    <n v="19"/>
    <n v="84068.1"/>
    <n v="1306905.8689800003"/>
    <n v="16"/>
    <n v="86527"/>
    <n v="1132742.2624000001"/>
    <n v="10"/>
    <n v="56252"/>
    <n v="460253.864"/>
    <n v="8"/>
    <n v="51903"/>
    <n v="339736.27679999999"/>
    <n v="1"/>
    <n v="63000"/>
    <n v="51546.600000000006"/>
    <m/>
    <m/>
    <n v="0"/>
    <n v="3"/>
    <n v="73627"/>
    <n v="180724.83420000001"/>
    <n v="3"/>
    <n v="73627"/>
    <n v="180724.83420000001"/>
    <m/>
    <m/>
    <n v="0"/>
    <m/>
    <m/>
    <n v="0"/>
  </r>
  <r>
    <x v="4"/>
    <s v="University of West Georgia"/>
    <m/>
    <n v="141334"/>
    <x v="2"/>
    <n v="81"/>
    <n v="80572.44"/>
    <n v="6526367.6400000006"/>
    <n v="81"/>
    <n v="80572"/>
    <n v="6526332"/>
    <n v="90"/>
    <n v="60511.87"/>
    <n v="5446068.2999999998"/>
    <n v="90"/>
    <n v="60512"/>
    <n v="5446080"/>
    <n v="138"/>
    <n v="51408.74"/>
    <n v="7094406.1200000001"/>
    <n v="138"/>
    <n v="51409"/>
    <n v="7094442"/>
    <n v="63"/>
    <n v="37263.19"/>
    <n v="2347580.9700000002"/>
    <n v="63"/>
    <n v="37263"/>
    <n v="2347569"/>
    <n v="39"/>
    <n v="42749.279999999999"/>
    <n v="1667221.92"/>
    <n v="39"/>
    <n v="42749"/>
    <n v="1667211"/>
    <m/>
    <m/>
    <n v="0"/>
    <m/>
    <m/>
    <n v="0"/>
    <n v="18"/>
    <n v="110526"/>
    <n v="1627782.7176000001"/>
    <n v="18"/>
    <n v="110526"/>
    <n v="1627782.7176000001"/>
    <n v="8"/>
    <n v="95757"/>
    <n v="626787.01919999998"/>
    <n v="8"/>
    <n v="95757"/>
    <n v="626787.01919999998"/>
    <n v="6"/>
    <n v="64660"/>
    <n v="317428.87200000003"/>
    <n v="6"/>
    <n v="64660"/>
    <n v="317428.87200000003"/>
    <n v="5"/>
    <n v="51600"/>
    <n v="211095.6"/>
    <n v="5"/>
    <n v="51600"/>
    <n v="211095.6"/>
    <m/>
    <m/>
    <n v="0"/>
    <m/>
    <m/>
    <n v="0"/>
    <m/>
    <m/>
    <n v="0"/>
    <m/>
    <m/>
    <n v="0"/>
  </r>
  <r>
    <x v="4"/>
    <s v="Valdosta State University "/>
    <m/>
    <n v="141264"/>
    <x v="2"/>
    <n v="124"/>
    <n v="74843.98"/>
    <n v="9280653.5199999996"/>
    <n v="125"/>
    <n v="73191"/>
    <n v="9148875"/>
    <n v="99"/>
    <n v="60337.04"/>
    <n v="5973366.96"/>
    <n v="94"/>
    <n v="60384"/>
    <n v="5676096"/>
    <n v="129"/>
    <n v="53271.93"/>
    <n v="6872078.9699999997"/>
    <n v="160"/>
    <n v="53060"/>
    <n v="8489600"/>
    <n v="25"/>
    <n v="40047"/>
    <n v="1001175"/>
    <n v="46"/>
    <n v="41951"/>
    <n v="1929746"/>
    <n v="0"/>
    <n v="0"/>
    <n v="0"/>
    <n v="25"/>
    <n v="39987"/>
    <n v="999675"/>
    <m/>
    <m/>
    <n v="0"/>
    <m/>
    <m/>
    <n v="0"/>
    <n v="5"/>
    <n v="78913.8"/>
    <n v="322836.35580000002"/>
    <n v="7"/>
    <n v="79073"/>
    <n v="452882.70020000002"/>
    <n v="10"/>
    <n v="64111.5"/>
    <n v="524560.29300000006"/>
    <n v="3"/>
    <n v="71384"/>
    <n v="175219.16640000002"/>
    <n v="17"/>
    <n v="60877.5"/>
    <n v="846769.49849999999"/>
    <n v="11"/>
    <n v="68648"/>
    <n v="617845.72960000008"/>
    <n v="19"/>
    <n v="54855.5"/>
    <n v="852772.63190000004"/>
    <n v="18"/>
    <n v="55766"/>
    <n v="821299.34160000004"/>
    <m/>
    <m/>
    <n v="0"/>
    <m/>
    <m/>
    <n v="0"/>
    <m/>
    <m/>
    <n v="0"/>
    <m/>
    <m/>
    <n v="0"/>
  </r>
  <r>
    <x v="4"/>
    <s v="Albany State University "/>
    <m/>
    <n v="138716"/>
    <x v="3"/>
    <n v="28"/>
    <n v="69986"/>
    <n v="1959608"/>
    <n v="25"/>
    <n v="69893"/>
    <n v="1747325"/>
    <n v="45"/>
    <n v="57013"/>
    <n v="2565585"/>
    <n v="44"/>
    <n v="57627"/>
    <n v="2535588"/>
    <n v="56"/>
    <n v="51397.77"/>
    <n v="2878275.1199999996"/>
    <n v="73"/>
    <n v="51270"/>
    <n v="3742710"/>
    <n v="14"/>
    <n v="44748.79"/>
    <n v="626483.06000000006"/>
    <n v="9"/>
    <n v="47444"/>
    <n v="426996"/>
    <n v="0"/>
    <n v="0"/>
    <n v="0"/>
    <m/>
    <m/>
    <n v="0"/>
    <m/>
    <m/>
    <n v="0"/>
    <m/>
    <m/>
    <n v="0"/>
    <m/>
    <m/>
    <n v="0"/>
    <m/>
    <m/>
    <n v="0"/>
    <m/>
    <m/>
    <n v="0"/>
    <n v="1"/>
    <n v="58000"/>
    <n v="47455.600000000006"/>
    <n v="2"/>
    <n v="56781.5"/>
    <n v="92917.246599999999"/>
    <m/>
    <m/>
    <n v="0"/>
    <m/>
    <m/>
    <n v="0"/>
    <m/>
    <m/>
    <n v="0"/>
    <m/>
    <m/>
    <n v="0"/>
    <m/>
    <m/>
    <n v="0"/>
    <m/>
    <m/>
    <n v="0"/>
    <m/>
    <m/>
    <n v="0"/>
  </r>
  <r>
    <x v="4"/>
    <s v="Armstrong Atlantic State University"/>
    <m/>
    <n v="138789"/>
    <x v="3"/>
    <n v="40"/>
    <n v="74969"/>
    <n v="2998760"/>
    <n v="43"/>
    <n v="75251"/>
    <n v="3235793"/>
    <n v="45"/>
    <n v="63220"/>
    <n v="2844900"/>
    <n v="50"/>
    <n v="63491"/>
    <n v="3174550"/>
    <n v="85"/>
    <n v="50388.29"/>
    <n v="4283004.6500000004"/>
    <n v="83"/>
    <n v="51254"/>
    <n v="4254082"/>
    <n v="62"/>
    <n v="43925.21"/>
    <n v="2723363.02"/>
    <n v="67"/>
    <n v="43890"/>
    <n v="2940630"/>
    <n v="0"/>
    <n v="0"/>
    <n v="0"/>
    <m/>
    <m/>
    <n v="0"/>
    <m/>
    <m/>
    <n v="0"/>
    <m/>
    <m/>
    <n v="0"/>
    <n v="1"/>
    <n v="121936"/>
    <n v="99768.035199999998"/>
    <n v="1"/>
    <n v="121936"/>
    <n v="99768.035199999998"/>
    <n v="1"/>
    <n v="75326"/>
    <n v="61631.733200000002"/>
    <n v="1"/>
    <n v="78326"/>
    <n v="64086.333200000001"/>
    <n v="13"/>
    <n v="62133.31"/>
    <n v="660887.1651460001"/>
    <n v="6"/>
    <n v="66901"/>
    <n v="328430.38920000003"/>
    <n v="7"/>
    <n v="53025"/>
    <n v="303695.38500000001"/>
    <n v="7"/>
    <n v="61538"/>
    <n v="352452.74119999999"/>
    <m/>
    <m/>
    <n v="0"/>
    <m/>
    <m/>
    <n v="0"/>
    <m/>
    <m/>
    <n v="0"/>
    <m/>
    <m/>
    <n v="0"/>
  </r>
  <r>
    <x v="4"/>
    <s v="Columbus State University"/>
    <m/>
    <n v="139366"/>
    <x v="3"/>
    <n v="46"/>
    <n v="71059.960000000006"/>
    <n v="3268758.16"/>
    <n v="52"/>
    <n v="72540"/>
    <n v="3772080"/>
    <n v="71"/>
    <n v="62361.96"/>
    <n v="4427699.16"/>
    <n v="72"/>
    <n v="61111"/>
    <n v="4399992"/>
    <n v="104"/>
    <n v="52692.5"/>
    <n v="5480020"/>
    <n v="97"/>
    <n v="54051"/>
    <n v="5242947"/>
    <n v="3"/>
    <n v="51908.67"/>
    <n v="155726.01"/>
    <n v="8"/>
    <n v="54141"/>
    <n v="433128"/>
    <n v="13"/>
    <n v="40613.08"/>
    <n v="527970.04"/>
    <n v="18"/>
    <n v="39915"/>
    <n v="718470"/>
    <m/>
    <m/>
    <n v="0"/>
    <m/>
    <m/>
    <n v="0"/>
    <n v="19"/>
    <n v="96672.9"/>
    <n v="1502857.5688199999"/>
    <n v="14"/>
    <n v="94668"/>
    <n v="1084403.0064000001"/>
    <n v="5"/>
    <n v="80678"/>
    <n v="330053.69800000003"/>
    <n v="6"/>
    <n v="77943"/>
    <n v="382637.77559999999"/>
    <n v="4"/>
    <n v="58901.8"/>
    <n v="192773.81104000003"/>
    <n v="2"/>
    <n v="62750"/>
    <n v="102684.1"/>
    <m/>
    <m/>
    <n v="0"/>
    <m/>
    <m/>
    <n v="0"/>
    <n v="2"/>
    <n v="59000"/>
    <n v="96547.6"/>
    <n v="2"/>
    <n v="68500"/>
    <n v="112093.40000000001"/>
    <m/>
    <m/>
    <n v="0"/>
    <m/>
    <m/>
    <n v="0"/>
  </r>
  <r>
    <x v="4"/>
    <s v="Georgia College and State University"/>
    <m/>
    <n v="139861"/>
    <x v="3"/>
    <n v="61"/>
    <n v="68356.490000000005"/>
    <n v="4169745.89"/>
    <n v="50"/>
    <n v="72512"/>
    <n v="3625600"/>
    <n v="64"/>
    <n v="58628.03"/>
    <n v="3752193.92"/>
    <n v="61"/>
    <n v="62677"/>
    <n v="3823297"/>
    <n v="120"/>
    <n v="52083.13"/>
    <n v="6249975.5999999996"/>
    <n v="137"/>
    <n v="50578"/>
    <n v="6929186"/>
    <n v="16"/>
    <n v="37753.279999999999"/>
    <n v="604052.47999999998"/>
    <n v="10"/>
    <n v="44700"/>
    <n v="447000"/>
    <n v="20"/>
    <n v="44640.25"/>
    <n v="892805"/>
    <n v="20"/>
    <n v="44973"/>
    <n v="899460"/>
    <m/>
    <m/>
    <n v="0"/>
    <m/>
    <m/>
    <n v="0"/>
    <n v="19"/>
    <n v="93287.26"/>
    <n v="1450225.086508"/>
    <n v="14"/>
    <n v="92570"/>
    <n v="1060370.8360000001"/>
    <n v="11"/>
    <n v="81257.820000000007"/>
    <n v="731336.63156400004"/>
    <n v="9"/>
    <n v="85802"/>
    <n v="631828.76760000002"/>
    <n v="3"/>
    <n v="65366"/>
    <n v="160447.3836"/>
    <n v="3"/>
    <n v="78497"/>
    <n v="192678.73620000001"/>
    <n v="1"/>
    <n v="44444"/>
    <n v="36364.080800000003"/>
    <m/>
    <m/>
    <n v="0"/>
    <n v="1"/>
    <n v="56700"/>
    <n v="46391.94"/>
    <n v="1"/>
    <n v="56700"/>
    <n v="46391.94"/>
    <m/>
    <m/>
    <n v="0"/>
    <m/>
    <m/>
    <n v="0"/>
  </r>
  <r>
    <x v="4"/>
    <s v="Kennesaw State University"/>
    <s v="Met the criteria for Four-Year 3 in 2011-12."/>
    <n v="140164"/>
    <x v="3"/>
    <n v="116"/>
    <n v="85124.67"/>
    <n v="9874461.7200000007"/>
    <n v="121"/>
    <n v="83428"/>
    <n v="10094788"/>
    <n v="153"/>
    <n v="67266.06"/>
    <n v="10291707.18"/>
    <n v="172"/>
    <n v="66661"/>
    <n v="11465692"/>
    <n v="262"/>
    <n v="56381.760000000002"/>
    <n v="14772021.120000001"/>
    <n v="253"/>
    <n v="56784"/>
    <n v="14366352"/>
    <n v="50"/>
    <n v="43180"/>
    <n v="2159000"/>
    <n v="34"/>
    <n v="43868"/>
    <n v="1491512"/>
    <n v="92"/>
    <n v="46817.13"/>
    <n v="4307175.96"/>
    <n v="111"/>
    <n v="46917"/>
    <n v="5207787"/>
    <m/>
    <m/>
    <n v="0"/>
    <m/>
    <m/>
    <n v="0"/>
    <n v="20"/>
    <n v="110771.4"/>
    <n v="1812663.1896000002"/>
    <n v="12"/>
    <n v="111616"/>
    <n v="1095890.5344"/>
    <n v="8"/>
    <n v="95340.88"/>
    <n v="624063.26412800001"/>
    <n v="7"/>
    <n v="94004"/>
    <n v="538398.50959999999"/>
    <n v="11"/>
    <n v="82994"/>
    <n v="746962.59880000004"/>
    <n v="12"/>
    <n v="83747"/>
    <n v="822261.54480000003"/>
    <n v="5"/>
    <n v="52482.6"/>
    <n v="214706.31660000002"/>
    <n v="1"/>
    <n v="85000"/>
    <n v="69547"/>
    <n v="13"/>
    <n v="79171.62"/>
    <n v="842116.85329200001"/>
    <n v="12"/>
    <n v="77294"/>
    <n v="758903.40960000001"/>
    <m/>
    <m/>
    <n v="0"/>
    <m/>
    <m/>
    <n v="0"/>
  </r>
  <r>
    <x v="4"/>
    <s v="Augusta State University"/>
    <s v="Met the criteria for Four-Year 4 in 2010-11 and 2011-12."/>
    <n v="138983"/>
    <x v="4"/>
    <n v="59"/>
    <n v="78371.08"/>
    <n v="4623893.72"/>
    <n v="49"/>
    <n v="75297"/>
    <n v="3689553"/>
    <n v="46"/>
    <n v="56167.15"/>
    <n v="2583688.9"/>
    <n v="46"/>
    <n v="56930"/>
    <n v="2618780"/>
    <n v="86"/>
    <n v="54223.53"/>
    <n v="4663223.58"/>
    <n v="83"/>
    <n v="53343"/>
    <n v="4427469"/>
    <n v="42"/>
    <n v="41273"/>
    <n v="1733466"/>
    <n v="40"/>
    <n v="40149"/>
    <n v="1605960"/>
    <n v="19"/>
    <n v="45017"/>
    <n v="855323"/>
    <n v="20"/>
    <n v="44700"/>
    <n v="894000"/>
    <m/>
    <m/>
    <n v="0"/>
    <m/>
    <m/>
    <n v="0"/>
    <n v="2"/>
    <n v="85989"/>
    <n v="140712.3996"/>
    <n v="1"/>
    <n v="83013"/>
    <n v="67921.236600000004"/>
    <m/>
    <m/>
    <n v="0"/>
    <n v="1"/>
    <n v="68953"/>
    <n v="56417.344600000004"/>
    <m/>
    <m/>
    <n v="0"/>
    <m/>
    <m/>
    <n v="0"/>
    <n v="1"/>
    <n v="68562"/>
    <n v="56097.428400000004"/>
    <n v="1"/>
    <n v="68562"/>
    <n v="56097.428400000004"/>
    <m/>
    <m/>
    <n v="0"/>
    <m/>
    <m/>
    <n v="0"/>
    <m/>
    <m/>
    <n v="0"/>
    <m/>
    <m/>
    <n v="0"/>
  </r>
  <r>
    <x v="4"/>
    <s v="Clayton State University"/>
    <s v="Reclassified: met the criteria for Four-Year 5 in 2009-10, 2010-11 and 2011-12."/>
    <n v="139311"/>
    <x v="4"/>
    <n v="22"/>
    <n v="78552.45"/>
    <n v="1728153.9"/>
    <n v="19"/>
    <n v="81774"/>
    <n v="1553706"/>
    <n v="64"/>
    <n v="61469.09"/>
    <n v="3934021.76"/>
    <n v="68"/>
    <n v="61636"/>
    <n v="4191248"/>
    <n v="67"/>
    <n v="55015.03"/>
    <n v="3686007.01"/>
    <n v="69"/>
    <n v="55482"/>
    <n v="3828258"/>
    <n v="7"/>
    <n v="50128.29"/>
    <n v="350898.03"/>
    <n v="8"/>
    <n v="51375"/>
    <n v="411000"/>
    <n v="23"/>
    <n v="50707.09"/>
    <n v="1166263.0699999998"/>
    <n v="31"/>
    <n v="49962"/>
    <n v="1548822"/>
    <m/>
    <m/>
    <n v="0"/>
    <m/>
    <m/>
    <n v="0"/>
    <n v="15"/>
    <n v="109044.2"/>
    <n v="1338299.4666000002"/>
    <n v="15"/>
    <n v="107307"/>
    <n v="1316978.811"/>
    <n v="11"/>
    <n v="82956.45"/>
    <n v="746624.64128999994"/>
    <n v="8"/>
    <n v="91174"/>
    <n v="596788.5344"/>
    <n v="4"/>
    <n v="79304.25"/>
    <n v="259546.94940000001"/>
    <n v="5"/>
    <n v="72755"/>
    <n v="297640.70500000002"/>
    <m/>
    <m/>
    <n v="0"/>
    <m/>
    <m/>
    <n v="0"/>
    <m/>
    <m/>
    <n v="0"/>
    <m/>
    <m/>
    <n v="0"/>
    <m/>
    <m/>
    <n v="0"/>
    <m/>
    <m/>
    <n v="0"/>
  </r>
  <r>
    <x v="4"/>
    <s v="Fort Valley State University"/>
    <m/>
    <n v="139719"/>
    <x v="4"/>
    <n v="20"/>
    <n v="75069.600000000006"/>
    <n v="1501392"/>
    <n v="19"/>
    <n v="74120"/>
    <n v="1408280"/>
    <n v="24"/>
    <n v="57973.63"/>
    <n v="1391367.1199999999"/>
    <n v="28"/>
    <n v="57722"/>
    <n v="1616216"/>
    <n v="55"/>
    <n v="50428.639999999999"/>
    <n v="2773575.2"/>
    <n v="52"/>
    <n v="50316"/>
    <n v="2616432"/>
    <n v="6"/>
    <n v="43571.67"/>
    <n v="261430.02"/>
    <n v="5"/>
    <n v="43587"/>
    <n v="217935"/>
    <n v="0"/>
    <n v="0"/>
    <n v="0"/>
    <m/>
    <m/>
    <n v="0"/>
    <m/>
    <m/>
    <n v="0"/>
    <m/>
    <m/>
    <n v="0"/>
    <n v="26"/>
    <n v="89467.19"/>
    <n v="1903253.426308"/>
    <n v="28"/>
    <n v="89364"/>
    <n v="2047293.4944000002"/>
    <n v="2"/>
    <n v="32126"/>
    <n v="52570.986400000002"/>
    <m/>
    <m/>
    <n v="0"/>
    <n v="4"/>
    <n v="61585"/>
    <n v="201555.38800000001"/>
    <n v="11"/>
    <n v="61881"/>
    <n v="556941.37620000006"/>
    <m/>
    <m/>
    <n v="0"/>
    <m/>
    <m/>
    <n v="0"/>
    <m/>
    <m/>
    <n v="0"/>
    <m/>
    <m/>
    <n v="0"/>
    <m/>
    <m/>
    <n v="0"/>
    <m/>
    <m/>
    <n v="0"/>
  </r>
  <r>
    <x v="4"/>
    <s v="Georgia Southwestern State University"/>
    <m/>
    <n v="139764"/>
    <x v="4"/>
    <n v="18"/>
    <n v="71464"/>
    <n v="1286352"/>
    <n v="21"/>
    <n v="67714"/>
    <n v="1421994"/>
    <n v="27"/>
    <n v="60662.78"/>
    <n v="1637895.06"/>
    <n v="28"/>
    <n v="60609"/>
    <n v="1697052"/>
    <n v="38"/>
    <n v="50241.05"/>
    <n v="1909159.9000000001"/>
    <n v="34"/>
    <n v="49877"/>
    <n v="1695818"/>
    <n v="8"/>
    <n v="48118"/>
    <n v="384944"/>
    <n v="8"/>
    <n v="48775"/>
    <n v="390200"/>
    <n v="10"/>
    <n v="42611.6"/>
    <n v="426116"/>
    <n v="16"/>
    <n v="44447"/>
    <n v="711152"/>
    <m/>
    <m/>
    <n v="0"/>
    <m/>
    <m/>
    <n v="0"/>
    <n v="1"/>
    <n v="89742"/>
    <n v="73426.904399999999"/>
    <m/>
    <m/>
    <n v="0"/>
    <m/>
    <m/>
    <n v="0"/>
    <m/>
    <m/>
    <n v="0"/>
    <m/>
    <m/>
    <n v="0"/>
    <m/>
    <m/>
    <n v="0"/>
    <m/>
    <m/>
    <n v="0"/>
    <m/>
    <m/>
    <n v="0"/>
    <m/>
    <m/>
    <n v="0"/>
    <m/>
    <m/>
    <n v="0"/>
    <m/>
    <m/>
    <n v="0"/>
    <m/>
    <m/>
    <n v="0"/>
  </r>
  <r>
    <x v="4"/>
    <s v="North Georgia College and State University"/>
    <s v="Met the criteria for Four-Year 4 in 2010-11 and 2011-12."/>
    <n v="140669"/>
    <x v="4"/>
    <n v="32"/>
    <n v="72280.63"/>
    <n v="2312980.16"/>
    <n v="34"/>
    <n v="72058"/>
    <n v="2449972"/>
    <n v="61"/>
    <n v="63312.33"/>
    <n v="3862052.13"/>
    <n v="67"/>
    <n v="64255"/>
    <n v="4305085"/>
    <n v="86"/>
    <n v="52350.09"/>
    <n v="4502107.7399999993"/>
    <n v="82"/>
    <n v="51230"/>
    <n v="4200860"/>
    <n v="30"/>
    <n v="42942.6"/>
    <n v="1288278"/>
    <n v="31"/>
    <n v="43300"/>
    <n v="1342300"/>
    <n v="5"/>
    <n v="39678.199999999997"/>
    <n v="198391"/>
    <n v="11"/>
    <n v="40712"/>
    <n v="447832"/>
    <m/>
    <m/>
    <n v="0"/>
    <m/>
    <m/>
    <n v="0"/>
    <n v="12"/>
    <n v="97398.42"/>
    <n v="956296.64692800003"/>
    <n v="10"/>
    <n v="100560"/>
    <n v="822781.92"/>
    <n v="4"/>
    <n v="87448.5"/>
    <n v="286201.45079999999"/>
    <n v="5"/>
    <n v="84731"/>
    <n v="346634.52100000001"/>
    <n v="5"/>
    <n v="74292.2"/>
    <n v="303929.39020000002"/>
    <n v="6"/>
    <n v="63768"/>
    <n v="313049.86560000002"/>
    <n v="3"/>
    <n v="66667"/>
    <n v="163640.81820000001"/>
    <n v="2"/>
    <n v="82500"/>
    <n v="135003"/>
    <m/>
    <m/>
    <n v="0"/>
    <m/>
    <m/>
    <n v="0"/>
    <m/>
    <m/>
    <n v="0"/>
    <m/>
    <m/>
    <n v="0"/>
  </r>
  <r>
    <x v="4"/>
    <s v="Savannah State University"/>
    <m/>
    <n v="140960"/>
    <x v="4"/>
    <n v="28"/>
    <n v="72334.789999999994"/>
    <n v="2025374.1199999999"/>
    <n v="18"/>
    <n v="72379"/>
    <n v="1302822"/>
    <n v="35"/>
    <n v="62297.51"/>
    <n v="2180412.85"/>
    <n v="30"/>
    <n v="63950"/>
    <n v="1918500"/>
    <n v="48"/>
    <n v="53015.75"/>
    <n v="2544756"/>
    <n v="62"/>
    <n v="53674"/>
    <n v="3327788"/>
    <n v="23"/>
    <n v="39164.300000000003"/>
    <n v="900778.9"/>
    <n v="25"/>
    <n v="40076"/>
    <n v="1001900"/>
    <n v="15"/>
    <n v="40085.730000000003"/>
    <n v="601285.95000000007"/>
    <n v="17"/>
    <n v="42028"/>
    <n v="714476"/>
    <m/>
    <m/>
    <n v="0"/>
    <m/>
    <m/>
    <n v="0"/>
    <m/>
    <m/>
    <n v="0"/>
    <m/>
    <m/>
    <n v="0"/>
    <n v="2"/>
    <n v="65442"/>
    <n v="107089.28880000001"/>
    <n v="2"/>
    <n v="66442"/>
    <n v="108725.6888"/>
    <n v="5"/>
    <n v="57596.800000000003"/>
    <n v="235628.50880000001"/>
    <n v="5"/>
    <n v="52408"/>
    <n v="214401.128"/>
    <n v="1"/>
    <n v="48000"/>
    <n v="39273.599999999999"/>
    <n v="2"/>
    <n v="40000"/>
    <n v="65456"/>
    <m/>
    <m/>
    <n v="0"/>
    <n v="1"/>
    <n v="50000"/>
    <n v="40910"/>
    <m/>
    <m/>
    <n v="0"/>
    <m/>
    <m/>
    <n v="0"/>
  </r>
  <r>
    <x v="4"/>
    <s v="Georgia Gwinnett College"/>
    <s v="Met the criteia for Four-Year 6 in 2011-12 but still (?) in start up phase?"/>
    <n v="447689"/>
    <x v="5"/>
    <n v="11"/>
    <n v="107083"/>
    <n v="1177913"/>
    <n v="15"/>
    <n v="103705"/>
    <n v="1555575"/>
    <n v="30"/>
    <n v="77710.399999999994"/>
    <n v="2331312"/>
    <n v="55"/>
    <n v="72764"/>
    <n v="4002020"/>
    <n v="142"/>
    <n v="60739.5"/>
    <n v="8625009"/>
    <n v="214"/>
    <n v="61220"/>
    <n v="13101080"/>
    <n v="10"/>
    <n v="47403.199999999997"/>
    <n v="474032"/>
    <n v="16"/>
    <n v="50465"/>
    <n v="807440"/>
    <m/>
    <m/>
    <n v="0"/>
    <m/>
    <m/>
    <n v="0"/>
    <m/>
    <m/>
    <n v="0"/>
    <m/>
    <m/>
    <n v="0"/>
    <m/>
    <m/>
    <n v="0"/>
    <m/>
    <m/>
    <n v="0"/>
    <m/>
    <m/>
    <n v="0"/>
    <m/>
    <m/>
    <n v="0"/>
    <n v="6"/>
    <n v="53881.5"/>
    <n v="264515.05979999999"/>
    <n v="6"/>
    <n v="53882"/>
    <n v="264517.51439999999"/>
    <n v="3"/>
    <n v="43237"/>
    <n v="106129.5402"/>
    <n v="2"/>
    <n v="42025"/>
    <n v="68769.710000000006"/>
    <m/>
    <m/>
    <n v="0"/>
    <m/>
    <m/>
    <n v="0"/>
    <m/>
    <m/>
    <n v="0"/>
    <m/>
    <m/>
    <n v="0"/>
  </r>
  <r>
    <x v="4"/>
    <s v="Macon State College "/>
    <m/>
    <n v="140322"/>
    <x v="5"/>
    <n v="16"/>
    <n v="75047"/>
    <n v="1200752"/>
    <n v="16"/>
    <n v="73017"/>
    <n v="1168272"/>
    <n v="49"/>
    <n v="57875.8"/>
    <n v="2835914.2"/>
    <n v="52"/>
    <n v="55260"/>
    <n v="2873520"/>
    <n v="89"/>
    <n v="46705.7"/>
    <n v="4156807.3"/>
    <n v="78"/>
    <n v="47325"/>
    <n v="3691350"/>
    <m/>
    <m/>
    <n v="0"/>
    <m/>
    <m/>
    <n v="0"/>
    <n v="14"/>
    <n v="43400.1"/>
    <n v="607601.4"/>
    <n v="16"/>
    <n v="44824"/>
    <n v="717184"/>
    <m/>
    <m/>
    <n v="0"/>
    <m/>
    <m/>
    <n v="0"/>
    <n v="0"/>
    <m/>
    <n v="0"/>
    <m/>
    <m/>
    <n v="0"/>
    <m/>
    <m/>
    <n v="0"/>
    <m/>
    <m/>
    <n v="0"/>
    <m/>
    <m/>
    <n v="0"/>
    <n v="1"/>
    <n v="95000"/>
    <n v="77729"/>
    <m/>
    <m/>
    <n v="0"/>
    <m/>
    <m/>
    <n v="0"/>
    <m/>
    <m/>
    <n v="0"/>
    <m/>
    <m/>
    <n v="0"/>
    <m/>
    <m/>
    <n v="0"/>
    <m/>
    <m/>
    <n v="0"/>
  </r>
  <r>
    <x v="4"/>
    <s v="Dalton State College "/>
    <m/>
    <n v="139463"/>
    <x v="11"/>
    <n v="16"/>
    <n v="76959.3"/>
    <n v="1231348.8"/>
    <n v="14"/>
    <n v="72726"/>
    <n v="1018164"/>
    <n v="46"/>
    <n v="57057.5"/>
    <n v="2624645"/>
    <n v="55"/>
    <n v="56105"/>
    <n v="3085775"/>
    <n v="65"/>
    <n v="47361"/>
    <n v="3078465"/>
    <n v="56"/>
    <n v="48328"/>
    <n v="2706368"/>
    <n v="7"/>
    <n v="42013.4"/>
    <n v="294093.8"/>
    <n v="15"/>
    <n v="42659"/>
    <n v="639885"/>
    <n v="5"/>
    <n v="34200.199999999997"/>
    <n v="171001"/>
    <n v="9"/>
    <n v="28889"/>
    <n v="260001"/>
    <m/>
    <m/>
    <n v="0"/>
    <m/>
    <m/>
    <n v="0"/>
    <n v="1"/>
    <n v="120000"/>
    <n v="98184"/>
    <n v="1"/>
    <n v="120000"/>
    <n v="98184"/>
    <n v="1"/>
    <n v="57500"/>
    <n v="47046.5"/>
    <m/>
    <m/>
    <n v="0"/>
    <m/>
    <m/>
    <n v="0"/>
    <m/>
    <m/>
    <n v="0"/>
    <m/>
    <m/>
    <n v="0"/>
    <m/>
    <m/>
    <n v="0"/>
    <m/>
    <m/>
    <n v="0"/>
    <m/>
    <m/>
    <n v="0"/>
    <m/>
    <m/>
    <n v="0"/>
    <m/>
    <m/>
    <n v="0"/>
  </r>
  <r>
    <x v="4"/>
    <s v="Gainesville State College "/>
    <m/>
    <n v="139773"/>
    <x v="11"/>
    <n v="36"/>
    <n v="61450.5"/>
    <n v="2212218"/>
    <n v="40"/>
    <n v="63380"/>
    <n v="2535200"/>
    <n v="35"/>
    <n v="48810"/>
    <n v="1708350"/>
    <n v="33"/>
    <n v="49438"/>
    <n v="1631454"/>
    <n v="84"/>
    <n v="41739"/>
    <n v="3506076"/>
    <n v="84"/>
    <n v="43045"/>
    <n v="3615780"/>
    <n v="13"/>
    <n v="39885.300000000003"/>
    <n v="518508.9"/>
    <n v="8"/>
    <n v="39951"/>
    <n v="319608"/>
    <n v="25"/>
    <n v="37494.9"/>
    <n v="937372.5"/>
    <n v="25"/>
    <n v="37646"/>
    <n v="941150"/>
    <m/>
    <m/>
    <n v="0"/>
    <m/>
    <m/>
    <n v="0"/>
    <n v="1"/>
    <n v="103761"/>
    <n v="84897.250200000009"/>
    <n v="1"/>
    <n v="107762"/>
    <n v="88170.868400000007"/>
    <n v="5"/>
    <n v="57118.2"/>
    <n v="233670.55620000002"/>
    <n v="6"/>
    <n v="60657"/>
    <n v="297777.3444"/>
    <n v="5"/>
    <n v="50633.599999999999"/>
    <n v="207142.0576"/>
    <n v="5"/>
    <n v="51294"/>
    <n v="209843.75400000002"/>
    <n v="1"/>
    <n v="49000"/>
    <n v="40091.800000000003"/>
    <m/>
    <m/>
    <n v="0"/>
    <m/>
    <m/>
    <n v="0"/>
    <m/>
    <m/>
    <n v="0"/>
    <m/>
    <m/>
    <n v="0"/>
    <m/>
    <m/>
    <n v="0"/>
  </r>
  <r>
    <x v="4"/>
    <s v="Gordon College "/>
    <s v="Reclassified: met the criteria for Two-Year with Bachelor's in 2009-10, 2010-11 and 2011-12."/>
    <n v="139968"/>
    <x v="11"/>
    <n v="24"/>
    <n v="65168.3"/>
    <n v="1564039.2000000002"/>
    <n v="26"/>
    <n v="63743"/>
    <n v="1657318"/>
    <n v="39"/>
    <n v="53601.2"/>
    <n v="2090446.7999999998"/>
    <n v="39"/>
    <n v="52769"/>
    <n v="2057991"/>
    <n v="35"/>
    <n v="47449.5"/>
    <n v="1660732.5"/>
    <n v="39"/>
    <n v="46611"/>
    <n v="1817829"/>
    <n v="17"/>
    <n v="40864.199999999997"/>
    <n v="694691.39999999991"/>
    <n v="11"/>
    <n v="39606"/>
    <n v="435666"/>
    <m/>
    <m/>
    <n v="0"/>
    <m/>
    <m/>
    <n v="0"/>
    <m/>
    <m/>
    <n v="0"/>
    <m/>
    <m/>
    <n v="0"/>
    <n v="0"/>
    <m/>
    <n v="0"/>
    <m/>
    <m/>
    <n v="0"/>
    <m/>
    <m/>
    <n v="0"/>
    <m/>
    <m/>
    <n v="0"/>
    <m/>
    <m/>
    <n v="0"/>
    <m/>
    <m/>
    <n v="0"/>
    <m/>
    <m/>
    <n v="0"/>
    <m/>
    <m/>
    <n v="0"/>
    <m/>
    <m/>
    <n v="0"/>
    <m/>
    <m/>
    <n v="0"/>
    <m/>
    <m/>
    <n v="0"/>
    <m/>
    <m/>
    <n v="0"/>
  </r>
  <r>
    <x v="4"/>
    <s v="Georgia Perimeter College "/>
    <m/>
    <n v="244437"/>
    <x v="6"/>
    <n v="34"/>
    <n v="63335.7"/>
    <n v="2153413.7999999998"/>
    <n v="30"/>
    <n v="62610"/>
    <n v="1878300"/>
    <n v="133"/>
    <n v="55329.5"/>
    <n v="7358823.5"/>
    <n v="128"/>
    <n v="55791"/>
    <n v="7141248"/>
    <n v="106"/>
    <n v="44722.9"/>
    <n v="4740627.4000000004"/>
    <n v="113"/>
    <n v="44609"/>
    <n v="5040817"/>
    <n v="105"/>
    <n v="39627"/>
    <n v="4160835"/>
    <n v="266"/>
    <n v="38572"/>
    <n v="10260152"/>
    <n v="10"/>
    <n v="44606.400000000001"/>
    <n v="446064"/>
    <n v="15"/>
    <n v="32866"/>
    <n v="492990"/>
    <m/>
    <m/>
    <n v="0"/>
    <m/>
    <m/>
    <n v="0"/>
    <n v="12"/>
    <n v="91553.3"/>
    <n v="898906.92072000017"/>
    <n v="1"/>
    <n v="93000"/>
    <n v="76092.600000000006"/>
    <n v="29"/>
    <n v="78138.600000000006"/>
    <n v="1854057.0730800005"/>
    <n v="6"/>
    <n v="68335"/>
    <n v="335470.18200000003"/>
    <n v="10"/>
    <n v="70563.399999999994"/>
    <n v="577349.73880000005"/>
    <n v="3"/>
    <n v="67272"/>
    <n v="165125.8512"/>
    <n v="8"/>
    <n v="58615.8"/>
    <n v="383675.58048000006"/>
    <n v="6"/>
    <n v="54056"/>
    <n v="265371.71520000004"/>
    <n v="5"/>
    <n v="58299.8"/>
    <n v="238504.48180000001"/>
    <n v="5"/>
    <n v="59879"/>
    <n v="244964.989"/>
    <m/>
    <m/>
    <n v="0"/>
    <m/>
    <m/>
    <n v="0"/>
  </r>
  <r>
    <x v="4"/>
    <s v="Abraham Baldwin Agricultural College "/>
    <s v="Met the criteria for Two-Year with Bachelor's in 2011-12. "/>
    <n v="138558"/>
    <x v="7"/>
    <n v="11"/>
    <n v="52722.73"/>
    <n v="579950.03"/>
    <n v="8"/>
    <n v="51825"/>
    <n v="414600"/>
    <n v="19"/>
    <n v="48860.05"/>
    <n v="928340.95000000007"/>
    <n v="14"/>
    <n v="49250"/>
    <n v="689500"/>
    <n v="29"/>
    <n v="43051"/>
    <n v="1248479"/>
    <n v="30"/>
    <n v="44990"/>
    <n v="1349700"/>
    <n v="16"/>
    <n v="41574.879999999997"/>
    <n v="665198.07999999996"/>
    <n v="21"/>
    <n v="42201"/>
    <n v="886221"/>
    <n v="12"/>
    <n v="38809"/>
    <n v="465708"/>
    <m/>
    <m/>
    <n v="0"/>
    <m/>
    <m/>
    <n v="0"/>
    <m/>
    <m/>
    <n v="0"/>
    <n v="1"/>
    <n v="79349"/>
    <n v="64923.351800000004"/>
    <m/>
    <m/>
    <n v="0"/>
    <n v="4"/>
    <n v="70813"/>
    <n v="231756.78640000001"/>
    <n v="5"/>
    <n v="69484"/>
    <n v="284259.04399999999"/>
    <m/>
    <m/>
    <n v="0"/>
    <n v="2"/>
    <n v="57967"/>
    <n v="94857.198799999998"/>
    <m/>
    <m/>
    <n v="0"/>
    <n v="3"/>
    <n v="56644"/>
    <n v="139038.36240000001"/>
    <n v="4"/>
    <n v="56054.5"/>
    <n v="183455.16760000002"/>
    <m/>
    <m/>
    <n v="0"/>
    <m/>
    <m/>
    <n v="0"/>
    <m/>
    <m/>
    <n v="0"/>
  </r>
  <r>
    <x v="4"/>
    <s v="Atlanta Metropolitan College"/>
    <s v="Reclassified: Met the criteria for Two-Year 2 in 2009-10, 2010-11 and 2011-12."/>
    <n v="138901"/>
    <x v="7"/>
    <n v="2"/>
    <n v="57928"/>
    <n v="115856"/>
    <n v="4"/>
    <n v="55655"/>
    <n v="222620"/>
    <n v="14"/>
    <n v="56407.43"/>
    <n v="789704.02"/>
    <n v="11"/>
    <n v="53077"/>
    <n v="583847"/>
    <n v="28"/>
    <n v="46451.15"/>
    <n v="1300632.2"/>
    <n v="27"/>
    <n v="42509"/>
    <n v="1147743"/>
    <m/>
    <m/>
    <n v="0"/>
    <n v="4"/>
    <n v="54360"/>
    <n v="217440"/>
    <n v="9"/>
    <n v="27555.56"/>
    <n v="248000.04"/>
    <n v="14"/>
    <n v="26286"/>
    <n v="368004"/>
    <m/>
    <m/>
    <n v="0"/>
    <m/>
    <m/>
    <n v="0"/>
    <n v="3"/>
    <n v="79070"/>
    <n v="194085.22200000001"/>
    <n v="2"/>
    <n v="80500"/>
    <n v="131730.20000000001"/>
    <n v="1"/>
    <n v="78000"/>
    <n v="63819.600000000006"/>
    <n v="2"/>
    <n v="79000"/>
    <n v="129275.6"/>
    <m/>
    <m/>
    <n v="0"/>
    <m/>
    <m/>
    <n v="0"/>
    <m/>
    <m/>
    <n v="0"/>
    <m/>
    <m/>
    <n v="0"/>
    <m/>
    <m/>
    <n v="0"/>
    <m/>
    <m/>
    <n v="0"/>
    <m/>
    <m/>
    <n v="0"/>
    <m/>
    <m/>
    <n v="0"/>
  </r>
  <r>
    <x v="4"/>
    <s v="Bainbridge College "/>
    <m/>
    <n v="139010"/>
    <x v="7"/>
    <n v="5"/>
    <n v="56086.8"/>
    <n v="280434"/>
    <n v="5"/>
    <n v="57847"/>
    <n v="289235"/>
    <n v="8"/>
    <n v="50975.88"/>
    <n v="407807.04"/>
    <n v="15"/>
    <n v="46340"/>
    <n v="695100"/>
    <n v="19"/>
    <n v="41495.74"/>
    <n v="788419.05999999994"/>
    <n v="25"/>
    <n v="39039"/>
    <n v="975975"/>
    <n v="23"/>
    <n v="36281.39"/>
    <n v="834471.97"/>
    <n v="10"/>
    <n v="35990"/>
    <n v="359900"/>
    <m/>
    <m/>
    <n v="0"/>
    <m/>
    <m/>
    <n v="0"/>
    <m/>
    <m/>
    <n v="0"/>
    <m/>
    <m/>
    <n v="0"/>
    <m/>
    <m/>
    <n v="0"/>
    <m/>
    <m/>
    <n v="0"/>
    <m/>
    <m/>
    <n v="0"/>
    <m/>
    <m/>
    <n v="0"/>
    <n v="7"/>
    <n v="52652"/>
    <n v="301559.06479999999"/>
    <n v="5"/>
    <n v="46828"/>
    <n v="191573.348"/>
    <n v="13"/>
    <n v="43031.62"/>
    <n v="457710.12929200009"/>
    <n v="12"/>
    <n v="44429"/>
    <n v="436221.6936"/>
    <m/>
    <m/>
    <n v="0"/>
    <m/>
    <m/>
    <n v="0"/>
    <m/>
    <m/>
    <n v="0"/>
    <m/>
    <m/>
    <n v="0"/>
  </r>
  <r>
    <x v="4"/>
    <s v="College of Coastal Georgia "/>
    <s v="Met the criteria for Two-Year with Bachelor's in 2011-12. "/>
    <n v="139250"/>
    <x v="7"/>
    <n v="5"/>
    <n v="61117"/>
    <n v="305585"/>
    <n v="6"/>
    <n v="70431"/>
    <n v="422586"/>
    <n v="15"/>
    <n v="56734.6"/>
    <n v="851019"/>
    <n v="16"/>
    <n v="56596"/>
    <n v="905536"/>
    <n v="36"/>
    <n v="50573.4"/>
    <n v="1820642.4000000001"/>
    <n v="47"/>
    <n v="51866"/>
    <n v="2437702"/>
    <n v="14"/>
    <n v="43034.6"/>
    <n v="602484.4"/>
    <n v="6"/>
    <n v="46629"/>
    <n v="279774"/>
    <m/>
    <m/>
    <n v="0"/>
    <m/>
    <m/>
    <n v="0"/>
    <m/>
    <m/>
    <n v="0"/>
    <m/>
    <m/>
    <n v="0"/>
    <n v="2"/>
    <n v="95250"/>
    <n v="155867.1"/>
    <n v="1"/>
    <n v="88500"/>
    <n v="72410.7"/>
    <m/>
    <m/>
    <n v="0"/>
    <n v="1"/>
    <n v="77382"/>
    <n v="63313.952400000002"/>
    <n v="9"/>
    <n v="71158.899999999994"/>
    <n v="523999.90782000002"/>
    <n v="9"/>
    <n v="67270"/>
    <n v="495362.826"/>
    <n v="3"/>
    <n v="47037"/>
    <n v="115457.0202"/>
    <n v="5"/>
    <n v="47976"/>
    <n v="196269.81600000002"/>
    <m/>
    <m/>
    <n v="0"/>
    <m/>
    <m/>
    <n v="0"/>
    <m/>
    <m/>
    <n v="0"/>
    <m/>
    <m/>
    <n v="0"/>
  </r>
  <r>
    <x v="4"/>
    <s v="Darton College "/>
    <m/>
    <n v="138691"/>
    <x v="7"/>
    <n v="3"/>
    <n v="61393.33"/>
    <n v="184179.99"/>
    <n v="2"/>
    <n v="65685"/>
    <n v="131370"/>
    <n v="9"/>
    <n v="48650.33"/>
    <n v="437852.97000000003"/>
    <n v="10"/>
    <n v="48525"/>
    <n v="485250"/>
    <n v="58"/>
    <n v="44430.05"/>
    <n v="2576942.9000000004"/>
    <n v="57"/>
    <n v="43928"/>
    <n v="2503896"/>
    <n v="23"/>
    <n v="45442.3"/>
    <n v="1045172.9"/>
    <n v="26"/>
    <n v="46950"/>
    <n v="1220700"/>
    <m/>
    <m/>
    <n v="0"/>
    <m/>
    <m/>
    <n v="0"/>
    <m/>
    <m/>
    <n v="0"/>
    <m/>
    <m/>
    <n v="0"/>
    <n v="1"/>
    <n v="85965"/>
    <n v="70336.563000000009"/>
    <n v="1"/>
    <n v="85965"/>
    <n v="70336.563000000009"/>
    <n v="1"/>
    <n v="92053"/>
    <n v="75317.76460000001"/>
    <n v="1"/>
    <n v="92053"/>
    <n v="75317.76460000001"/>
    <n v="8"/>
    <n v="62932.5"/>
    <n v="411930.97200000001"/>
    <n v="8"/>
    <n v="61605"/>
    <n v="403241.68800000002"/>
    <n v="18"/>
    <n v="47817.78"/>
    <n v="704241.13672800001"/>
    <n v="15"/>
    <n v="46731"/>
    <n v="573529.56300000008"/>
    <m/>
    <m/>
    <n v="0"/>
    <m/>
    <m/>
    <n v="0"/>
    <m/>
    <m/>
    <n v="0"/>
    <m/>
    <m/>
    <n v="0"/>
  </r>
  <r>
    <x v="4"/>
    <s v="East Georgia College"/>
    <s v="Reclassified: Met the criteria for Two-Year 2 in 2009-10, 2010-11 and 2011-12."/>
    <n v="139621"/>
    <x v="7"/>
    <n v="1"/>
    <n v="63384"/>
    <n v="63384"/>
    <n v="1"/>
    <n v="63384"/>
    <n v="63384"/>
    <n v="12"/>
    <n v="50086.25"/>
    <n v="601035"/>
    <n v="13"/>
    <n v="50101"/>
    <n v="651313"/>
    <n v="20"/>
    <n v="42448.85"/>
    <n v="848977"/>
    <n v="28"/>
    <n v="41487"/>
    <n v="1161636"/>
    <n v="27"/>
    <n v="37962.44"/>
    <n v="1024985.8800000001"/>
    <n v="19"/>
    <n v="37018"/>
    <n v="703342"/>
    <m/>
    <m/>
    <n v="0"/>
    <n v="2"/>
    <n v="34000"/>
    <n v="68000"/>
    <m/>
    <m/>
    <n v="0"/>
    <m/>
    <m/>
    <n v="0"/>
    <n v="1"/>
    <n v="90344"/>
    <n v="73919.460800000001"/>
    <n v="1"/>
    <n v="90344"/>
    <n v="73919.460800000001"/>
    <n v="3"/>
    <n v="72430"/>
    <n v="177786.67800000001"/>
    <n v="2"/>
    <n v="74811"/>
    <n v="122420.72040000001"/>
    <m/>
    <m/>
    <n v="0"/>
    <m/>
    <m/>
    <n v="0"/>
    <m/>
    <m/>
    <n v="0"/>
    <m/>
    <m/>
    <n v="0"/>
    <m/>
    <m/>
    <n v="0"/>
    <m/>
    <m/>
    <n v="0"/>
    <m/>
    <m/>
    <n v="0"/>
    <m/>
    <m/>
    <n v="0"/>
  </r>
  <r>
    <x v="4"/>
    <s v="Georgia Highlands College"/>
    <m/>
    <n v="139700"/>
    <x v="7"/>
    <n v="17"/>
    <n v="60327.4"/>
    <n v="1025565.8"/>
    <n v="15"/>
    <n v="61035"/>
    <n v="915525"/>
    <n v="22"/>
    <n v="50501.2"/>
    <n v="1111026.3999999999"/>
    <n v="30"/>
    <n v="48202"/>
    <n v="1446060"/>
    <n v="31"/>
    <n v="43289.2"/>
    <n v="1341965.2"/>
    <n v="36"/>
    <n v="41843"/>
    <n v="1506348"/>
    <n v="44"/>
    <n v="40188.6"/>
    <n v="1768298.4"/>
    <n v="33"/>
    <n v="40118"/>
    <n v="1323894"/>
    <n v="18"/>
    <n v="37269"/>
    <n v="670842"/>
    <n v="18"/>
    <n v="40295"/>
    <n v="725310"/>
    <m/>
    <m/>
    <n v="0"/>
    <m/>
    <m/>
    <n v="0"/>
    <m/>
    <m/>
    <n v="0"/>
    <m/>
    <m/>
    <n v="0"/>
    <m/>
    <m/>
    <n v="0"/>
    <m/>
    <m/>
    <n v="0"/>
    <m/>
    <m/>
    <n v="0"/>
    <m/>
    <m/>
    <n v="0"/>
    <n v="1"/>
    <n v="53500"/>
    <n v="43773.700000000004"/>
    <n v="2"/>
    <n v="53000"/>
    <n v="86729.2"/>
    <m/>
    <m/>
    <n v="0"/>
    <m/>
    <m/>
    <n v="0"/>
    <m/>
    <m/>
    <n v="0"/>
    <m/>
    <m/>
    <n v="0"/>
  </r>
  <r>
    <x v="4"/>
    <s v="Middle Georgia College "/>
    <s v="Met the criteria for Two-Year with Bachelor's in 2011-12. "/>
    <n v="140483"/>
    <x v="7"/>
    <n v="9"/>
    <n v="57939"/>
    <n v="521451"/>
    <n v="11"/>
    <n v="59720"/>
    <n v="656920"/>
    <n v="30"/>
    <n v="47233.87"/>
    <n v="1417016.1"/>
    <n v="29"/>
    <n v="49280"/>
    <n v="1429120"/>
    <n v="42"/>
    <n v="43594.239999999998"/>
    <n v="1830958.0799999998"/>
    <n v="35"/>
    <n v="44057"/>
    <n v="1541995"/>
    <n v="10"/>
    <n v="43590.5"/>
    <n v="435905"/>
    <n v="22"/>
    <n v="44499"/>
    <n v="978978"/>
    <m/>
    <m/>
    <n v="0"/>
    <m/>
    <m/>
    <n v="0"/>
    <m/>
    <m/>
    <n v="0"/>
    <m/>
    <m/>
    <n v="0"/>
    <n v="1"/>
    <n v="76024"/>
    <n v="62202.836800000005"/>
    <m/>
    <m/>
    <n v="0"/>
    <m/>
    <m/>
    <n v="0"/>
    <m/>
    <m/>
    <n v="0"/>
    <n v="3"/>
    <n v="64555"/>
    <n v="158456.70300000001"/>
    <n v="2"/>
    <n v="70084"/>
    <n v="114685.45760000001"/>
    <n v="15"/>
    <n v="51271.73"/>
    <n v="629257.94229000004"/>
    <n v="1"/>
    <n v="60000"/>
    <n v="49092"/>
    <m/>
    <m/>
    <n v="0"/>
    <m/>
    <m/>
    <n v="0"/>
    <m/>
    <m/>
    <n v="0"/>
    <m/>
    <m/>
    <n v="0"/>
  </r>
  <r>
    <x v="4"/>
    <s v="South Georgia College "/>
    <m/>
    <n v="140997"/>
    <x v="8"/>
    <n v="3"/>
    <n v="54217"/>
    <n v="162651"/>
    <n v="2"/>
    <n v="54273"/>
    <n v="108546"/>
    <n v="8"/>
    <n v="47436.9"/>
    <n v="379495.2"/>
    <n v="8"/>
    <n v="47500"/>
    <n v="380000"/>
    <n v="20"/>
    <n v="44319.199999999997"/>
    <n v="886384"/>
    <n v="14"/>
    <n v="43094"/>
    <n v="603316"/>
    <n v="10"/>
    <n v="35820"/>
    <n v="358200"/>
    <n v="10"/>
    <n v="36976"/>
    <n v="369760"/>
    <n v="3"/>
    <n v="37333.300000000003"/>
    <n v="111999.90000000001"/>
    <n v="8"/>
    <n v="39800"/>
    <n v="318400"/>
    <m/>
    <m/>
    <n v="0"/>
    <m/>
    <m/>
    <n v="0"/>
    <m/>
    <m/>
    <n v="0"/>
    <m/>
    <m/>
    <n v="0"/>
    <m/>
    <m/>
    <n v="0"/>
    <m/>
    <m/>
    <n v="0"/>
    <m/>
    <m/>
    <n v="0"/>
    <m/>
    <m/>
    <n v="0"/>
    <m/>
    <m/>
    <n v="0"/>
    <m/>
    <m/>
    <n v="0"/>
    <m/>
    <m/>
    <n v="0"/>
    <m/>
    <m/>
    <n v="0"/>
    <m/>
    <m/>
    <n v="0"/>
    <m/>
    <m/>
    <n v="0"/>
  </r>
  <r>
    <x v="4"/>
    <s v="Waycross College "/>
    <m/>
    <n v="141307"/>
    <x v="8"/>
    <n v="2"/>
    <n v="61328.5"/>
    <n v="122657"/>
    <n v="2"/>
    <n v="61329"/>
    <n v="122658"/>
    <n v="5"/>
    <n v="48980"/>
    <n v="244900"/>
    <n v="4"/>
    <n v="50225"/>
    <n v="200900"/>
    <n v="8"/>
    <n v="41135"/>
    <n v="329080"/>
    <n v="7"/>
    <n v="41474"/>
    <n v="290318"/>
    <n v="11"/>
    <n v="36958.199999999997"/>
    <n v="406540.19999999995"/>
    <n v="9"/>
    <n v="38203"/>
    <n v="343827"/>
    <m/>
    <m/>
    <n v="0"/>
    <m/>
    <m/>
    <n v="0"/>
    <m/>
    <m/>
    <n v="0"/>
    <m/>
    <m/>
    <n v="0"/>
    <m/>
    <m/>
    <n v="0"/>
    <m/>
    <m/>
    <n v="0"/>
    <m/>
    <m/>
    <n v="0"/>
    <m/>
    <m/>
    <n v="0"/>
    <m/>
    <m/>
    <n v="0"/>
    <m/>
    <m/>
    <n v="0"/>
    <m/>
    <m/>
    <n v="0"/>
    <m/>
    <m/>
    <n v="0"/>
    <m/>
    <m/>
    <n v="0"/>
    <m/>
    <m/>
    <n v="0"/>
    <m/>
    <m/>
    <n v="0"/>
    <m/>
    <m/>
    <n v="0"/>
  </r>
  <r>
    <x v="4"/>
    <s v="Albany Technical College"/>
    <m/>
    <n v="138682"/>
    <x v="9"/>
    <m/>
    <m/>
    <n v="0"/>
    <m/>
    <m/>
    <n v="0"/>
    <m/>
    <m/>
    <n v="0"/>
    <m/>
    <m/>
    <n v="0"/>
    <m/>
    <m/>
    <n v="0"/>
    <m/>
    <m/>
    <n v="0"/>
    <m/>
    <m/>
    <n v="0"/>
    <m/>
    <m/>
    <n v="0"/>
    <m/>
    <m/>
    <n v="0"/>
    <m/>
    <m/>
    <n v="0"/>
    <m/>
    <m/>
    <n v="0"/>
    <m/>
    <m/>
    <n v="0"/>
    <m/>
    <m/>
    <n v="0"/>
    <m/>
    <m/>
    <n v="0"/>
    <m/>
    <m/>
    <n v="0"/>
    <m/>
    <m/>
    <n v="0"/>
    <m/>
    <m/>
    <n v="0"/>
    <m/>
    <m/>
    <n v="0"/>
    <m/>
    <m/>
    <n v="0"/>
    <m/>
    <m/>
    <n v="0"/>
    <m/>
    <m/>
    <n v="0"/>
    <m/>
    <m/>
    <n v="0"/>
    <n v="85"/>
    <n v="52374"/>
    <n v="3642454.5780000002"/>
    <n v="87"/>
    <n v="51626"/>
    <n v="3674914.2084000004"/>
  </r>
  <r>
    <x v="4"/>
    <s v="Altamaha Technical College"/>
    <m/>
    <n v="366447"/>
    <x v="9"/>
    <m/>
    <m/>
    <n v="0"/>
    <m/>
    <m/>
    <n v="0"/>
    <m/>
    <m/>
    <n v="0"/>
    <m/>
    <m/>
    <n v="0"/>
    <m/>
    <m/>
    <n v="0"/>
    <m/>
    <m/>
    <n v="0"/>
    <m/>
    <m/>
    <n v="0"/>
    <m/>
    <m/>
    <n v="0"/>
    <m/>
    <m/>
    <n v="0"/>
    <m/>
    <m/>
    <n v="0"/>
    <m/>
    <m/>
    <n v="0"/>
    <m/>
    <m/>
    <n v="0"/>
    <m/>
    <m/>
    <n v="0"/>
    <m/>
    <m/>
    <n v="0"/>
    <m/>
    <m/>
    <n v="0"/>
    <m/>
    <m/>
    <n v="0"/>
    <m/>
    <m/>
    <n v="0"/>
    <m/>
    <m/>
    <n v="0"/>
    <m/>
    <m/>
    <n v="0"/>
    <m/>
    <m/>
    <n v="0"/>
    <m/>
    <m/>
    <n v="0"/>
    <m/>
    <m/>
    <n v="0"/>
    <n v="51"/>
    <n v="48370"/>
    <n v="2018393.034"/>
    <n v="48"/>
    <n v="48408"/>
    <n v="1901156.4288000001"/>
  </r>
  <r>
    <x v="4"/>
    <s v="Athens Technical College"/>
    <m/>
    <n v="246813"/>
    <x v="9"/>
    <m/>
    <m/>
    <n v="0"/>
    <m/>
    <m/>
    <n v="0"/>
    <m/>
    <m/>
    <n v="0"/>
    <m/>
    <m/>
    <n v="0"/>
    <m/>
    <m/>
    <n v="0"/>
    <m/>
    <m/>
    <n v="0"/>
    <m/>
    <m/>
    <n v="0"/>
    <m/>
    <m/>
    <n v="0"/>
    <m/>
    <m/>
    <n v="0"/>
    <m/>
    <m/>
    <n v="0"/>
    <n v="15"/>
    <n v="53797"/>
    <n v="806955"/>
    <n v="14"/>
    <n v="54220"/>
    <n v="759080"/>
    <m/>
    <m/>
    <n v="0"/>
    <m/>
    <m/>
    <n v="0"/>
    <m/>
    <m/>
    <n v="0"/>
    <m/>
    <m/>
    <n v="0"/>
    <m/>
    <m/>
    <n v="0"/>
    <m/>
    <m/>
    <n v="0"/>
    <m/>
    <m/>
    <n v="0"/>
    <m/>
    <m/>
    <n v="0"/>
    <m/>
    <m/>
    <n v="0"/>
    <m/>
    <m/>
    <n v="0"/>
    <n v="82"/>
    <n v="61654"/>
    <n v="4136514.8296000003"/>
    <n v="84"/>
    <n v="62752"/>
    <n v="4312869.6576000005"/>
  </r>
  <r>
    <x v="4"/>
    <s v="Atlanta Technical College"/>
    <m/>
    <n v="138840"/>
    <x v="9"/>
    <m/>
    <m/>
    <n v="0"/>
    <m/>
    <m/>
    <n v="0"/>
    <m/>
    <m/>
    <n v="0"/>
    <m/>
    <m/>
    <n v="0"/>
    <m/>
    <m/>
    <n v="0"/>
    <m/>
    <m/>
    <n v="0"/>
    <m/>
    <m/>
    <n v="0"/>
    <m/>
    <m/>
    <n v="0"/>
    <m/>
    <m/>
    <n v="0"/>
    <m/>
    <m/>
    <n v="0"/>
    <m/>
    <m/>
    <n v="0"/>
    <m/>
    <m/>
    <n v="0"/>
    <m/>
    <m/>
    <n v="0"/>
    <m/>
    <m/>
    <n v="0"/>
    <m/>
    <m/>
    <n v="0"/>
    <m/>
    <m/>
    <n v="0"/>
    <m/>
    <m/>
    <n v="0"/>
    <m/>
    <m/>
    <n v="0"/>
    <m/>
    <m/>
    <n v="0"/>
    <m/>
    <m/>
    <n v="0"/>
    <m/>
    <m/>
    <n v="0"/>
    <m/>
    <m/>
    <n v="0"/>
    <n v="89"/>
    <n v="53404"/>
    <n v="3888868.5992000001"/>
    <n v="95"/>
    <n v="53040"/>
    <n v="4122746.16"/>
  </r>
  <r>
    <x v="4"/>
    <s v="Augusta Technical College"/>
    <m/>
    <n v="138956"/>
    <x v="9"/>
    <m/>
    <m/>
    <n v="0"/>
    <m/>
    <m/>
    <n v="0"/>
    <m/>
    <m/>
    <n v="0"/>
    <m/>
    <m/>
    <n v="0"/>
    <m/>
    <m/>
    <n v="0"/>
    <m/>
    <m/>
    <n v="0"/>
    <m/>
    <m/>
    <n v="0"/>
    <m/>
    <m/>
    <n v="0"/>
    <m/>
    <m/>
    <n v="0"/>
    <m/>
    <m/>
    <n v="0"/>
    <n v="1"/>
    <n v="48384"/>
    <n v="48384"/>
    <n v="2"/>
    <n v="53479"/>
    <n v="106958"/>
    <m/>
    <m/>
    <n v="0"/>
    <m/>
    <m/>
    <n v="0"/>
    <m/>
    <m/>
    <n v="0"/>
    <m/>
    <m/>
    <n v="0"/>
    <m/>
    <m/>
    <n v="0"/>
    <m/>
    <m/>
    <n v="0"/>
    <m/>
    <m/>
    <n v="0"/>
    <m/>
    <m/>
    <n v="0"/>
    <m/>
    <m/>
    <n v="0"/>
    <m/>
    <m/>
    <n v="0"/>
    <n v="132"/>
    <n v="58378"/>
    <n v="6304964.1072000004"/>
    <n v="131"/>
    <n v="57526"/>
    <n v="6165878.2892000005"/>
  </r>
  <r>
    <x v="4"/>
    <s v="Central Georgia Technical College"/>
    <m/>
    <n v="140304"/>
    <x v="9"/>
    <m/>
    <m/>
    <n v="0"/>
    <m/>
    <m/>
    <n v="0"/>
    <m/>
    <m/>
    <n v="0"/>
    <m/>
    <m/>
    <n v="0"/>
    <m/>
    <m/>
    <n v="0"/>
    <m/>
    <m/>
    <n v="0"/>
    <m/>
    <m/>
    <n v="0"/>
    <m/>
    <m/>
    <n v="0"/>
    <m/>
    <m/>
    <n v="0"/>
    <m/>
    <m/>
    <n v="0"/>
    <n v="1"/>
    <n v="50329"/>
    <n v="50329"/>
    <n v="1"/>
    <n v="52874"/>
    <n v="52874"/>
    <m/>
    <m/>
    <n v="0"/>
    <m/>
    <m/>
    <n v="0"/>
    <m/>
    <m/>
    <n v="0"/>
    <m/>
    <m/>
    <n v="0"/>
    <m/>
    <m/>
    <n v="0"/>
    <m/>
    <m/>
    <n v="0"/>
    <m/>
    <m/>
    <n v="0"/>
    <m/>
    <m/>
    <n v="0"/>
    <m/>
    <m/>
    <n v="0"/>
    <m/>
    <m/>
    <n v="0"/>
    <n v="120"/>
    <n v="67277"/>
    <n v="6605524.9680000003"/>
    <n v="123"/>
    <n v="70189"/>
    <n v="7063722.6954000005"/>
  </r>
  <r>
    <x v="4"/>
    <s v="Chattahoochee Technical College"/>
    <m/>
    <n v="140331"/>
    <x v="9"/>
    <m/>
    <m/>
    <n v="0"/>
    <m/>
    <m/>
    <n v="0"/>
    <m/>
    <m/>
    <n v="0"/>
    <m/>
    <m/>
    <n v="0"/>
    <m/>
    <m/>
    <n v="0"/>
    <m/>
    <m/>
    <n v="0"/>
    <m/>
    <m/>
    <n v="0"/>
    <m/>
    <m/>
    <n v="0"/>
    <m/>
    <m/>
    <n v="0"/>
    <m/>
    <m/>
    <n v="0"/>
    <n v="1"/>
    <n v="30082"/>
    <n v="30082"/>
    <n v="1"/>
    <n v="27073"/>
    <n v="27073"/>
    <m/>
    <m/>
    <n v="0"/>
    <m/>
    <m/>
    <n v="0"/>
    <m/>
    <m/>
    <n v="0"/>
    <m/>
    <m/>
    <n v="0"/>
    <m/>
    <m/>
    <n v="0"/>
    <m/>
    <m/>
    <n v="0"/>
    <m/>
    <m/>
    <n v="0"/>
    <m/>
    <m/>
    <n v="0"/>
    <m/>
    <m/>
    <n v="0"/>
    <m/>
    <m/>
    <n v="0"/>
    <n v="174"/>
    <n v="58167"/>
    <n v="8281049.6556000002"/>
    <n v="185"/>
    <n v="56162"/>
    <n v="8501073.4539999999"/>
  </r>
  <r>
    <x v="4"/>
    <s v="Columbus Technical College"/>
    <m/>
    <n v="139357"/>
    <x v="9"/>
    <m/>
    <m/>
    <n v="0"/>
    <m/>
    <m/>
    <n v="0"/>
    <m/>
    <m/>
    <n v="0"/>
    <m/>
    <m/>
    <n v="0"/>
    <m/>
    <m/>
    <n v="0"/>
    <m/>
    <m/>
    <n v="0"/>
    <m/>
    <m/>
    <n v="0"/>
    <m/>
    <m/>
    <n v="0"/>
    <m/>
    <m/>
    <n v="0"/>
    <m/>
    <m/>
    <n v="0"/>
    <m/>
    <m/>
    <n v="0"/>
    <m/>
    <m/>
    <n v="0"/>
    <m/>
    <m/>
    <n v="0"/>
    <m/>
    <m/>
    <n v="0"/>
    <m/>
    <m/>
    <n v="0"/>
    <m/>
    <m/>
    <n v="0"/>
    <m/>
    <m/>
    <n v="0"/>
    <m/>
    <m/>
    <n v="0"/>
    <m/>
    <m/>
    <n v="0"/>
    <m/>
    <m/>
    <n v="0"/>
    <m/>
    <m/>
    <n v="0"/>
    <m/>
    <m/>
    <n v="0"/>
    <n v="72"/>
    <n v="52964"/>
    <n v="3120130.4256000002"/>
    <n v="70"/>
    <n v="51329"/>
    <n v="2939817.1460000002"/>
  </r>
  <r>
    <x v="4"/>
    <s v="Georgia Northwestern Technical College"/>
    <m/>
    <n v="139384"/>
    <x v="9"/>
    <m/>
    <m/>
    <n v="0"/>
    <m/>
    <m/>
    <n v="0"/>
    <m/>
    <m/>
    <n v="0"/>
    <m/>
    <m/>
    <n v="0"/>
    <m/>
    <m/>
    <n v="0"/>
    <m/>
    <m/>
    <n v="0"/>
    <m/>
    <m/>
    <n v="0"/>
    <m/>
    <m/>
    <n v="0"/>
    <m/>
    <m/>
    <n v="0"/>
    <m/>
    <m/>
    <n v="0"/>
    <n v="6"/>
    <n v="59692"/>
    <n v="358152"/>
    <n v="7"/>
    <n v="53136"/>
    <n v="371952"/>
    <m/>
    <m/>
    <n v="0"/>
    <m/>
    <m/>
    <n v="0"/>
    <m/>
    <m/>
    <n v="0"/>
    <m/>
    <m/>
    <n v="0"/>
    <m/>
    <m/>
    <n v="0"/>
    <m/>
    <m/>
    <n v="0"/>
    <m/>
    <m/>
    <n v="0"/>
    <m/>
    <m/>
    <n v="0"/>
    <m/>
    <m/>
    <n v="0"/>
    <m/>
    <m/>
    <n v="0"/>
    <n v="117"/>
    <n v="58519"/>
    <n v="5601988.7586000003"/>
    <n v="118"/>
    <n v="56039"/>
    <n v="5410430.9564000005"/>
  </r>
  <r>
    <x v="4"/>
    <s v="Georgia Piedmont Technical College"/>
    <s v="Formerly DeKalb Technical College."/>
    <n v="244446"/>
    <x v="9"/>
    <m/>
    <m/>
    <n v="0"/>
    <m/>
    <m/>
    <n v="0"/>
    <m/>
    <m/>
    <n v="0"/>
    <m/>
    <m/>
    <n v="0"/>
    <m/>
    <m/>
    <n v="0"/>
    <m/>
    <m/>
    <n v="0"/>
    <m/>
    <m/>
    <n v="0"/>
    <m/>
    <m/>
    <n v="0"/>
    <m/>
    <m/>
    <n v="0"/>
    <m/>
    <m/>
    <n v="0"/>
    <m/>
    <m/>
    <n v="0"/>
    <m/>
    <m/>
    <n v="0"/>
    <m/>
    <m/>
    <n v="0"/>
    <m/>
    <m/>
    <n v="0"/>
    <m/>
    <m/>
    <n v="0"/>
    <m/>
    <m/>
    <n v="0"/>
    <m/>
    <m/>
    <n v="0"/>
    <m/>
    <m/>
    <n v="0"/>
    <m/>
    <m/>
    <n v="0"/>
    <m/>
    <m/>
    <n v="0"/>
    <m/>
    <m/>
    <n v="0"/>
    <m/>
    <m/>
    <n v="0"/>
    <n v="82"/>
    <n v="61144"/>
    <n v="4102297.7056"/>
    <n v="84"/>
    <n v="59177"/>
    <n v="4067164.1976000001"/>
  </r>
  <r>
    <x v="4"/>
    <s v="Gwinnett Technical College"/>
    <m/>
    <n v="140012"/>
    <x v="9"/>
    <m/>
    <m/>
    <n v="0"/>
    <m/>
    <m/>
    <n v="0"/>
    <m/>
    <m/>
    <n v="0"/>
    <m/>
    <m/>
    <n v="0"/>
    <m/>
    <m/>
    <n v="0"/>
    <m/>
    <m/>
    <n v="0"/>
    <m/>
    <m/>
    <n v="0"/>
    <m/>
    <m/>
    <n v="0"/>
    <m/>
    <m/>
    <n v="0"/>
    <m/>
    <m/>
    <n v="0"/>
    <m/>
    <m/>
    <n v="0"/>
    <m/>
    <m/>
    <n v="0"/>
    <m/>
    <m/>
    <n v="0"/>
    <m/>
    <m/>
    <n v="0"/>
    <m/>
    <m/>
    <n v="0"/>
    <m/>
    <m/>
    <n v="0"/>
    <m/>
    <m/>
    <n v="0"/>
    <m/>
    <m/>
    <n v="0"/>
    <m/>
    <m/>
    <n v="0"/>
    <m/>
    <m/>
    <n v="0"/>
    <m/>
    <m/>
    <n v="0"/>
    <m/>
    <m/>
    <n v="0"/>
    <n v="91"/>
    <n v="67471"/>
    <n v="5023634.2702000001"/>
    <n v="88"/>
    <n v="65222"/>
    <n v="4696088.3552000001"/>
  </r>
  <r>
    <x v="4"/>
    <s v="Lanier Technical College"/>
    <m/>
    <n v="140243"/>
    <x v="9"/>
    <m/>
    <m/>
    <n v="0"/>
    <m/>
    <m/>
    <n v="0"/>
    <m/>
    <m/>
    <n v="0"/>
    <m/>
    <m/>
    <n v="0"/>
    <m/>
    <m/>
    <n v="0"/>
    <m/>
    <m/>
    <n v="0"/>
    <m/>
    <m/>
    <n v="0"/>
    <m/>
    <m/>
    <n v="0"/>
    <m/>
    <m/>
    <n v="0"/>
    <m/>
    <m/>
    <n v="0"/>
    <n v="1"/>
    <n v="43074"/>
    <n v="43074"/>
    <n v="10"/>
    <n v="40929"/>
    <n v="409290"/>
    <m/>
    <m/>
    <n v="0"/>
    <m/>
    <m/>
    <n v="0"/>
    <m/>
    <m/>
    <n v="0"/>
    <m/>
    <m/>
    <n v="0"/>
    <m/>
    <m/>
    <n v="0"/>
    <m/>
    <m/>
    <n v="0"/>
    <m/>
    <m/>
    <n v="0"/>
    <m/>
    <m/>
    <n v="0"/>
    <m/>
    <m/>
    <n v="0"/>
    <m/>
    <m/>
    <n v="0"/>
    <n v="78"/>
    <n v="55886"/>
    <n v="3566622.1655999999"/>
    <n v="78"/>
    <n v="54507"/>
    <n v="3478614.9372"/>
  </r>
  <r>
    <x v="4"/>
    <s v="Middle Georgia Technical College"/>
    <m/>
    <n v="140085"/>
    <x v="9"/>
    <m/>
    <m/>
    <n v="0"/>
    <m/>
    <m/>
    <n v="0"/>
    <m/>
    <m/>
    <n v="0"/>
    <m/>
    <m/>
    <n v="0"/>
    <m/>
    <m/>
    <n v="0"/>
    <m/>
    <m/>
    <n v="0"/>
    <m/>
    <m/>
    <n v="0"/>
    <m/>
    <m/>
    <n v="0"/>
    <m/>
    <m/>
    <n v="0"/>
    <m/>
    <m/>
    <n v="0"/>
    <m/>
    <m/>
    <n v="0"/>
    <m/>
    <m/>
    <n v="0"/>
    <m/>
    <m/>
    <n v="0"/>
    <m/>
    <m/>
    <n v="0"/>
    <m/>
    <m/>
    <n v="0"/>
    <m/>
    <m/>
    <n v="0"/>
    <m/>
    <m/>
    <n v="0"/>
    <m/>
    <m/>
    <n v="0"/>
    <m/>
    <m/>
    <n v="0"/>
    <m/>
    <m/>
    <n v="0"/>
    <m/>
    <m/>
    <n v="0"/>
    <m/>
    <m/>
    <n v="0"/>
    <n v="100"/>
    <n v="50130"/>
    <n v="4101636.6"/>
    <n v="93"/>
    <n v="49044"/>
    <n v="3731885.4744000002"/>
  </r>
  <r>
    <x v="4"/>
    <s v="Moultrie Technical College"/>
    <m/>
    <n v="140599"/>
    <x v="9"/>
    <m/>
    <m/>
    <n v="0"/>
    <m/>
    <m/>
    <n v="0"/>
    <m/>
    <m/>
    <n v="0"/>
    <m/>
    <m/>
    <n v="0"/>
    <m/>
    <m/>
    <n v="0"/>
    <m/>
    <m/>
    <n v="0"/>
    <m/>
    <m/>
    <n v="0"/>
    <m/>
    <m/>
    <n v="0"/>
    <m/>
    <m/>
    <n v="0"/>
    <m/>
    <m/>
    <n v="0"/>
    <m/>
    <m/>
    <n v="0"/>
    <n v="1"/>
    <n v="50004"/>
    <n v="50004"/>
    <m/>
    <m/>
    <n v="0"/>
    <m/>
    <m/>
    <n v="0"/>
    <m/>
    <m/>
    <n v="0"/>
    <m/>
    <m/>
    <n v="0"/>
    <m/>
    <m/>
    <n v="0"/>
    <m/>
    <m/>
    <n v="0"/>
    <m/>
    <m/>
    <n v="0"/>
    <m/>
    <m/>
    <n v="0"/>
    <m/>
    <m/>
    <n v="0"/>
    <m/>
    <m/>
    <n v="0"/>
    <n v="60"/>
    <n v="51726"/>
    <n v="2539332.7919999999"/>
    <n v="60"/>
    <n v="50978"/>
    <n v="2502611.9760000003"/>
  </r>
  <r>
    <x v="4"/>
    <s v="North Georgia Technical College"/>
    <m/>
    <n v="140678"/>
    <x v="9"/>
    <m/>
    <m/>
    <n v="0"/>
    <m/>
    <m/>
    <n v="0"/>
    <m/>
    <m/>
    <n v="0"/>
    <m/>
    <m/>
    <n v="0"/>
    <m/>
    <m/>
    <n v="0"/>
    <m/>
    <m/>
    <n v="0"/>
    <m/>
    <m/>
    <n v="0"/>
    <m/>
    <m/>
    <n v="0"/>
    <m/>
    <m/>
    <n v="0"/>
    <m/>
    <m/>
    <n v="0"/>
    <m/>
    <m/>
    <n v="0"/>
    <m/>
    <m/>
    <n v="0"/>
    <m/>
    <m/>
    <n v="0"/>
    <m/>
    <m/>
    <n v="0"/>
    <m/>
    <m/>
    <n v="0"/>
    <m/>
    <m/>
    <n v="0"/>
    <m/>
    <m/>
    <n v="0"/>
    <m/>
    <m/>
    <n v="0"/>
    <m/>
    <m/>
    <n v="0"/>
    <m/>
    <m/>
    <n v="0"/>
    <m/>
    <m/>
    <n v="0"/>
    <m/>
    <m/>
    <n v="0"/>
    <n v="71"/>
    <n v="48000"/>
    <n v="2788425.6"/>
    <n v="71"/>
    <n v="48670"/>
    <n v="2827347.3740000003"/>
  </r>
  <r>
    <x v="4"/>
    <s v="Ogeechee Technical College"/>
    <m/>
    <n v="366465"/>
    <x v="9"/>
    <m/>
    <m/>
    <n v="0"/>
    <m/>
    <m/>
    <n v="0"/>
    <m/>
    <m/>
    <n v="0"/>
    <m/>
    <m/>
    <n v="0"/>
    <m/>
    <m/>
    <n v="0"/>
    <m/>
    <m/>
    <n v="0"/>
    <m/>
    <m/>
    <n v="0"/>
    <m/>
    <m/>
    <n v="0"/>
    <m/>
    <m/>
    <n v="0"/>
    <m/>
    <m/>
    <n v="0"/>
    <m/>
    <m/>
    <n v="0"/>
    <m/>
    <m/>
    <n v="0"/>
    <m/>
    <m/>
    <n v="0"/>
    <m/>
    <m/>
    <n v="0"/>
    <m/>
    <m/>
    <n v="0"/>
    <m/>
    <m/>
    <n v="0"/>
    <m/>
    <m/>
    <n v="0"/>
    <m/>
    <m/>
    <n v="0"/>
    <m/>
    <m/>
    <n v="0"/>
    <m/>
    <m/>
    <n v="0"/>
    <m/>
    <m/>
    <n v="0"/>
    <m/>
    <m/>
    <n v="0"/>
    <n v="71"/>
    <n v="50957"/>
    <n v="2960204.2354000001"/>
    <n v="68"/>
    <n v="50913"/>
    <n v="2832677.1288000001"/>
  </r>
  <r>
    <x v="4"/>
    <s v="Okefenokee Technical College"/>
    <m/>
    <n v="248776"/>
    <x v="9"/>
    <m/>
    <m/>
    <n v="0"/>
    <m/>
    <m/>
    <n v="0"/>
    <m/>
    <m/>
    <n v="0"/>
    <m/>
    <m/>
    <n v="0"/>
    <m/>
    <m/>
    <n v="0"/>
    <m/>
    <m/>
    <n v="0"/>
    <m/>
    <m/>
    <n v="0"/>
    <m/>
    <m/>
    <n v="0"/>
    <m/>
    <m/>
    <n v="0"/>
    <m/>
    <m/>
    <n v="0"/>
    <n v="2"/>
    <n v="36726"/>
    <n v="73452"/>
    <n v="1"/>
    <n v="37704"/>
    <n v="37704"/>
    <m/>
    <m/>
    <n v="0"/>
    <m/>
    <m/>
    <n v="0"/>
    <m/>
    <m/>
    <n v="0"/>
    <m/>
    <m/>
    <n v="0"/>
    <m/>
    <m/>
    <n v="0"/>
    <m/>
    <m/>
    <n v="0"/>
    <m/>
    <m/>
    <n v="0"/>
    <m/>
    <m/>
    <n v="0"/>
    <m/>
    <m/>
    <n v="0"/>
    <m/>
    <m/>
    <n v="0"/>
    <n v="50"/>
    <n v="47731"/>
    <n v="1952675.2100000002"/>
    <n v="44"/>
    <n v="48528"/>
    <n v="1747046.8224000002"/>
  </r>
  <r>
    <x v="4"/>
    <s v="Savannah Technical College"/>
    <m/>
    <n v="140942"/>
    <x v="9"/>
    <m/>
    <m/>
    <n v="0"/>
    <m/>
    <m/>
    <n v="0"/>
    <m/>
    <m/>
    <n v="0"/>
    <m/>
    <m/>
    <n v="0"/>
    <m/>
    <m/>
    <n v="0"/>
    <m/>
    <m/>
    <n v="0"/>
    <m/>
    <m/>
    <n v="0"/>
    <m/>
    <m/>
    <n v="0"/>
    <m/>
    <m/>
    <n v="0"/>
    <m/>
    <m/>
    <n v="0"/>
    <n v="2"/>
    <n v="54546"/>
    <n v="109092"/>
    <n v="1"/>
    <n v="52776"/>
    <n v="52776"/>
    <m/>
    <m/>
    <n v="0"/>
    <m/>
    <m/>
    <n v="0"/>
    <m/>
    <m/>
    <n v="0"/>
    <m/>
    <m/>
    <n v="0"/>
    <m/>
    <m/>
    <n v="0"/>
    <m/>
    <m/>
    <n v="0"/>
    <m/>
    <m/>
    <n v="0"/>
    <m/>
    <m/>
    <n v="0"/>
    <m/>
    <m/>
    <n v="0"/>
    <m/>
    <m/>
    <n v="0"/>
    <n v="90"/>
    <n v="53925"/>
    <n v="3970929.1500000004"/>
    <n v="89"/>
    <n v="53801"/>
    <n v="3917778.0598000004"/>
  </r>
  <r>
    <x v="4"/>
    <s v="South Georgia Technical College"/>
    <m/>
    <n v="141006"/>
    <x v="9"/>
    <m/>
    <m/>
    <n v="0"/>
    <m/>
    <m/>
    <n v="0"/>
    <m/>
    <m/>
    <n v="0"/>
    <m/>
    <m/>
    <n v="0"/>
    <m/>
    <m/>
    <n v="0"/>
    <m/>
    <m/>
    <n v="0"/>
    <m/>
    <m/>
    <n v="0"/>
    <m/>
    <m/>
    <n v="0"/>
    <m/>
    <m/>
    <n v="0"/>
    <m/>
    <m/>
    <n v="0"/>
    <m/>
    <m/>
    <n v="0"/>
    <m/>
    <m/>
    <n v="0"/>
    <m/>
    <m/>
    <n v="0"/>
    <m/>
    <m/>
    <n v="0"/>
    <m/>
    <m/>
    <n v="0"/>
    <m/>
    <m/>
    <n v="0"/>
    <m/>
    <m/>
    <n v="0"/>
    <m/>
    <m/>
    <n v="0"/>
    <m/>
    <m/>
    <n v="0"/>
    <m/>
    <m/>
    <n v="0"/>
    <m/>
    <m/>
    <n v="0"/>
    <m/>
    <m/>
    <n v="0"/>
    <n v="64"/>
    <n v="51710"/>
    <n v="2707783.8080000002"/>
    <n v="63"/>
    <n v="53165"/>
    <n v="2740474.9890000001"/>
  </r>
  <r>
    <x v="4"/>
    <s v="Southeastern Technical College"/>
    <m/>
    <n v="368911"/>
    <x v="9"/>
    <m/>
    <m/>
    <n v="0"/>
    <m/>
    <m/>
    <n v="0"/>
    <m/>
    <m/>
    <n v="0"/>
    <m/>
    <m/>
    <n v="0"/>
    <m/>
    <m/>
    <n v="0"/>
    <m/>
    <m/>
    <n v="0"/>
    <m/>
    <m/>
    <n v="0"/>
    <m/>
    <m/>
    <n v="0"/>
    <m/>
    <m/>
    <n v="0"/>
    <m/>
    <m/>
    <n v="0"/>
    <m/>
    <m/>
    <n v="0"/>
    <m/>
    <m/>
    <n v="0"/>
    <m/>
    <m/>
    <n v="0"/>
    <m/>
    <m/>
    <n v="0"/>
    <m/>
    <m/>
    <n v="0"/>
    <m/>
    <m/>
    <n v="0"/>
    <m/>
    <m/>
    <n v="0"/>
    <m/>
    <m/>
    <n v="0"/>
    <m/>
    <m/>
    <n v="0"/>
    <m/>
    <m/>
    <n v="0"/>
    <m/>
    <m/>
    <n v="0"/>
    <m/>
    <m/>
    <n v="0"/>
    <n v="70"/>
    <n v="51867"/>
    <n v="2970630.5580000002"/>
    <n v="70"/>
    <n v="51306"/>
    <n v="2938499.844"/>
  </r>
  <r>
    <x v="4"/>
    <s v="Southern Crescent Technical College"/>
    <m/>
    <n v="139986"/>
    <x v="9"/>
    <m/>
    <m/>
    <n v="0"/>
    <m/>
    <m/>
    <n v="0"/>
    <m/>
    <m/>
    <n v="0"/>
    <m/>
    <m/>
    <n v="0"/>
    <m/>
    <m/>
    <n v="0"/>
    <m/>
    <m/>
    <n v="0"/>
    <m/>
    <m/>
    <n v="0"/>
    <m/>
    <m/>
    <n v="0"/>
    <m/>
    <m/>
    <n v="0"/>
    <m/>
    <m/>
    <n v="0"/>
    <m/>
    <m/>
    <n v="0"/>
    <m/>
    <m/>
    <n v="0"/>
    <m/>
    <m/>
    <n v="0"/>
    <m/>
    <m/>
    <n v="0"/>
    <m/>
    <m/>
    <n v="0"/>
    <m/>
    <m/>
    <n v="0"/>
    <m/>
    <m/>
    <n v="0"/>
    <m/>
    <m/>
    <n v="0"/>
    <m/>
    <m/>
    <n v="0"/>
    <m/>
    <m/>
    <n v="0"/>
    <m/>
    <m/>
    <n v="0"/>
    <m/>
    <m/>
    <n v="0"/>
    <n v="110"/>
    <n v="53461"/>
    <n v="4811596.9220000003"/>
    <n v="107"/>
    <n v="53840"/>
    <n v="4713552.0159999998"/>
  </r>
  <r>
    <x v="4"/>
    <s v="Southwest Georgia Technical College"/>
    <m/>
    <n v="141158"/>
    <x v="9"/>
    <m/>
    <m/>
    <n v="0"/>
    <m/>
    <m/>
    <n v="0"/>
    <m/>
    <m/>
    <n v="0"/>
    <m/>
    <m/>
    <n v="0"/>
    <m/>
    <m/>
    <n v="0"/>
    <m/>
    <m/>
    <n v="0"/>
    <m/>
    <m/>
    <n v="0"/>
    <m/>
    <m/>
    <n v="0"/>
    <m/>
    <m/>
    <n v="0"/>
    <m/>
    <m/>
    <n v="0"/>
    <n v="1"/>
    <n v="42744"/>
    <n v="42744"/>
    <n v="1"/>
    <n v="42744"/>
    <n v="42744"/>
    <m/>
    <m/>
    <n v="0"/>
    <m/>
    <m/>
    <n v="0"/>
    <m/>
    <m/>
    <n v="0"/>
    <m/>
    <m/>
    <n v="0"/>
    <m/>
    <m/>
    <n v="0"/>
    <m/>
    <m/>
    <n v="0"/>
    <m/>
    <m/>
    <n v="0"/>
    <m/>
    <m/>
    <n v="0"/>
    <m/>
    <m/>
    <n v="0"/>
    <m/>
    <m/>
    <n v="0"/>
    <n v="47"/>
    <n v="55004"/>
    <n v="2115200.8215999999"/>
    <n v="54"/>
    <n v="56018"/>
    <n v="2475032.0904000001"/>
  </r>
  <r>
    <x v="4"/>
    <s v="West Georgia Technical College"/>
    <m/>
    <n v="139278"/>
    <x v="9"/>
    <m/>
    <m/>
    <n v="0"/>
    <m/>
    <m/>
    <n v="0"/>
    <m/>
    <m/>
    <n v="0"/>
    <m/>
    <m/>
    <n v="0"/>
    <m/>
    <m/>
    <n v="0"/>
    <m/>
    <m/>
    <n v="0"/>
    <m/>
    <m/>
    <n v="0"/>
    <m/>
    <m/>
    <n v="0"/>
    <m/>
    <m/>
    <n v="0"/>
    <m/>
    <m/>
    <n v="0"/>
    <n v="1"/>
    <n v="48858"/>
    <n v="48858"/>
    <m/>
    <m/>
    <n v="0"/>
    <m/>
    <m/>
    <n v="0"/>
    <m/>
    <m/>
    <n v="0"/>
    <m/>
    <m/>
    <n v="0"/>
    <m/>
    <m/>
    <n v="0"/>
    <m/>
    <m/>
    <n v="0"/>
    <m/>
    <m/>
    <n v="0"/>
    <m/>
    <m/>
    <n v="0"/>
    <m/>
    <m/>
    <n v="0"/>
    <m/>
    <m/>
    <n v="0"/>
    <m/>
    <m/>
    <n v="0"/>
    <n v="145"/>
    <n v="49747"/>
    <n v="5901934.3330000006"/>
    <n v="135"/>
    <n v="49419"/>
    <n v="5458674.483"/>
  </r>
  <r>
    <x v="4"/>
    <s v="Wiregrass Georgia Technical College"/>
    <m/>
    <n v="141255"/>
    <x v="9"/>
    <m/>
    <m/>
    <n v="0"/>
    <m/>
    <m/>
    <n v="0"/>
    <m/>
    <m/>
    <n v="0"/>
    <m/>
    <m/>
    <n v="0"/>
    <m/>
    <m/>
    <n v="0"/>
    <m/>
    <m/>
    <n v="0"/>
    <m/>
    <m/>
    <n v="0"/>
    <m/>
    <m/>
    <n v="0"/>
    <m/>
    <m/>
    <n v="0"/>
    <m/>
    <m/>
    <n v="0"/>
    <m/>
    <m/>
    <n v="0"/>
    <m/>
    <m/>
    <n v="0"/>
    <m/>
    <m/>
    <n v="0"/>
    <m/>
    <m/>
    <n v="0"/>
    <m/>
    <m/>
    <n v="0"/>
    <m/>
    <m/>
    <n v="0"/>
    <m/>
    <m/>
    <n v="0"/>
    <m/>
    <m/>
    <n v="0"/>
    <m/>
    <m/>
    <n v="0"/>
    <m/>
    <m/>
    <n v="0"/>
    <m/>
    <m/>
    <n v="0"/>
    <m/>
    <m/>
    <n v="0"/>
    <n v="121"/>
    <n v="47846"/>
    <n v="4736859.2612000005"/>
    <n v="129"/>
    <n v="48475"/>
    <n v="5116429.6050000004"/>
  </r>
  <r>
    <x v="4"/>
    <s v="Oconee Fall Line Technical College"/>
    <s v="Is the merger of Heart of Georgia Tech and Sandersville Tech"/>
    <n v="420431"/>
    <x v="9"/>
    <m/>
    <m/>
    <n v="0"/>
    <m/>
    <m/>
    <n v="0"/>
    <m/>
    <m/>
    <n v="0"/>
    <m/>
    <m/>
    <n v="0"/>
    <m/>
    <m/>
    <n v="0"/>
    <m/>
    <m/>
    <n v="0"/>
    <m/>
    <m/>
    <n v="0"/>
    <m/>
    <m/>
    <n v="0"/>
    <m/>
    <m/>
    <n v="0"/>
    <m/>
    <m/>
    <n v="0"/>
    <m/>
    <m/>
    <n v="0"/>
    <m/>
    <m/>
    <n v="0"/>
    <m/>
    <m/>
    <n v="0"/>
    <m/>
    <m/>
    <n v="0"/>
    <m/>
    <m/>
    <n v="0"/>
    <m/>
    <m/>
    <n v="0"/>
    <m/>
    <m/>
    <n v="0"/>
    <m/>
    <m/>
    <n v="0"/>
    <m/>
    <m/>
    <n v="0"/>
    <m/>
    <m/>
    <n v="0"/>
    <m/>
    <m/>
    <n v="0"/>
    <m/>
    <m/>
    <n v="0"/>
    <n v="75"/>
    <n v="50568.506666666697"/>
    <n v="3103136.4116000021"/>
    <n v="75"/>
    <n v="48911"/>
    <n v="3001423.5150000001"/>
  </r>
  <r>
    <x v="5"/>
    <s v="University of Kentucky"/>
    <m/>
    <n v="157085"/>
    <x v="0"/>
    <n v="305"/>
    <n v="104972.04590163934"/>
    <n v="32016474"/>
    <n v="320"/>
    <n v="110087.528125"/>
    <n v="35228009"/>
    <n v="278"/>
    <n v="75337.169064748203"/>
    <n v="20943733"/>
    <n v="277"/>
    <n v="78792.866425992775"/>
    <n v="21825624"/>
    <n v="220"/>
    <n v="69328.763636363641"/>
    <n v="15252328.000000002"/>
    <n v="232"/>
    <n v="71667.909482758623"/>
    <n v="16626955"/>
    <n v="1"/>
    <n v="50000"/>
    <n v="50000"/>
    <n v="1"/>
    <n v="57801"/>
    <n v="57801"/>
    <n v="134"/>
    <n v="48963.089552238809"/>
    <n v="6561054"/>
    <n v="146"/>
    <n v="48906.273972602743"/>
    <n v="7140316.0000000009"/>
    <m/>
    <m/>
    <n v="0"/>
    <m/>
    <m/>
    <n v="0"/>
    <n v="143"/>
    <n v="127679.03496503497"/>
    <n v="14938779.056400001"/>
    <n v="145"/>
    <n v="134234.75172413792"/>
    <n v="15925476.709800001"/>
    <n v="117"/>
    <n v="94876.239316239313"/>
    <n v="9082445.4639999997"/>
    <n v="115"/>
    <n v="98016.434782608689"/>
    <n v="9222660.398"/>
    <n v="102"/>
    <n v="81892.303921568629"/>
    <n v="6834436.8730000006"/>
    <n v="97"/>
    <n v="84078.443298969069"/>
    <n v="6672919.2838000003"/>
    <m/>
    <m/>
    <n v="0"/>
    <m/>
    <m/>
    <n v="0"/>
    <n v="13"/>
    <n v="63319.307692307695"/>
    <n v="673502.14820000005"/>
    <n v="11"/>
    <n v="58554.727272727272"/>
    <n v="527004.25640000007"/>
    <m/>
    <m/>
    <n v="0"/>
    <m/>
    <m/>
    <n v="0"/>
  </r>
  <r>
    <x v="5"/>
    <s v="University of Louisville"/>
    <m/>
    <n v="157289"/>
    <x v="0"/>
    <n v="184"/>
    <n v="105476.35326086957"/>
    <n v="19407649"/>
    <n v="185"/>
    <n v="103718.17837837838"/>
    <n v="19187863"/>
    <n v="167"/>
    <n v="74148.604790419166"/>
    <n v="12382817"/>
    <n v="156"/>
    <n v="74853.166666666672"/>
    <n v="11677094"/>
    <n v="163"/>
    <n v="59712.63190184049"/>
    <n v="9733159"/>
    <n v="173"/>
    <n v="61594.497109826589"/>
    <n v="10655848"/>
    <n v="62"/>
    <n v="47852"/>
    <n v="2966824"/>
    <n v="63"/>
    <n v="49871.968253968254"/>
    <n v="3141934"/>
    <m/>
    <m/>
    <n v="0"/>
    <n v="2"/>
    <n v="29345.5"/>
    <n v="58691"/>
    <m/>
    <m/>
    <n v="0"/>
    <m/>
    <m/>
    <n v="0"/>
    <n v="126"/>
    <n v="127420.76190476191"/>
    <n v="13136214.091200002"/>
    <n v="124"/>
    <n v="121871.91129032258"/>
    <n v="12364734.1294"/>
    <n v="56"/>
    <n v="100151.01785714286"/>
    <n v="4588839.5174000002"/>
    <n v="61"/>
    <n v="98495.393442622953"/>
    <n v="4915924.7858000007"/>
    <n v="100"/>
    <n v="75760.58"/>
    <n v="6198730.6556000002"/>
    <n v="93"/>
    <n v="74342.483870967742"/>
    <n v="5656912.8881999999"/>
    <n v="31"/>
    <n v="69578.967741935485"/>
    <n v="1764814.8536"/>
    <n v="38"/>
    <n v="65668.31578947368"/>
    <n v="2041733.0072000001"/>
    <n v="5"/>
    <n v="40622"/>
    <n v="166184.60200000001"/>
    <n v="22"/>
    <n v="19955.272727272728"/>
    <n v="359202.89120000001"/>
    <m/>
    <m/>
    <n v="0"/>
    <m/>
    <m/>
    <n v="0"/>
  </r>
  <r>
    <x v="5"/>
    <s v="Eastern Kentucky University "/>
    <m/>
    <n v="156620"/>
    <x v="2"/>
    <n v="92"/>
    <n v="81265.586956521744"/>
    <n v="7476434"/>
    <n v="98"/>
    <n v="80341.683673469393"/>
    <n v="7873485.0000000009"/>
    <n v="123"/>
    <n v="64641.398373983742"/>
    <n v="7950892"/>
    <n v="145"/>
    <n v="65367.786206896555"/>
    <n v="9478329"/>
    <n v="166"/>
    <n v="56297.283132530123"/>
    <n v="9345349"/>
    <n v="249"/>
    <n v="55137.445783132527"/>
    <n v="13729224"/>
    <n v="54"/>
    <n v="50017.333333333336"/>
    <n v="2700936"/>
    <n v="65"/>
    <n v="50710.046153846153"/>
    <n v="3296153"/>
    <n v="161"/>
    <n v="49839.09316770186"/>
    <n v="8024093.9999999991"/>
    <n v="55"/>
    <n v="46196.36363636364"/>
    <n v="2540800"/>
    <m/>
    <m/>
    <n v="0"/>
    <m/>
    <m/>
    <n v="0"/>
    <n v="22"/>
    <n v="97254.090909090912"/>
    <n v="1750612.5380000002"/>
    <n v="24"/>
    <n v="100919.66666666667"/>
    <n v="1981739.3104000001"/>
    <n v="8"/>
    <n v="91689.25"/>
    <n v="600161.15480000002"/>
    <n v="10"/>
    <n v="89893.3"/>
    <n v="735506.98060000001"/>
    <n v="5"/>
    <n v="69447.8"/>
    <n v="284110.9498"/>
    <n v="7"/>
    <n v="69891.428571428565"/>
    <n v="400296.16799999995"/>
    <m/>
    <m/>
    <n v="0"/>
    <n v="1"/>
    <n v="45900"/>
    <n v="37555.380000000005"/>
    <n v="11"/>
    <n v="72962.363636363632"/>
    <n v="656675.8652"/>
    <n v="3"/>
    <n v="51877.666666666664"/>
    <n v="127338.92060000001"/>
    <m/>
    <m/>
    <n v="0"/>
    <m/>
    <m/>
    <n v="0"/>
  </r>
  <r>
    <x v="5"/>
    <s v="Morehead State University "/>
    <m/>
    <n v="157386"/>
    <x v="2"/>
    <n v="49"/>
    <n v="71726.244897959186"/>
    <n v="3514586"/>
    <n v="47"/>
    <n v="72858.127659574471"/>
    <n v="3424332"/>
    <n v="131"/>
    <n v="60169.877862595422"/>
    <n v="7882254"/>
    <n v="148"/>
    <n v="60772.141891891893"/>
    <n v="8994277"/>
    <n v="94"/>
    <n v="50644.553191489358"/>
    <n v="4760588"/>
    <n v="81"/>
    <n v="51576.222222222219"/>
    <n v="4177673.9999999995"/>
    <n v="70"/>
    <n v="37471.728571428568"/>
    <n v="2623021"/>
    <n v="76"/>
    <n v="38126.118421052633"/>
    <n v="2897585"/>
    <m/>
    <m/>
    <n v="0"/>
    <m/>
    <m/>
    <n v="0"/>
    <m/>
    <m/>
    <n v="0"/>
    <m/>
    <m/>
    <n v="0"/>
    <n v="15"/>
    <n v="76942.53333333334"/>
    <n v="944315.71160000004"/>
    <n v="14"/>
    <n v="83480.928571428565"/>
    <n v="956257.3406"/>
    <n v="10"/>
    <n v="60756.800000000003"/>
    <n v="497112.13760000002"/>
    <n v="8"/>
    <n v="68321.375"/>
    <n v="447204.3922"/>
    <n v="3"/>
    <n v="58820"/>
    <n v="144379.57200000001"/>
    <n v="4"/>
    <n v="63357.25"/>
    <n v="207355.6078"/>
    <n v="2"/>
    <n v="46422.5"/>
    <n v="75965.77900000001"/>
    <n v="3"/>
    <n v="53694"/>
    <n v="131797.29240000001"/>
    <m/>
    <m/>
    <n v="0"/>
    <m/>
    <m/>
    <n v="0"/>
    <m/>
    <m/>
    <n v="0"/>
    <m/>
    <m/>
    <n v="0"/>
  </r>
  <r>
    <x v="5"/>
    <s v="Murray State University "/>
    <m/>
    <n v="157401"/>
    <x v="2"/>
    <n v="74"/>
    <n v="80807.66216216216"/>
    <n v="5979767"/>
    <n v="87"/>
    <n v="84398.551724137928"/>
    <n v="7342674"/>
    <n v="84"/>
    <n v="62175.166666666664"/>
    <n v="5222714"/>
    <n v="73"/>
    <n v="65204.479452054795"/>
    <n v="4759927"/>
    <n v="116"/>
    <n v="52939.922413793101"/>
    <n v="6141031"/>
    <n v="138"/>
    <n v="54649.434782608696"/>
    <n v="7541622"/>
    <m/>
    <m/>
    <n v="0"/>
    <n v="1"/>
    <n v="45000"/>
    <n v="45000"/>
    <n v="71"/>
    <n v="42710.915492957749"/>
    <n v="3032475"/>
    <n v="67"/>
    <n v="44646.59701492537"/>
    <n v="2991322"/>
    <m/>
    <m/>
    <n v="0"/>
    <m/>
    <m/>
    <n v="0"/>
    <n v="24"/>
    <n v="97647.791666666672"/>
    <n v="1917490.1554"/>
    <n v="26"/>
    <n v="101882.65384615384"/>
    <n v="2167370.0718"/>
    <n v="12"/>
    <n v="87106.666666666672"/>
    <n v="855248.09600000002"/>
    <n v="13"/>
    <n v="84149.692307692312"/>
    <n v="895066.6172000001"/>
    <n v="3"/>
    <n v="52438.666666666664"/>
    <n v="128715.95120000001"/>
    <n v="1"/>
    <n v="66346"/>
    <n v="54284.297200000001"/>
    <m/>
    <m/>
    <n v="0"/>
    <m/>
    <m/>
    <n v="0"/>
    <n v="17"/>
    <n v="53837.882352941175"/>
    <n v="748852.64080000005"/>
    <n v="15"/>
    <n v="56878.666666666664"/>
    <n v="698071.87600000005"/>
    <m/>
    <m/>
    <n v="0"/>
    <m/>
    <m/>
    <n v="0"/>
  </r>
  <r>
    <x v="5"/>
    <s v="Western Kentucky University "/>
    <m/>
    <n v="157951"/>
    <x v="2"/>
    <n v="136"/>
    <n v="83063.911764705888"/>
    <n v="11296692"/>
    <n v="133"/>
    <n v="83932"/>
    <n v="11162956"/>
    <n v="179"/>
    <n v="64983.217877094969"/>
    <n v="11631996"/>
    <n v="194"/>
    <n v="65179.577319587632"/>
    <n v="12644838"/>
    <n v="222"/>
    <n v="54425.24324324324"/>
    <n v="12082404"/>
    <n v="218"/>
    <n v="54207.798165137618"/>
    <n v="11817300"/>
    <n v="138"/>
    <n v="41596.521739130432"/>
    <n v="5740320"/>
    <n v="149"/>
    <n v="41295.05369127517"/>
    <n v="6152963"/>
    <n v="22"/>
    <n v="54727.090909090912"/>
    <n v="1203996"/>
    <n v="18"/>
    <n v="56447.333333333336"/>
    <n v="1016052"/>
    <m/>
    <m/>
    <n v="0"/>
    <m/>
    <m/>
    <n v="0"/>
    <n v="23"/>
    <n v="110956.69565217392"/>
    <n v="2088049.6728000001"/>
    <n v="26"/>
    <n v="111406.15384615384"/>
    <n v="2369965.392"/>
    <n v="15"/>
    <n v="92244"/>
    <n v="1132110.612"/>
    <n v="17"/>
    <n v="92084.470588235301"/>
    <n v="1280839.7352"/>
    <n v="4"/>
    <n v="65373"/>
    <n v="213952.75440000001"/>
    <n v="5"/>
    <n v="71932.800000000003"/>
    <n v="294277.08480000001"/>
    <n v="3"/>
    <n v="60264"/>
    <n v="147924.01440000001"/>
    <n v="3"/>
    <n v="61380"/>
    <n v="150663.348"/>
    <m/>
    <m/>
    <n v="0"/>
    <m/>
    <m/>
    <n v="0"/>
    <m/>
    <m/>
    <n v="0"/>
    <m/>
    <m/>
    <n v="0"/>
  </r>
  <r>
    <x v="5"/>
    <s v="Kentucky State University "/>
    <m/>
    <n v="157058"/>
    <x v="3"/>
    <n v="20"/>
    <n v="74116.95"/>
    <n v="1482339"/>
    <n v="20"/>
    <n v="73325.3"/>
    <n v="1466506"/>
    <n v="37"/>
    <n v="58302.945945945947"/>
    <n v="2157209"/>
    <n v="41"/>
    <n v="59087.390243902439"/>
    <n v="2422583"/>
    <n v="46"/>
    <n v="47373.17391304348"/>
    <n v="2179166"/>
    <n v="47"/>
    <n v="47338.531914893618"/>
    <n v="2224911"/>
    <n v="15"/>
    <n v="41248.26666666667"/>
    <n v="618724"/>
    <n v="14"/>
    <n v="39184.571428571428"/>
    <n v="548584"/>
    <m/>
    <m/>
    <n v="0"/>
    <m/>
    <m/>
    <n v="0"/>
    <m/>
    <m/>
    <n v="0"/>
    <m/>
    <m/>
    <n v="0"/>
    <n v="2"/>
    <n v="84626"/>
    <n v="138481.98639999999"/>
    <n v="3"/>
    <n v="79714.666666666672"/>
    <n v="195667.6208"/>
    <n v="7"/>
    <n v="81206.571428571435"/>
    <n v="465102.5172"/>
    <n v="5"/>
    <n v="78840.600000000006"/>
    <n v="322536.8946"/>
    <n v="2"/>
    <n v="61918.5"/>
    <n v="101323.43340000001"/>
    <n v="2"/>
    <n v="51855.5"/>
    <n v="84856.340200000006"/>
    <m/>
    <m/>
    <n v="0"/>
    <m/>
    <m/>
    <n v="0"/>
    <m/>
    <m/>
    <n v="0"/>
    <m/>
    <m/>
    <n v="0"/>
    <m/>
    <m/>
    <n v="0"/>
    <m/>
    <m/>
    <n v="0"/>
  </r>
  <r>
    <x v="5"/>
    <s v="Northern Kentucky University "/>
    <m/>
    <n v="157447"/>
    <x v="3"/>
    <n v="88"/>
    <n v="94214.579545454544"/>
    <n v="8290883"/>
    <n v="86"/>
    <n v="95844.895348837206"/>
    <n v="8242661"/>
    <n v="143"/>
    <n v="68944.38461538461"/>
    <n v="9859047"/>
    <n v="153"/>
    <n v="71943.23529411765"/>
    <n v="11007315"/>
    <n v="138"/>
    <n v="62692.760869565216"/>
    <n v="8651601"/>
    <n v="123"/>
    <n v="65654.341463414632"/>
    <n v="8075484"/>
    <n v="1"/>
    <n v="50351"/>
    <n v="50351"/>
    <n v="1"/>
    <n v="52106"/>
    <n v="52106"/>
    <n v="123"/>
    <n v="44318.861788617884"/>
    <n v="5451220"/>
    <n v="145"/>
    <n v="45473.76551724138"/>
    <n v="6593696"/>
    <m/>
    <m/>
    <n v="0"/>
    <m/>
    <m/>
    <n v="0"/>
    <n v="1"/>
    <n v="58072"/>
    <n v="47514.510399999999"/>
    <n v="2"/>
    <n v="114525.5"/>
    <n v="187409.5282"/>
    <n v="5"/>
    <n v="79396"/>
    <n v="324809.03600000002"/>
    <n v="6"/>
    <n v="83157.666666666672"/>
    <n v="408237.61720000004"/>
    <n v="4"/>
    <n v="77701.75"/>
    <n v="254302.2874"/>
    <n v="6"/>
    <n v="80060.333333333328"/>
    <n v="393032.18840000004"/>
    <n v="2"/>
    <n v="73333.5"/>
    <n v="120002.9394"/>
    <n v="2"/>
    <n v="76285"/>
    <n v="124832.774"/>
    <n v="20"/>
    <n v="55515.199999999997"/>
    <n v="908450.7328"/>
    <n v="18"/>
    <n v="55666.444444444445"/>
    <n v="819833.12719999999"/>
    <m/>
    <m/>
    <n v="0"/>
    <m/>
    <m/>
    <n v="0"/>
  </r>
  <r>
    <x v="5"/>
    <s v="Bluegrass Community and Technical College"/>
    <m/>
    <n v="157173"/>
    <x v="6"/>
    <n v="51"/>
    <n v="57851.803921568629"/>
    <n v="2950442"/>
    <n v="54"/>
    <n v="59651.759259259263"/>
    <n v="3221195"/>
    <n v="114"/>
    <n v="49869.938596491229"/>
    <n v="5685173"/>
    <n v="112"/>
    <n v="50452.125"/>
    <n v="5650638"/>
    <n v="34"/>
    <n v="41304.470588235294"/>
    <n v="1404352"/>
    <n v="28"/>
    <n v="42454.964285714283"/>
    <n v="1188739"/>
    <n v="17"/>
    <n v="38326.647058823532"/>
    <n v="651553"/>
    <n v="27"/>
    <n v="37672.962962962964"/>
    <n v="1017170"/>
    <m/>
    <m/>
    <n v="0"/>
    <m/>
    <m/>
    <n v="0"/>
    <m/>
    <m/>
    <n v="0"/>
    <m/>
    <m/>
    <n v="0"/>
    <n v="4"/>
    <n v="70085"/>
    <n v="229374.18800000002"/>
    <n v="4"/>
    <n v="72187.5"/>
    <n v="236255.25"/>
    <n v="2"/>
    <n v="60137.5"/>
    <n v="98409.005000000005"/>
    <n v="2"/>
    <n v="61941.5"/>
    <n v="101361.07060000001"/>
    <n v="6"/>
    <n v="50917"/>
    <n v="249961.73640000002"/>
    <n v="5"/>
    <n v="52306"/>
    <n v="213983.84600000002"/>
    <n v="4"/>
    <n v="40060"/>
    <n v="131108.36800000002"/>
    <n v="4"/>
    <n v="40952.75"/>
    <n v="134030.16020000001"/>
    <m/>
    <m/>
    <n v="0"/>
    <m/>
    <m/>
    <n v="0"/>
    <m/>
    <m/>
    <n v="0"/>
    <m/>
    <m/>
    <n v="0"/>
  </r>
  <r>
    <x v="5"/>
    <s v="Jefferson Community and Technical College "/>
    <m/>
    <n v="156921"/>
    <x v="6"/>
    <n v="80"/>
    <n v="58420.574999999997"/>
    <n v="4673646"/>
    <n v="81"/>
    <n v="60854.419753086418"/>
    <n v="4929208"/>
    <n v="88"/>
    <n v="48900.818181818184"/>
    <n v="4303272"/>
    <n v="89"/>
    <n v="49197.393258426964"/>
    <n v="4378568"/>
    <n v="25"/>
    <n v="45059.8"/>
    <n v="1126495"/>
    <n v="13"/>
    <n v="48077.615384615383"/>
    <n v="625009"/>
    <n v="33"/>
    <n v="40346.878787878784"/>
    <n v="1331447"/>
    <n v="44"/>
    <n v="41430.75"/>
    <n v="1822953"/>
    <m/>
    <m/>
    <n v="0"/>
    <m/>
    <m/>
    <n v="0"/>
    <m/>
    <m/>
    <n v="0"/>
    <m/>
    <m/>
    <n v="0"/>
    <n v="19"/>
    <n v="74120.263157894733"/>
    <n v="1152258.787"/>
    <n v="19"/>
    <n v="75360.947368421053"/>
    <n v="1171546.2156"/>
    <n v="14"/>
    <n v="56695.142857142855"/>
    <n v="649431.52240000002"/>
    <n v="17"/>
    <n v="61540.411764705881"/>
    <n v="855990.2034"/>
    <n v="9"/>
    <n v="53206.666666666664"/>
    <n v="391803.25200000004"/>
    <n v="10"/>
    <n v="54081.2"/>
    <n v="442492.37840000005"/>
    <n v="12"/>
    <n v="51134.416666666664"/>
    <n v="502058.15660000005"/>
    <n v="15"/>
    <n v="53071.26666666667"/>
    <n v="651343.65580000007"/>
    <m/>
    <m/>
    <n v="0"/>
    <m/>
    <m/>
    <n v="0"/>
    <m/>
    <m/>
    <n v="0"/>
    <m/>
    <m/>
    <n v="0"/>
  </r>
  <r>
    <x v="5"/>
    <s v="Ashland Community and Technical College"/>
    <m/>
    <n v="156231"/>
    <x v="7"/>
    <n v="25"/>
    <n v="60992.84"/>
    <n v="1524821"/>
    <n v="27"/>
    <n v="61698.370370370372"/>
    <n v="1665856"/>
    <n v="27"/>
    <n v="47279.740740740737"/>
    <n v="1276553"/>
    <n v="26"/>
    <n v="48635.846153846156"/>
    <n v="1264532"/>
    <n v="16"/>
    <n v="40425.375"/>
    <n v="646806"/>
    <n v="15"/>
    <n v="41447.199999999997"/>
    <n v="621708"/>
    <n v="14"/>
    <n v="39175.357142857145"/>
    <n v="548455"/>
    <n v="15"/>
    <n v="40686"/>
    <n v="610290"/>
    <m/>
    <m/>
    <n v="0"/>
    <m/>
    <m/>
    <n v="0"/>
    <m/>
    <m/>
    <n v="0"/>
    <m/>
    <m/>
    <n v="0"/>
    <n v="5"/>
    <n v="74616.399999999994"/>
    <n v="305255.6924"/>
    <n v="5"/>
    <n v="72904.800000000003"/>
    <n v="298253.5368"/>
    <n v="7"/>
    <n v="58126.857142857145"/>
    <n v="332915.76160000003"/>
    <n v="6"/>
    <n v="60952.166666666664"/>
    <n v="299226.37660000002"/>
    <n v="1"/>
    <n v="57465"/>
    <n v="47017.863000000005"/>
    <n v="1"/>
    <n v="59189"/>
    <n v="48428.4398"/>
    <m/>
    <m/>
    <n v="0"/>
    <m/>
    <m/>
    <n v="0"/>
    <m/>
    <m/>
    <n v="0"/>
    <m/>
    <m/>
    <n v="0"/>
    <m/>
    <m/>
    <n v="0"/>
    <m/>
    <m/>
    <n v="0"/>
  </r>
  <r>
    <x v="5"/>
    <s v="Big Sandy Community and Technical College "/>
    <m/>
    <n v="157553"/>
    <x v="7"/>
    <n v="30"/>
    <n v="55621.5"/>
    <n v="1668645"/>
    <n v="29"/>
    <n v="57082.275862068964"/>
    <n v="1655386"/>
    <n v="21"/>
    <n v="45663.714285714283"/>
    <n v="958937.99999999988"/>
    <n v="21"/>
    <n v="46555.761904761908"/>
    <n v="977671.00000000012"/>
    <n v="14"/>
    <n v="39100.785714285717"/>
    <n v="547411"/>
    <n v="18"/>
    <n v="39651"/>
    <n v="713718"/>
    <n v="31"/>
    <n v="34487.096774193546"/>
    <n v="1069100"/>
    <n v="29"/>
    <n v="35317.862068965514"/>
    <n v="1024217.9999999999"/>
    <m/>
    <m/>
    <n v="0"/>
    <m/>
    <m/>
    <n v="0"/>
    <m/>
    <m/>
    <n v="0"/>
    <m/>
    <m/>
    <n v="0"/>
    <n v="13"/>
    <n v="68504.538461538468"/>
    <n v="728655.37380000018"/>
    <n v="14"/>
    <n v="70781.78571428571"/>
    <n v="810791.19900000002"/>
    <n v="6"/>
    <n v="61192.666666666664"/>
    <n v="300407.0392"/>
    <n v="7"/>
    <n v="62083.857142857145"/>
    <n v="355579.0834"/>
    <m/>
    <m/>
    <n v="0"/>
    <m/>
    <m/>
    <n v="0"/>
    <n v="1"/>
    <n v="43606"/>
    <n v="35678.429199999999"/>
    <n v="1"/>
    <n v="44914"/>
    <n v="36748.6348"/>
    <m/>
    <m/>
    <n v="0"/>
    <m/>
    <m/>
    <n v="0"/>
    <m/>
    <m/>
    <n v="0"/>
    <m/>
    <m/>
    <n v="0"/>
  </r>
  <r>
    <x v="5"/>
    <s v="Elizabethtown Community and Technical College "/>
    <m/>
    <n v="156648"/>
    <x v="7"/>
    <n v="37"/>
    <n v="59897.891891891893"/>
    <n v="2216222"/>
    <n v="37"/>
    <n v="60674.486486486487"/>
    <n v="2244956"/>
    <n v="44"/>
    <n v="46585.045454545456"/>
    <n v="2049742"/>
    <n v="40"/>
    <n v="46822.375"/>
    <n v="1872895"/>
    <n v="9"/>
    <n v="40333.555555555555"/>
    <n v="363002"/>
    <n v="10"/>
    <n v="41136.400000000001"/>
    <n v="411364"/>
    <n v="29"/>
    <n v="35638.034482758623"/>
    <n v="1033503.0000000001"/>
    <n v="32"/>
    <n v="36601.3125"/>
    <n v="1171242"/>
    <m/>
    <m/>
    <n v="0"/>
    <m/>
    <m/>
    <n v="0"/>
    <m/>
    <m/>
    <n v="0"/>
    <m/>
    <m/>
    <n v="0"/>
    <n v="3"/>
    <n v="73171.666666666672"/>
    <n v="179607.17300000001"/>
    <n v="3"/>
    <n v="75366.666666666672"/>
    <n v="184995.02000000002"/>
    <n v="4"/>
    <n v="53537.75"/>
    <n v="175218.34820000001"/>
    <n v="2"/>
    <n v="55888"/>
    <n v="91455.123200000002"/>
    <m/>
    <m/>
    <n v="0"/>
    <m/>
    <m/>
    <n v="0"/>
    <m/>
    <m/>
    <n v="0"/>
    <n v="1"/>
    <n v="39000"/>
    <n v="31909.800000000003"/>
    <m/>
    <m/>
    <n v="0"/>
    <m/>
    <m/>
    <n v="0"/>
    <m/>
    <m/>
    <n v="0"/>
    <m/>
    <m/>
    <n v="0"/>
  </r>
  <r>
    <x v="5"/>
    <s v="Hopkinsville Community College "/>
    <s v="Reclassified: Met the criteria for Two-Year 2 in 2009-10, 2010-11 and 2011-12."/>
    <n v="156860"/>
    <x v="7"/>
    <n v="18"/>
    <n v="59377.666666666664"/>
    <n v="1068798"/>
    <n v="20"/>
    <n v="61063.45"/>
    <n v="1221269"/>
    <n v="16"/>
    <n v="46692.8125"/>
    <n v="747085"/>
    <n v="14"/>
    <n v="47692.428571428572"/>
    <n v="667694"/>
    <n v="7"/>
    <n v="40044.285714285717"/>
    <n v="280310"/>
    <n v="10"/>
    <n v="40032.5"/>
    <n v="400325"/>
    <n v="18"/>
    <n v="37111.111111111109"/>
    <n v="668000"/>
    <n v="17"/>
    <n v="38807.058823529413"/>
    <n v="659720"/>
    <m/>
    <m/>
    <n v="0"/>
    <m/>
    <m/>
    <n v="0"/>
    <m/>
    <m/>
    <n v="0"/>
    <m/>
    <m/>
    <n v="0"/>
    <n v="3"/>
    <n v="71954.333333333328"/>
    <n v="176619.1066"/>
    <n v="3"/>
    <n v="70238.333333333328"/>
    <n v="172407.01300000001"/>
    <n v="5"/>
    <n v="54107.8"/>
    <n v="221355.0098"/>
    <n v="4"/>
    <n v="56313.5"/>
    <n v="184302.82279999999"/>
    <n v="1"/>
    <n v="43810"/>
    <n v="35845.342000000004"/>
    <n v="1"/>
    <n v="45124"/>
    <n v="36920.4568"/>
    <m/>
    <m/>
    <n v="0"/>
    <m/>
    <m/>
    <n v="0"/>
    <m/>
    <m/>
    <n v="0"/>
    <m/>
    <m/>
    <n v="0"/>
    <m/>
    <m/>
    <n v="0"/>
    <m/>
    <m/>
    <n v="0"/>
  </r>
  <r>
    <x v="5"/>
    <s v="Madisonville Community College"/>
    <m/>
    <n v="157304"/>
    <x v="7"/>
    <n v="33"/>
    <n v="58800.909090909088"/>
    <n v="1940430"/>
    <n v="34"/>
    <n v="58231.617647058825"/>
    <n v="1979875"/>
    <n v="28"/>
    <n v="46055.214285714283"/>
    <n v="1289546"/>
    <n v="23"/>
    <n v="47112.65217391304"/>
    <n v="1083591"/>
    <n v="12"/>
    <n v="39770.5"/>
    <n v="477246"/>
    <n v="11"/>
    <n v="40399"/>
    <n v="444389"/>
    <n v="17"/>
    <n v="37365.176470588238"/>
    <n v="635208"/>
    <n v="20"/>
    <n v="40313.949999999997"/>
    <n v="806279"/>
    <m/>
    <m/>
    <n v="0"/>
    <m/>
    <m/>
    <n v="0"/>
    <m/>
    <m/>
    <n v="0"/>
    <m/>
    <m/>
    <n v="0"/>
    <n v="5"/>
    <n v="74296.2"/>
    <n v="303945.75420000002"/>
    <n v="6"/>
    <n v="75437.666666666672"/>
    <n v="370338.5932"/>
    <n v="4"/>
    <n v="54174.5"/>
    <n v="177302.30360000001"/>
    <n v="4"/>
    <n v="55398.5"/>
    <n v="181308.2108"/>
    <m/>
    <m/>
    <n v="0"/>
    <n v="2"/>
    <n v="52199.5"/>
    <n v="85419.261800000007"/>
    <n v="13"/>
    <n v="44701.384615384617"/>
    <n v="475470.7476"/>
    <n v="8"/>
    <n v="45582.125"/>
    <n v="298362.35740000004"/>
    <m/>
    <m/>
    <n v="0"/>
    <m/>
    <m/>
    <n v="0"/>
    <m/>
    <m/>
    <n v="0"/>
    <m/>
    <m/>
    <n v="0"/>
  </r>
  <r>
    <x v="5"/>
    <s v="Maysville Community and Technical College "/>
    <m/>
    <n v="157331"/>
    <x v="7"/>
    <n v="23"/>
    <n v="59686.304347826088"/>
    <n v="1372785"/>
    <n v="24"/>
    <n v="61498.041666666664"/>
    <n v="1475953"/>
    <n v="28"/>
    <n v="46373.428571428572"/>
    <n v="1298456"/>
    <n v="30"/>
    <n v="47631.3"/>
    <n v="1428939"/>
    <n v="10"/>
    <n v="42546.1"/>
    <n v="425461"/>
    <n v="9"/>
    <n v="42597.888888888891"/>
    <n v="383381"/>
    <n v="19"/>
    <n v="38118.210526315786"/>
    <n v="724246"/>
    <n v="19"/>
    <n v="38027.526315789473"/>
    <n v="722523"/>
    <m/>
    <m/>
    <n v="0"/>
    <m/>
    <m/>
    <n v="0"/>
    <m/>
    <m/>
    <n v="0"/>
    <m/>
    <m/>
    <n v="0"/>
    <n v="6"/>
    <n v="67807"/>
    <n v="332878.12440000003"/>
    <n v="5"/>
    <n v="69882.600000000006"/>
    <n v="285889.71659999999"/>
    <n v="4"/>
    <n v="54436.5"/>
    <n v="178159.77720000001"/>
    <n v="4"/>
    <n v="56069.5"/>
    <n v="183504.25960000002"/>
    <m/>
    <m/>
    <n v="0"/>
    <m/>
    <m/>
    <n v="0"/>
    <m/>
    <m/>
    <n v="0"/>
    <m/>
    <m/>
    <n v="0"/>
    <m/>
    <m/>
    <n v="0"/>
    <m/>
    <m/>
    <n v="0"/>
    <m/>
    <m/>
    <n v="0"/>
    <m/>
    <m/>
    <n v="0"/>
  </r>
  <r>
    <x v="5"/>
    <s v="Owensboro Community and Technical College "/>
    <m/>
    <n v="247940"/>
    <x v="7"/>
    <n v="22"/>
    <n v="58222.909090909088"/>
    <n v="1280904"/>
    <n v="17"/>
    <n v="60421.411764705881"/>
    <n v="1027164"/>
    <n v="35"/>
    <n v="48798.171428571426"/>
    <n v="1707936"/>
    <n v="35"/>
    <n v="49579.942857142858"/>
    <n v="1735298"/>
    <n v="16"/>
    <n v="39489.75"/>
    <n v="631836"/>
    <n v="15"/>
    <n v="39829.066666666666"/>
    <n v="597436"/>
    <n v="12"/>
    <n v="38773.583333333336"/>
    <n v="465283"/>
    <n v="21"/>
    <n v="38916.714285714283"/>
    <n v="817250.99999999988"/>
    <m/>
    <m/>
    <n v="0"/>
    <m/>
    <m/>
    <n v="0"/>
    <m/>
    <m/>
    <n v="0"/>
    <m/>
    <m/>
    <n v="0"/>
    <n v="1"/>
    <n v="65421"/>
    <n v="53527.462200000002"/>
    <n v="1"/>
    <n v="67383"/>
    <n v="55132.770600000003"/>
    <n v="3"/>
    <n v="57481.333333333336"/>
    <n v="141093.6808"/>
    <n v="4"/>
    <n v="58760"/>
    <n v="192309.728"/>
    <n v="6"/>
    <n v="48181.5"/>
    <n v="236532.61980000001"/>
    <n v="4"/>
    <n v="46872.5"/>
    <n v="153404.318"/>
    <n v="2"/>
    <n v="43501.5"/>
    <n v="71185.854600000006"/>
    <n v="2"/>
    <n v="44806.5"/>
    <n v="73321.356599999999"/>
    <m/>
    <m/>
    <n v="0"/>
    <m/>
    <m/>
    <n v="0"/>
    <m/>
    <m/>
    <n v="0"/>
    <m/>
    <m/>
    <n v="0"/>
  </r>
  <r>
    <x v="5"/>
    <s v="Somerset Community and Technical College "/>
    <s v="Met the criteria for classification as a Two-Year 1 in 2011-12."/>
    <n v="157711"/>
    <x v="7"/>
    <n v="46"/>
    <n v="57575.304347826088"/>
    <n v="2648464"/>
    <n v="44"/>
    <n v="57999.659090909088"/>
    <n v="2551985"/>
    <n v="42"/>
    <n v="47479.5"/>
    <n v="1994139"/>
    <n v="40"/>
    <n v="48360.675000000003"/>
    <n v="1934427"/>
    <n v="21"/>
    <n v="39479.238095238092"/>
    <n v="829063.99999999988"/>
    <n v="22"/>
    <n v="40764.772727272728"/>
    <n v="896825"/>
    <n v="36"/>
    <n v="35360.222222222219"/>
    <n v="1272968"/>
    <n v="49"/>
    <n v="36185.34693877551"/>
    <n v="1773082"/>
    <m/>
    <m/>
    <n v="0"/>
    <m/>
    <m/>
    <n v="0"/>
    <m/>
    <m/>
    <n v="0"/>
    <m/>
    <m/>
    <n v="0"/>
    <n v="7"/>
    <n v="76301.28571428571"/>
    <n v="437007.98380000005"/>
    <n v="8"/>
    <n v="77204"/>
    <n v="505346.5024"/>
    <n v="6"/>
    <n v="66621.666666666672"/>
    <n v="327059.08600000001"/>
    <n v="6"/>
    <n v="69552.166666666672"/>
    <n v="341445.49660000001"/>
    <n v="3"/>
    <n v="52324"/>
    <n v="128434.49040000001"/>
    <n v="4"/>
    <n v="53414.75"/>
    <n v="174815.79380000001"/>
    <n v="6"/>
    <n v="42846.166666666664"/>
    <n v="210340.4014"/>
    <n v="7"/>
    <n v="42719.714285714283"/>
    <n v="244672.8916"/>
    <m/>
    <m/>
    <n v="0"/>
    <m/>
    <m/>
    <n v="0"/>
    <m/>
    <m/>
    <n v="0"/>
    <m/>
    <m/>
    <n v="0"/>
  </r>
  <r>
    <x v="5"/>
    <s v="Southeast Kentucky Community and Technical College"/>
    <m/>
    <n v="157739"/>
    <x v="7"/>
    <n v="35"/>
    <n v="59512.485714285714"/>
    <n v="2082937"/>
    <n v="31"/>
    <n v="60938.612903225803"/>
    <n v="1889097"/>
    <n v="21"/>
    <n v="47599.523809523809"/>
    <n v="999590"/>
    <n v="19"/>
    <n v="48186.473684210527"/>
    <n v="915543"/>
    <n v="7"/>
    <n v="39733.714285714283"/>
    <n v="278136"/>
    <n v="9"/>
    <n v="41260.333333333336"/>
    <n v="371343"/>
    <n v="14"/>
    <n v="37635.714285714283"/>
    <n v="526900"/>
    <n v="19"/>
    <n v="37460.473684210527"/>
    <n v="711749"/>
    <m/>
    <m/>
    <n v="0"/>
    <m/>
    <m/>
    <n v="0"/>
    <m/>
    <m/>
    <n v="0"/>
    <m/>
    <m/>
    <n v="0"/>
    <n v="9"/>
    <n v="68125.222222222219"/>
    <n v="501660.51140000002"/>
    <n v="8"/>
    <n v="69137.75"/>
    <n v="452548.0564"/>
    <n v="8"/>
    <n v="57046.25"/>
    <n v="373401.93400000001"/>
    <n v="8"/>
    <n v="57938"/>
    <n v="379238.97280000005"/>
    <n v="2"/>
    <n v="42493"/>
    <n v="69535.545200000008"/>
    <n v="1"/>
    <n v="43768"/>
    <n v="35810.977599999998"/>
    <m/>
    <m/>
    <n v="0"/>
    <n v="1"/>
    <n v="37785"/>
    <n v="30915.687000000002"/>
    <m/>
    <m/>
    <n v="0"/>
    <m/>
    <m/>
    <n v="0"/>
    <m/>
    <m/>
    <n v="0"/>
    <m/>
    <m/>
    <n v="0"/>
  </r>
  <r>
    <x v="5"/>
    <s v="West Kentucky Community and Technical College"/>
    <m/>
    <n v="157483"/>
    <x v="7"/>
    <n v="43"/>
    <n v="56987.372093023259"/>
    <n v="2450457"/>
    <n v="35"/>
    <n v="58966.057142857142"/>
    <n v="2063812"/>
    <n v="25"/>
    <n v="46760.68"/>
    <n v="1169017"/>
    <n v="29"/>
    <n v="47745.931034482761"/>
    <n v="1384632"/>
    <n v="19"/>
    <n v="41952.684210526313"/>
    <n v="797101"/>
    <n v="17"/>
    <n v="41813.294117647056"/>
    <n v="710826"/>
    <n v="12"/>
    <n v="37900"/>
    <n v="454800"/>
    <n v="11"/>
    <n v="38224.272727272728"/>
    <n v="420467"/>
    <m/>
    <m/>
    <n v="0"/>
    <m/>
    <m/>
    <n v="0"/>
    <m/>
    <m/>
    <n v="0"/>
    <m/>
    <m/>
    <n v="0"/>
    <n v="9"/>
    <n v="69761"/>
    <n v="513706.05180000002"/>
    <n v="15"/>
    <n v="70844.933333333334"/>
    <n v="869479.86680000008"/>
    <n v="7"/>
    <n v="55117.571428571428"/>
    <n v="315680.3786"/>
    <n v="7"/>
    <n v="57342.857142857145"/>
    <n v="328425.48000000004"/>
    <n v="5"/>
    <n v="51202.6"/>
    <n v="209469.83660000001"/>
    <n v="4"/>
    <n v="53359.5"/>
    <n v="174634.97160000002"/>
    <n v="19"/>
    <n v="48098.947368421053"/>
    <n v="747736.61600000004"/>
    <n v="22"/>
    <n v="49063.090909090912"/>
    <n v="883155.26160000009"/>
    <m/>
    <m/>
    <n v="0"/>
    <m/>
    <m/>
    <n v="0"/>
    <m/>
    <m/>
    <n v="0"/>
    <m/>
    <m/>
    <n v="0"/>
  </r>
  <r>
    <x v="5"/>
    <s v="Hazard Community and Technical College"/>
    <s v="Met the criteria for classification as a Two-Year 2 in 2010-11 and 2011-12."/>
    <n v="156790"/>
    <x v="8"/>
    <n v="43"/>
    <n v="57005.627906976741"/>
    <n v="2451242"/>
    <n v="43"/>
    <n v="58480.604651162794"/>
    <n v="2514666"/>
    <n v="21"/>
    <n v="47891.809523809527"/>
    <n v="1005728"/>
    <n v="20"/>
    <n v="49597.1"/>
    <n v="991942"/>
    <n v="8"/>
    <n v="41445.875"/>
    <n v="331567"/>
    <n v="9"/>
    <n v="43063.666666666664"/>
    <n v="387573"/>
    <n v="14"/>
    <n v="36584"/>
    <n v="512176"/>
    <n v="11"/>
    <n v="37629.090909090912"/>
    <n v="413920"/>
    <m/>
    <m/>
    <n v="0"/>
    <m/>
    <m/>
    <n v="0"/>
    <m/>
    <m/>
    <n v="0"/>
    <m/>
    <m/>
    <n v="0"/>
    <n v="10"/>
    <n v="72654.7"/>
    <n v="594460.75540000002"/>
    <n v="11"/>
    <n v="74924.636363636368"/>
    <n v="674336.71220000007"/>
    <n v="6"/>
    <n v="57631.833333333336"/>
    <n v="282926.19620000001"/>
    <n v="5"/>
    <n v="56527.199999999997"/>
    <n v="231252.7752"/>
    <n v="1"/>
    <n v="59007"/>
    <n v="48279.527399999999"/>
    <n v="3"/>
    <n v="58661.333333333336"/>
    <n v="143990.10880000002"/>
    <n v="6"/>
    <n v="48735.333333333336"/>
    <n v="239251.49840000001"/>
    <n v="9"/>
    <n v="46700.444444444445"/>
    <n v="343892.7328"/>
    <m/>
    <m/>
    <n v="0"/>
    <m/>
    <m/>
    <n v="0"/>
    <m/>
    <m/>
    <n v="0"/>
    <m/>
    <m/>
    <n v="0"/>
  </r>
  <r>
    <x v="5"/>
    <s v="Henderson Community College "/>
    <m/>
    <n v="156851"/>
    <x v="8"/>
    <n v="23"/>
    <n v="58337.17391304348"/>
    <n v="1341755"/>
    <n v="22"/>
    <n v="59857.5"/>
    <n v="1316865"/>
    <n v="10"/>
    <n v="48494.400000000001"/>
    <n v="484944"/>
    <n v="10"/>
    <n v="49671.3"/>
    <n v="496713"/>
    <n v="6"/>
    <n v="39481.666666666664"/>
    <n v="236890"/>
    <n v="6"/>
    <n v="43609.333333333336"/>
    <n v="261656"/>
    <n v="5"/>
    <n v="44000"/>
    <n v="220000"/>
    <n v="6"/>
    <n v="42165"/>
    <n v="252990"/>
    <m/>
    <m/>
    <n v="0"/>
    <m/>
    <m/>
    <n v="0"/>
    <m/>
    <m/>
    <n v="0"/>
    <m/>
    <m/>
    <n v="0"/>
    <n v="3"/>
    <n v="77340.333333333328"/>
    <n v="189839.5822"/>
    <n v="3"/>
    <n v="79660.666666666672"/>
    <n v="195535.0724"/>
    <m/>
    <m/>
    <n v="0"/>
    <m/>
    <m/>
    <n v="0"/>
    <n v="1"/>
    <n v="46856"/>
    <n v="38337.5792"/>
    <n v="1"/>
    <n v="48262"/>
    <n v="39487.968400000005"/>
    <m/>
    <m/>
    <n v="0"/>
    <m/>
    <m/>
    <n v="0"/>
    <m/>
    <m/>
    <n v="0"/>
    <m/>
    <m/>
    <n v="0"/>
    <m/>
    <m/>
    <n v="0"/>
    <m/>
    <m/>
    <n v="0"/>
  </r>
  <r>
    <x v="5"/>
    <s v="Bowling Green Technical College"/>
    <m/>
    <n v="156338"/>
    <x v="9"/>
    <n v="4"/>
    <n v="60589.5"/>
    <n v="242358"/>
    <n v="4"/>
    <n v="58675.75"/>
    <n v="234703"/>
    <n v="14"/>
    <n v="48078.928571428572"/>
    <n v="673105"/>
    <n v="15"/>
    <n v="48831.199999999997"/>
    <n v="732468"/>
    <n v="9"/>
    <n v="41388.444444444445"/>
    <n v="372496"/>
    <n v="11"/>
    <n v="41692.181818181816"/>
    <n v="458614"/>
    <n v="17"/>
    <n v="35310.705882352944"/>
    <n v="600282"/>
    <n v="22"/>
    <n v="36102.181818181816"/>
    <n v="794248"/>
    <m/>
    <m/>
    <n v="0"/>
    <m/>
    <m/>
    <n v="0"/>
    <m/>
    <m/>
    <n v="0"/>
    <m/>
    <m/>
    <n v="0"/>
    <n v="3"/>
    <n v="64285.666666666664"/>
    <n v="157795.5974"/>
    <n v="3"/>
    <n v="66214"/>
    <n v="162528.88440000001"/>
    <n v="7"/>
    <n v="54324"/>
    <n v="311135.27760000003"/>
    <n v="7"/>
    <n v="55953.857142857145"/>
    <n v="320470.1214"/>
    <n v="2"/>
    <n v="46356"/>
    <n v="75856.958400000003"/>
    <n v="5"/>
    <n v="48374.400000000001"/>
    <n v="197899.6704"/>
    <n v="14"/>
    <n v="43733.357142857145"/>
    <n v="500956.85940000002"/>
    <n v="11"/>
    <n v="44200.63636363636"/>
    <n v="397814.5674"/>
    <m/>
    <m/>
    <n v="0"/>
    <m/>
    <m/>
    <n v="0"/>
    <m/>
    <m/>
    <n v="0"/>
    <m/>
    <m/>
    <n v="0"/>
  </r>
  <r>
    <x v="5"/>
    <s v="Gateway Community and Technical College"/>
    <m/>
    <n v="157438"/>
    <x v="9"/>
    <n v="3"/>
    <n v="71875.666666666672"/>
    <n v="215627"/>
    <n v="5"/>
    <n v="66634.600000000006"/>
    <n v="333173"/>
    <n v="16"/>
    <n v="52627.5"/>
    <n v="842040"/>
    <n v="16"/>
    <n v="51117"/>
    <n v="817872"/>
    <n v="17"/>
    <n v="46901.117647058825"/>
    <n v="797319"/>
    <n v="17"/>
    <n v="48247.117647058825"/>
    <n v="820201"/>
    <n v="24"/>
    <n v="42298.25"/>
    <n v="1015158"/>
    <n v="23"/>
    <n v="43257.65217391304"/>
    <n v="994925.99999999988"/>
    <m/>
    <m/>
    <n v="0"/>
    <m/>
    <m/>
    <n v="0"/>
    <m/>
    <m/>
    <n v="0"/>
    <m/>
    <m/>
    <n v="0"/>
    <m/>
    <m/>
    <n v="0"/>
    <m/>
    <m/>
    <n v="0"/>
    <n v="3"/>
    <n v="61173.333333333336"/>
    <n v="150156.06400000001"/>
    <n v="4"/>
    <n v="61075.25"/>
    <n v="199887.07820000002"/>
    <n v="9"/>
    <n v="53147.222222222219"/>
    <n v="391365.51500000001"/>
    <n v="7"/>
    <n v="53745.714285714283"/>
    <n v="307823.20400000003"/>
    <n v="16"/>
    <n v="47240.25"/>
    <n v="618431.56079999998"/>
    <n v="16"/>
    <n v="47744.5625"/>
    <n v="625033.61660000007"/>
    <m/>
    <m/>
    <n v="0"/>
    <m/>
    <m/>
    <n v="0"/>
    <m/>
    <m/>
    <n v="0"/>
    <m/>
    <m/>
    <n v="0"/>
  </r>
  <r>
    <x v="6"/>
    <s v="Louisiana State University and A&amp;M College"/>
    <m/>
    <n v="159391"/>
    <x v="0"/>
    <n v="368"/>
    <n v="111520"/>
    <n v="41039360"/>
    <n v="352"/>
    <n v="110536"/>
    <n v="38908672"/>
    <n v="271"/>
    <n v="78635"/>
    <n v="21310085"/>
    <n v="277"/>
    <n v="79386"/>
    <n v="21989922"/>
    <n v="251"/>
    <n v="67922"/>
    <n v="17048422"/>
    <n v="220"/>
    <n v="67237"/>
    <n v="14792140"/>
    <n v="196"/>
    <n v="43530"/>
    <n v="8531880"/>
    <n v="175"/>
    <n v="43611"/>
    <n v="7631925"/>
    <n v="17"/>
    <n v="64359"/>
    <n v="1094103"/>
    <n v="15"/>
    <n v="60373"/>
    <n v="905595"/>
    <m/>
    <m/>
    <n v="0"/>
    <n v="0"/>
    <n v="0"/>
    <n v="0"/>
    <n v="61"/>
    <n v="126427"/>
    <n v="6309996.8554000007"/>
    <n v="56"/>
    <n v="126280"/>
    <n v="5786048.5760000004"/>
    <n v="26"/>
    <n v="88533"/>
    <n v="1883380.2156"/>
    <n v="21"/>
    <n v="87847"/>
    <n v="1509404.7234"/>
    <n v="27"/>
    <n v="99548"/>
    <n v="2199154.6872"/>
    <n v="32"/>
    <n v="101083"/>
    <n v="2646595.5392"/>
    <n v="17"/>
    <n v="59056"/>
    <n v="821433.52640000009"/>
    <n v="14"/>
    <n v="61349"/>
    <n v="702740.52520000003"/>
    <n v="4"/>
    <n v="77362"/>
    <n v="253190.3536"/>
    <n v="4"/>
    <n v="77362"/>
    <n v="253190.3536"/>
    <m/>
    <m/>
    <n v="0"/>
    <n v="0"/>
    <n v="0"/>
    <n v="0"/>
  </r>
  <r>
    <x v="6"/>
    <s v="Louisiana Tech University "/>
    <m/>
    <n v="159647"/>
    <x v="1"/>
    <n v="45"/>
    <n v="79917"/>
    <n v="3596265"/>
    <n v="45"/>
    <n v="78637"/>
    <n v="3538665"/>
    <n v="89"/>
    <n v="68193"/>
    <n v="6069177"/>
    <n v="85"/>
    <n v="68426"/>
    <n v="5816210"/>
    <n v="120"/>
    <n v="60258"/>
    <n v="7230960"/>
    <n v="118"/>
    <n v="59226"/>
    <n v="6988668"/>
    <n v="44"/>
    <n v="39334"/>
    <n v="1730696"/>
    <n v="45"/>
    <n v="38882"/>
    <n v="1749690"/>
    <n v="16"/>
    <n v="62343"/>
    <n v="997488"/>
    <n v="16"/>
    <n v="62277"/>
    <n v="996432"/>
    <m/>
    <m/>
    <n v="0"/>
    <n v="0"/>
    <n v="0"/>
    <n v="0"/>
    <n v="29"/>
    <n v="113356"/>
    <n v="2689688.4968000003"/>
    <n v="30"/>
    <n v="110524"/>
    <n v="2712922.1040000003"/>
    <n v="15"/>
    <n v="90277"/>
    <n v="1107969.621"/>
    <n v="11"/>
    <n v="92596"/>
    <n v="833382.5192000001"/>
    <n v="8"/>
    <n v="77589"/>
    <n v="507866.55840000004"/>
    <n v="8"/>
    <n v="83142"/>
    <n v="544214.27520000003"/>
    <n v="7"/>
    <n v="48640"/>
    <n v="278580.73600000003"/>
    <n v="8"/>
    <n v="46310"/>
    <n v="303126.73600000003"/>
    <n v="0"/>
    <n v="0"/>
    <n v="0"/>
    <n v="0"/>
    <n v="0"/>
    <n v="0"/>
    <m/>
    <m/>
    <n v="0"/>
    <n v="0"/>
    <n v="0"/>
    <n v="0"/>
  </r>
  <r>
    <x v="6"/>
    <s v="University of Louisiana at Lafayette"/>
    <m/>
    <n v="160658"/>
    <x v="1"/>
    <n v="141"/>
    <n v="103265"/>
    <n v="14560365"/>
    <n v="141"/>
    <n v="101582"/>
    <n v="14323062"/>
    <n v="140"/>
    <n v="74535"/>
    <n v="10434900"/>
    <n v="131"/>
    <n v="74412"/>
    <n v="9747972"/>
    <n v="156"/>
    <n v="59922"/>
    <n v="9347832"/>
    <n v="147"/>
    <n v="59718"/>
    <n v="8778546"/>
    <n v="152"/>
    <n v="44193"/>
    <n v="6717336"/>
    <n v="158"/>
    <n v="44727"/>
    <n v="7066866"/>
    <n v="0"/>
    <n v="0"/>
    <n v="0"/>
    <n v="0"/>
    <n v="0"/>
    <n v="0"/>
    <m/>
    <m/>
    <n v="0"/>
    <n v="0"/>
    <n v="0"/>
    <n v="0"/>
    <n v="1"/>
    <n v="95000"/>
    <n v="77729"/>
    <n v="1"/>
    <n v="95000"/>
    <n v="77729"/>
    <n v="1"/>
    <n v="106619"/>
    <n v="87235.665800000002"/>
    <n v="1"/>
    <n v="106619"/>
    <n v="87235.665800000002"/>
    <n v="2"/>
    <n v="55250"/>
    <n v="90411.1"/>
    <n v="1"/>
    <n v="50000"/>
    <n v="40910"/>
    <n v="3"/>
    <n v="59255"/>
    <n v="145447.323"/>
    <n v="4"/>
    <n v="55108"/>
    <n v="180357.46240000002"/>
    <n v="0"/>
    <n v="0"/>
    <n v="0"/>
    <n v="0"/>
    <n v="0"/>
    <n v="0"/>
    <m/>
    <m/>
    <n v="0"/>
    <n v="0"/>
    <n v="0"/>
    <n v="0"/>
  </r>
  <r>
    <x v="6"/>
    <s v="University of New Orleans"/>
    <m/>
    <n v="159939"/>
    <x v="1"/>
    <n v="131"/>
    <n v="87771"/>
    <n v="11498001"/>
    <n v="121"/>
    <n v="88316"/>
    <n v="10686236"/>
    <n v="89"/>
    <n v="66696"/>
    <n v="5935944"/>
    <n v="90"/>
    <n v="64572"/>
    <n v="5811480"/>
    <n v="79"/>
    <n v="61064"/>
    <n v="4824056"/>
    <n v="70"/>
    <n v="61358"/>
    <n v="4295060"/>
    <n v="93"/>
    <n v="42212"/>
    <n v="3925716"/>
    <n v="66"/>
    <n v="39041"/>
    <n v="2576706"/>
    <n v="0"/>
    <n v="0"/>
    <n v="0"/>
    <n v="0"/>
    <n v="0"/>
    <n v="0"/>
    <m/>
    <m/>
    <n v="0"/>
    <n v="0"/>
    <n v="0"/>
    <n v="0"/>
    <n v="9"/>
    <n v="74280"/>
    <n v="546983.06400000001"/>
    <n v="6"/>
    <n v="76345"/>
    <n v="374792.87400000001"/>
    <n v="8"/>
    <n v="65107"/>
    <n v="426164.37920000002"/>
    <n v="8"/>
    <n v="61875"/>
    <n v="405009"/>
    <n v="2"/>
    <n v="40000"/>
    <n v="65456"/>
    <n v="1"/>
    <n v="40000"/>
    <n v="32728"/>
    <n v="1"/>
    <n v="62350"/>
    <n v="51014.770000000004"/>
    <n v="1"/>
    <n v="62350"/>
    <n v="51014.770000000004"/>
    <n v="0"/>
    <n v="0"/>
    <n v="0"/>
    <n v="0"/>
    <n v="0"/>
    <n v="0"/>
    <m/>
    <m/>
    <n v="0"/>
    <n v="0"/>
    <n v="0"/>
    <n v="0"/>
  </r>
  <r>
    <x v="6"/>
    <s v="Southeastern Louisiana University "/>
    <m/>
    <n v="160612"/>
    <x v="2"/>
    <n v="87"/>
    <n v="76286"/>
    <n v="6636882"/>
    <n v="91"/>
    <n v="76798"/>
    <n v="6988618"/>
    <n v="103"/>
    <n v="66002"/>
    <n v="6798206"/>
    <n v="101"/>
    <n v="65332"/>
    <n v="6598532"/>
    <n v="89"/>
    <n v="57388"/>
    <n v="5107532"/>
    <n v="74"/>
    <n v="57642"/>
    <n v="4265508"/>
    <n v="178"/>
    <n v="44892"/>
    <n v="7990776"/>
    <n v="215"/>
    <n v="44708"/>
    <n v="9612220"/>
    <n v="0"/>
    <n v="0"/>
    <n v="0"/>
    <n v="0"/>
    <n v="0"/>
    <n v="0"/>
    <m/>
    <m/>
    <n v="0"/>
    <n v="0"/>
    <n v="0"/>
    <n v="0"/>
    <n v="14"/>
    <n v="110557"/>
    <n v="1266408.3236"/>
    <n v="12"/>
    <n v="110007"/>
    <n v="1080092.7288000002"/>
    <n v="5"/>
    <n v="109531"/>
    <n v="448091.321"/>
    <n v="5"/>
    <n v="108236"/>
    <n v="442793.47600000002"/>
    <n v="0"/>
    <n v="0"/>
    <n v="0"/>
    <n v="1"/>
    <n v="102999"/>
    <n v="84273.781799999997"/>
    <n v="1"/>
    <n v="68024"/>
    <n v="55657.236800000006"/>
    <n v="1"/>
    <n v="68024"/>
    <n v="55657.236800000006"/>
    <n v="0"/>
    <n v="0"/>
    <n v="0"/>
    <n v="0"/>
    <n v="0"/>
    <n v="0"/>
    <m/>
    <m/>
    <n v="0"/>
    <n v="0"/>
    <n v="0"/>
    <n v="0"/>
  </r>
  <r>
    <x v="6"/>
    <s v="Southern University and A&amp;M College at Baton Rouge "/>
    <m/>
    <n v="160621"/>
    <x v="2"/>
    <n v="126"/>
    <n v="77037"/>
    <n v="9706662"/>
    <n v="127"/>
    <n v="79797"/>
    <n v="10134219"/>
    <n v="84"/>
    <n v="62788"/>
    <n v="5274192"/>
    <n v="79"/>
    <n v="64307"/>
    <n v="5080253"/>
    <n v="107"/>
    <n v="52606"/>
    <n v="5628842"/>
    <n v="98"/>
    <n v="53218"/>
    <n v="5215364"/>
    <n v="60"/>
    <n v="37674"/>
    <n v="2260440"/>
    <n v="48"/>
    <n v="51671"/>
    <n v="2480208"/>
    <n v="6"/>
    <n v="75824"/>
    <n v="454944"/>
    <n v="3"/>
    <n v="48996"/>
    <n v="146988"/>
    <m/>
    <m/>
    <n v="0"/>
    <n v="0"/>
    <n v="0"/>
    <n v="0"/>
    <n v="10"/>
    <n v="78178"/>
    <n v="639652.39600000007"/>
    <n v="6"/>
    <n v="67133"/>
    <n v="329569.3236"/>
    <n v="1"/>
    <n v="70907"/>
    <n v="58016.107400000001"/>
    <n v="3"/>
    <n v="54302"/>
    <n v="133289.68919999999"/>
    <n v="8"/>
    <n v="62018"/>
    <n v="405945.0208"/>
    <n v="3"/>
    <n v="66859"/>
    <n v="164112.10140000001"/>
    <n v="14"/>
    <n v="46309"/>
    <n v="530460.33319999999"/>
    <n v="4"/>
    <n v="56015"/>
    <n v="183325.89200000002"/>
    <n v="0"/>
    <n v="0"/>
    <n v="0"/>
    <n v="1"/>
    <n v="47000"/>
    <n v="38455.4"/>
    <m/>
    <m/>
    <n v="0"/>
    <n v="0"/>
    <n v="0"/>
    <n v="0"/>
  </r>
  <r>
    <x v="6"/>
    <s v="University of Louisiana at Monroe"/>
    <m/>
    <n v="159993"/>
    <x v="2"/>
    <n v="45"/>
    <n v="77221"/>
    <n v="3474945"/>
    <n v="50"/>
    <n v="77871"/>
    <n v="3893550"/>
    <n v="75"/>
    <n v="63667"/>
    <n v="4775025"/>
    <n v="91"/>
    <n v="68161"/>
    <n v="6202651"/>
    <n v="101"/>
    <n v="55044"/>
    <n v="5559444"/>
    <n v="125"/>
    <n v="61052"/>
    <n v="7631500"/>
    <n v="52"/>
    <n v="40392"/>
    <n v="2100384"/>
    <n v="56"/>
    <n v="40343"/>
    <n v="2259208"/>
    <n v="4"/>
    <n v="50578"/>
    <n v="202312"/>
    <n v="0"/>
    <n v="0"/>
    <n v="0"/>
    <m/>
    <m/>
    <n v="0"/>
    <n v="0"/>
    <n v="0"/>
    <n v="0"/>
    <n v="13"/>
    <n v="117166"/>
    <n v="1246247.8756000001"/>
    <n v="6"/>
    <n v="117938"/>
    <n v="578981.22960000008"/>
    <n v="18"/>
    <n v="99759"/>
    <n v="1469210.6484000001"/>
    <n v="5"/>
    <n v="109489"/>
    <n v="447919.49900000001"/>
    <n v="32"/>
    <n v="91264"/>
    <n v="2389510.5536000002"/>
    <n v="3"/>
    <n v="72324"/>
    <n v="177526.49040000001"/>
    <n v="3"/>
    <n v="48695"/>
    <n v="119526.747"/>
    <n v="2"/>
    <n v="53700"/>
    <n v="87874.680000000008"/>
    <n v="0"/>
    <n v="0"/>
    <n v="0"/>
    <n v="0"/>
    <n v="0"/>
    <n v="0"/>
    <m/>
    <m/>
    <n v="0"/>
    <n v="0"/>
    <n v="0"/>
    <n v="0"/>
  </r>
  <r>
    <x v="6"/>
    <s v="Grambling State University"/>
    <m/>
    <n v="159009"/>
    <x v="3"/>
    <n v="44"/>
    <n v="70721"/>
    <n v="3111724"/>
    <n v="43"/>
    <n v="70766"/>
    <n v="3042938"/>
    <n v="35"/>
    <n v="62677"/>
    <n v="2193695"/>
    <n v="37"/>
    <n v="60003"/>
    <n v="2220111"/>
    <n v="78"/>
    <n v="53806"/>
    <n v="4196868"/>
    <n v="72"/>
    <n v="54173"/>
    <n v="3900456"/>
    <n v="24"/>
    <n v="41059"/>
    <n v="985416"/>
    <n v="17"/>
    <n v="41009"/>
    <n v="697153"/>
    <n v="18"/>
    <n v="48108"/>
    <n v="865944"/>
    <n v="22"/>
    <n v="41853"/>
    <n v="920766"/>
    <m/>
    <m/>
    <n v="0"/>
    <n v="0"/>
    <n v="0"/>
    <n v="0"/>
    <n v="7"/>
    <n v="85843"/>
    <n v="491657.19820000004"/>
    <n v="7"/>
    <n v="71440"/>
    <n v="409165.45600000001"/>
    <n v="8"/>
    <n v="77716"/>
    <n v="508697.84960000002"/>
    <n v="6"/>
    <n v="64751"/>
    <n v="317875.60920000001"/>
    <n v="17"/>
    <n v="68744"/>
    <n v="956187.79360000009"/>
    <n v="17"/>
    <n v="66205"/>
    <n v="920871.82700000005"/>
    <n v="6"/>
    <n v="44152"/>
    <n v="216750.99840000001"/>
    <n v="7"/>
    <n v="40507"/>
    <n v="231999.79180000001"/>
    <n v="1"/>
    <n v="69644"/>
    <n v="56982.720800000003"/>
    <n v="1"/>
    <n v="69644"/>
    <n v="56982.720800000003"/>
    <m/>
    <m/>
    <n v="0"/>
    <n v="0"/>
    <n v="0"/>
    <n v="0"/>
  </r>
  <r>
    <x v="6"/>
    <s v="Louisiana State University in Shreveport"/>
    <m/>
    <n v="159416"/>
    <x v="3"/>
    <n v="28"/>
    <n v="61552"/>
    <n v="1723456"/>
    <n v="26"/>
    <n v="61088"/>
    <n v="1588288"/>
    <n v="35"/>
    <n v="57446"/>
    <n v="2010610"/>
    <n v="35"/>
    <n v="58215"/>
    <n v="2037525"/>
    <n v="29"/>
    <n v="51867"/>
    <n v="1504143"/>
    <n v="21"/>
    <n v="51672"/>
    <n v="1085112"/>
    <n v="16"/>
    <n v="36202"/>
    <n v="579232"/>
    <n v="17"/>
    <n v="35588"/>
    <n v="604996"/>
    <n v="8"/>
    <n v="45338"/>
    <n v="362704"/>
    <n v="1"/>
    <n v="19846"/>
    <n v="19846"/>
    <m/>
    <m/>
    <n v="0"/>
    <m/>
    <m/>
    <n v="0"/>
    <n v="2"/>
    <n v="86675"/>
    <n v="141834.97"/>
    <n v="2"/>
    <n v="86675"/>
    <n v="141834.97"/>
    <n v="0"/>
    <n v="0"/>
    <n v="0"/>
    <n v="0"/>
    <n v="0"/>
    <n v="0"/>
    <n v="0"/>
    <n v="0"/>
    <n v="0"/>
    <n v="0"/>
    <n v="0"/>
    <n v="0"/>
    <n v="5"/>
    <n v="74185"/>
    <n v="303490.83500000002"/>
    <n v="5"/>
    <n v="74185"/>
    <n v="303490.83500000002"/>
    <n v="0"/>
    <n v="0"/>
    <n v="0"/>
    <n v="0"/>
    <n v="0"/>
    <n v="0"/>
    <m/>
    <m/>
    <n v="0"/>
    <n v="0"/>
    <n v="0"/>
    <n v="0"/>
  </r>
  <r>
    <x v="6"/>
    <s v="McNeese State University"/>
    <m/>
    <n v="159717"/>
    <x v="3"/>
    <n v="61"/>
    <n v="80852"/>
    <n v="4931972"/>
    <n v="53"/>
    <n v="82305"/>
    <n v="4362165"/>
    <n v="52"/>
    <n v="65030"/>
    <n v="3381560"/>
    <n v="53"/>
    <n v="64028"/>
    <n v="3393484"/>
    <n v="134"/>
    <n v="55600"/>
    <n v="7450400"/>
    <n v="122"/>
    <n v="55716"/>
    <n v="6797352"/>
    <n v="50"/>
    <n v="41984"/>
    <n v="2099200"/>
    <n v="56"/>
    <n v="42485"/>
    <n v="2379160"/>
    <n v="0"/>
    <n v="0"/>
    <n v="0"/>
    <n v="0"/>
    <n v="0"/>
    <n v="0"/>
    <m/>
    <m/>
    <n v="0"/>
    <n v="0"/>
    <n v="0"/>
    <n v="0"/>
    <n v="0"/>
    <n v="0"/>
    <n v="0"/>
    <n v="0"/>
    <n v="0"/>
    <n v="0"/>
    <n v="2"/>
    <n v="65530"/>
    <n v="107233.292"/>
    <n v="0"/>
    <n v="0"/>
    <n v="0"/>
    <n v="16"/>
    <n v="56280"/>
    <n v="736772.73600000003"/>
    <n v="14"/>
    <n v="55144"/>
    <n v="631663.49120000005"/>
    <n v="1"/>
    <n v="42000"/>
    <n v="34364.400000000001"/>
    <n v="0"/>
    <n v="0"/>
    <n v="0"/>
    <n v="0"/>
    <n v="0"/>
    <n v="0"/>
    <n v="0"/>
    <n v="0"/>
    <n v="0"/>
    <m/>
    <m/>
    <n v="0"/>
    <n v="0"/>
    <n v="0"/>
    <n v="0"/>
  </r>
  <r>
    <x v="6"/>
    <s v="Nicholls State University "/>
    <m/>
    <n v="159966"/>
    <x v="3"/>
    <n v="31"/>
    <n v="72067"/>
    <n v="2234077"/>
    <n v="29"/>
    <n v="71210"/>
    <n v="2065090"/>
    <n v="54"/>
    <n v="58662"/>
    <n v="3167748"/>
    <n v="60"/>
    <n v="58696"/>
    <n v="3521760"/>
    <n v="78"/>
    <n v="50197"/>
    <n v="3915366"/>
    <n v="71"/>
    <n v="51280"/>
    <n v="3640880"/>
    <n v="71"/>
    <n v="39265"/>
    <n v="2787815"/>
    <n v="80"/>
    <n v="39467"/>
    <n v="3157360"/>
    <n v="0"/>
    <n v="0"/>
    <n v="0"/>
    <n v="0"/>
    <n v="0"/>
    <n v="0"/>
    <m/>
    <m/>
    <n v="0"/>
    <n v="0"/>
    <n v="0"/>
    <n v="0"/>
    <n v="4"/>
    <n v="92547"/>
    <n v="302887.82160000002"/>
    <n v="3"/>
    <n v="90662"/>
    <n v="222538.94520000002"/>
    <n v="7"/>
    <n v="60756"/>
    <n v="347973.91440000001"/>
    <n v="8"/>
    <n v="63239"/>
    <n v="413937.19839999999"/>
    <n v="8"/>
    <n v="52472"/>
    <n v="343460.72320000001"/>
    <n v="8"/>
    <n v="53505"/>
    <n v="350222.32800000004"/>
    <n v="3"/>
    <n v="63858"/>
    <n v="156745.8468"/>
    <n v="1"/>
    <n v="75000"/>
    <n v="61365"/>
    <n v="0"/>
    <n v="0"/>
    <n v="0"/>
    <n v="0"/>
    <n v="0"/>
    <n v="0"/>
    <m/>
    <m/>
    <n v="0"/>
    <n v="0"/>
    <n v="0"/>
    <n v="0"/>
  </r>
  <r>
    <x v="6"/>
    <s v="Northwestern State University"/>
    <m/>
    <n v="160038"/>
    <x v="3"/>
    <n v="53"/>
    <n v="71766"/>
    <n v="3803598"/>
    <n v="47"/>
    <n v="70532"/>
    <n v="3315004"/>
    <n v="57"/>
    <n v="57224"/>
    <n v="3261768"/>
    <n v="55"/>
    <n v="56005"/>
    <n v="3080275"/>
    <n v="98"/>
    <n v="48738"/>
    <n v="4776324"/>
    <n v="85"/>
    <n v="48485"/>
    <n v="4121225"/>
    <n v="39"/>
    <n v="41737"/>
    <n v="1627743"/>
    <n v="48"/>
    <n v="40750"/>
    <n v="1956000"/>
    <n v="0"/>
    <n v="0"/>
    <n v="0"/>
    <n v="0"/>
    <n v="0"/>
    <n v="0"/>
    <m/>
    <m/>
    <n v="0"/>
    <n v="0"/>
    <n v="0"/>
    <n v="0"/>
    <n v="4"/>
    <n v="87216"/>
    <n v="285440.52480000001"/>
    <n v="3"/>
    <n v="102022"/>
    <n v="250423.20120000001"/>
    <n v="9"/>
    <n v="73437"/>
    <n v="540775.38060000003"/>
    <n v="9"/>
    <n v="70474"/>
    <n v="518956.4412"/>
    <n v="11"/>
    <n v="58855"/>
    <n v="529706.77100000007"/>
    <n v="11"/>
    <n v="57658"/>
    <n v="518933.53160000005"/>
    <n v="4"/>
    <n v="55910"/>
    <n v="182982.24800000002"/>
    <n v="4"/>
    <n v="56555"/>
    <n v="185093.204"/>
    <n v="0"/>
    <n v="0"/>
    <n v="0"/>
    <n v="0"/>
    <n v="0"/>
    <n v="0"/>
    <m/>
    <m/>
    <n v="0"/>
    <n v="0"/>
    <n v="0"/>
    <n v="0"/>
  </r>
  <r>
    <x v="6"/>
    <s v="Southern University at New Orleans"/>
    <m/>
    <n v="160630"/>
    <x v="3"/>
    <n v="13"/>
    <n v="63524"/>
    <n v="825812"/>
    <n v="15"/>
    <n v="61008"/>
    <n v="915120"/>
    <n v="26"/>
    <n v="53389"/>
    <n v="1388114"/>
    <n v="22"/>
    <n v="53926"/>
    <n v="1186372"/>
    <n v="54"/>
    <n v="48602"/>
    <n v="2624508"/>
    <n v="60"/>
    <n v="49900"/>
    <n v="2994000"/>
    <n v="4"/>
    <n v="39000"/>
    <n v="156000"/>
    <n v="7"/>
    <n v="41571"/>
    <n v="290997"/>
    <n v="0"/>
    <n v="0"/>
    <n v="0"/>
    <n v="0"/>
    <n v="0"/>
    <n v="0"/>
    <m/>
    <m/>
    <n v="0"/>
    <n v="0"/>
    <n v="0"/>
    <n v="0"/>
    <n v="1"/>
    <n v="86882"/>
    <n v="71086.852400000003"/>
    <n v="1"/>
    <n v="86882"/>
    <n v="71086.852400000003"/>
    <n v="2"/>
    <n v="64055"/>
    <n v="104819.602"/>
    <n v="0"/>
    <n v="0"/>
    <n v="0"/>
    <n v="6"/>
    <n v="61009"/>
    <n v="299505.38280000002"/>
    <n v="4"/>
    <n v="63076"/>
    <n v="206435.13280000002"/>
    <n v="1"/>
    <n v="36500"/>
    <n v="29864.300000000003"/>
    <n v="1"/>
    <n v="36500"/>
    <n v="29864.300000000003"/>
    <n v="0"/>
    <n v="0"/>
    <n v="0"/>
    <n v="0"/>
    <n v="0"/>
    <n v="0"/>
    <m/>
    <m/>
    <n v="0"/>
    <n v="0"/>
    <n v="0"/>
    <n v="0"/>
  </r>
  <r>
    <x v="6"/>
    <s v="Louisiana State University at Alexandria"/>
    <s v="Reclassified: Met the criteria for Four-Year 6 in 2009-10, 2010-11 and 2011-12."/>
    <n v="159382"/>
    <x v="5"/>
    <n v="15"/>
    <n v="58388"/>
    <n v="875820"/>
    <n v="12"/>
    <n v="59021"/>
    <n v="708252"/>
    <n v="23"/>
    <n v="47223"/>
    <n v="1086129"/>
    <n v="28"/>
    <n v="47132"/>
    <n v="1319696"/>
    <n v="34"/>
    <n v="46573"/>
    <n v="1583482"/>
    <n v="34"/>
    <n v="46420"/>
    <n v="1578280"/>
    <n v="13"/>
    <n v="38955"/>
    <n v="506415"/>
    <n v="10"/>
    <n v="39224"/>
    <n v="392240"/>
    <n v="0"/>
    <n v="0"/>
    <n v="0"/>
    <n v="0"/>
    <n v="0"/>
    <n v="0"/>
    <m/>
    <m/>
    <n v="0"/>
    <n v="0"/>
    <n v="0"/>
    <n v="0"/>
    <n v="5"/>
    <n v="79821"/>
    <n v="326547.71100000001"/>
    <n v="5"/>
    <n v="84764"/>
    <n v="346769.52400000003"/>
    <n v="5"/>
    <n v="58701"/>
    <n v="240145.791"/>
    <n v="5"/>
    <n v="65983"/>
    <n v="269936.45300000004"/>
    <n v="2"/>
    <n v="45014"/>
    <n v="73660.909599999999"/>
    <n v="1"/>
    <n v="42000"/>
    <n v="34364.400000000001"/>
    <n v="0"/>
    <n v="0"/>
    <n v="0"/>
    <n v="0"/>
    <n v="0"/>
    <n v="0"/>
    <n v="0"/>
    <n v="0"/>
    <n v="0"/>
    <n v="0"/>
    <n v="0"/>
    <n v="0"/>
    <m/>
    <m/>
    <n v="0"/>
    <n v="0"/>
    <n v="0"/>
    <n v="0"/>
  </r>
  <r>
    <x v="6"/>
    <s v="Baton Rouge Community College"/>
    <m/>
    <n v="437103"/>
    <x v="6"/>
    <n v="3"/>
    <n v="54135"/>
    <n v="162405"/>
    <n v="3"/>
    <n v="57335"/>
    <n v="172005"/>
    <n v="41"/>
    <n v="47295"/>
    <n v="1939095"/>
    <n v="40"/>
    <n v="49526"/>
    <n v="1981040"/>
    <n v="33"/>
    <n v="49853"/>
    <n v="1645149"/>
    <n v="40"/>
    <n v="44437"/>
    <n v="1777480"/>
    <n v="54"/>
    <n v="41628"/>
    <n v="2247912"/>
    <n v="58"/>
    <n v="42382"/>
    <n v="2458156"/>
    <n v="0"/>
    <n v="0"/>
    <n v="0"/>
    <n v="0"/>
    <n v="0"/>
    <n v="0"/>
    <m/>
    <m/>
    <n v="0"/>
    <n v="0"/>
    <n v="0"/>
    <n v="0"/>
    <n v="0"/>
    <n v="0"/>
    <n v="0"/>
    <n v="0"/>
    <n v="0"/>
    <n v="0"/>
    <n v="4"/>
    <n v="64761"/>
    <n v="211949.8008"/>
    <n v="6"/>
    <n v="65329"/>
    <n v="320713.12680000003"/>
    <n v="2"/>
    <n v="48172"/>
    <n v="78828.660799999998"/>
    <n v="0"/>
    <n v="0"/>
    <n v="0"/>
    <n v="0"/>
    <n v="0"/>
    <n v="0"/>
    <n v="0"/>
    <n v="0"/>
    <n v="0"/>
    <n v="0"/>
    <n v="0"/>
    <n v="0"/>
    <n v="0"/>
    <n v="0"/>
    <n v="0"/>
    <m/>
    <m/>
    <n v="0"/>
    <n v="0"/>
    <n v="0"/>
    <n v="0"/>
  </r>
  <r>
    <x v="6"/>
    <s v="Delgado Community College "/>
    <m/>
    <n v="158662"/>
    <x v="6"/>
    <n v="68"/>
    <n v="79913"/>
    <n v="5434084"/>
    <n v="63"/>
    <n v="79455"/>
    <n v="5005665"/>
    <n v="49"/>
    <n v="73252"/>
    <n v="3589348"/>
    <n v="55"/>
    <n v="71363"/>
    <n v="3924965"/>
    <n v="101"/>
    <n v="65509"/>
    <n v="6616409"/>
    <n v="94"/>
    <n v="62507"/>
    <n v="5875658"/>
    <n v="126"/>
    <n v="50844"/>
    <n v="6406344"/>
    <n v="165"/>
    <n v="49300"/>
    <n v="8134500"/>
    <n v="125"/>
    <n v="38882"/>
    <n v="4860250"/>
    <n v="0"/>
    <n v="0"/>
    <n v="0"/>
    <n v="8"/>
    <n v="39308"/>
    <n v="314464"/>
    <n v="115"/>
    <n v="39627"/>
    <n v="4557105"/>
    <n v="5"/>
    <n v="92073"/>
    <n v="376670.64300000004"/>
    <n v="5"/>
    <n v="97486"/>
    <n v="398815.22600000002"/>
    <n v="1"/>
    <n v="83511"/>
    <n v="68328.700200000007"/>
    <n v="1"/>
    <n v="79011"/>
    <n v="64646.800200000005"/>
    <n v="6"/>
    <n v="58954"/>
    <n v="289416.9768"/>
    <n v="6"/>
    <n v="65484"/>
    <n v="321474.0528"/>
    <n v="6"/>
    <n v="57098"/>
    <n v="280305.50160000002"/>
    <n v="8"/>
    <n v="51312"/>
    <n v="335867.8272"/>
    <n v="0"/>
    <n v="0"/>
    <n v="0"/>
    <n v="0"/>
    <n v="0"/>
    <n v="0"/>
    <m/>
    <m/>
    <n v="0"/>
    <n v="6"/>
    <n v="38635"/>
    <n v="189666.94200000001"/>
  </r>
  <r>
    <x v="6"/>
    <s v="Bossier Parish Community College"/>
    <s v="Met the criteria for Two-Year 1 in 2010-11 and 2011-12."/>
    <n v="158431"/>
    <x v="7"/>
    <n v="19"/>
    <n v="53030"/>
    <n v="1007570"/>
    <n v="23"/>
    <n v="69350"/>
    <n v="1595050"/>
    <n v="20"/>
    <n v="49710"/>
    <n v="994200"/>
    <n v="19"/>
    <n v="63221"/>
    <n v="1201199"/>
    <n v="29"/>
    <n v="41124"/>
    <n v="1192596"/>
    <n v="26"/>
    <n v="52167"/>
    <n v="1356342"/>
    <n v="49"/>
    <n v="40430"/>
    <n v="1981070"/>
    <n v="63"/>
    <n v="51959"/>
    <n v="3273417"/>
    <n v="0"/>
    <n v="0"/>
    <n v="0"/>
    <n v="0"/>
    <n v="0"/>
    <n v="0"/>
    <m/>
    <m/>
    <n v="0"/>
    <n v="0"/>
    <n v="0"/>
    <n v="0"/>
    <n v="0"/>
    <n v="0"/>
    <n v="0"/>
    <n v="0"/>
    <n v="0"/>
    <n v="0"/>
    <n v="0"/>
    <n v="0"/>
    <n v="0"/>
    <n v="0"/>
    <n v="0"/>
    <n v="0"/>
    <n v="0"/>
    <n v="0"/>
    <n v="0"/>
    <n v="0"/>
    <n v="0"/>
    <n v="0"/>
    <n v="0"/>
    <n v="0"/>
    <n v="0"/>
    <n v="1"/>
    <n v="46000"/>
    <n v="37637.200000000004"/>
    <n v="0"/>
    <n v="0"/>
    <n v="0"/>
    <n v="0"/>
    <n v="0"/>
    <n v="0"/>
    <m/>
    <m/>
    <n v="0"/>
    <n v="0"/>
    <n v="0"/>
    <n v="0"/>
  </r>
  <r>
    <x v="6"/>
    <s v="Louisiana State University at Eunice"/>
    <m/>
    <n v="159407"/>
    <x v="7"/>
    <n v="14"/>
    <n v="59879"/>
    <n v="838306"/>
    <n v="14"/>
    <n v="58191"/>
    <n v="814674"/>
    <n v="13"/>
    <n v="48535"/>
    <n v="630955"/>
    <n v="13"/>
    <n v="48340"/>
    <n v="628420"/>
    <n v="8"/>
    <n v="41115"/>
    <n v="328920"/>
    <n v="6"/>
    <n v="41466"/>
    <n v="248796"/>
    <n v="21"/>
    <n v="39899"/>
    <n v="837879"/>
    <n v="24"/>
    <n v="39905"/>
    <n v="957720"/>
    <n v="0"/>
    <n v="0"/>
    <n v="0"/>
    <n v="0"/>
    <n v="0"/>
    <n v="0"/>
    <m/>
    <m/>
    <n v="0"/>
    <n v="0"/>
    <n v="0"/>
    <n v="0"/>
    <n v="1"/>
    <n v="69473"/>
    <n v="56842.808600000004"/>
    <n v="2"/>
    <n v="74411"/>
    <n v="121766.16040000001"/>
    <n v="3"/>
    <n v="72783"/>
    <n v="178653.15180000002"/>
    <n v="4"/>
    <n v="66135"/>
    <n v="216446.628"/>
    <n v="2"/>
    <n v="58770"/>
    <n v="96171.228000000003"/>
    <n v="0"/>
    <n v="0"/>
    <n v="0"/>
    <n v="3"/>
    <n v="49867"/>
    <n v="122403.53820000001"/>
    <n v="3"/>
    <n v="49867"/>
    <n v="122403.53820000001"/>
    <n v="0"/>
    <n v="0"/>
    <n v="0"/>
    <n v="0"/>
    <n v="0"/>
    <n v="0"/>
    <m/>
    <m/>
    <n v="0"/>
    <n v="0"/>
    <n v="0"/>
    <n v="0"/>
  </r>
  <r>
    <x v="6"/>
    <s v="South Louisiana Community College"/>
    <m/>
    <n v="434061"/>
    <x v="7"/>
    <m/>
    <m/>
    <n v="0"/>
    <n v="0"/>
    <n v="0"/>
    <n v="0"/>
    <n v="0"/>
    <n v="0"/>
    <n v="0"/>
    <n v="0"/>
    <n v="0"/>
    <n v="0"/>
    <n v="5"/>
    <n v="47821"/>
    <n v="239105"/>
    <n v="4"/>
    <n v="49697"/>
    <n v="198788"/>
    <n v="41"/>
    <n v="36328"/>
    <n v="1489448"/>
    <n v="54"/>
    <n v="36784"/>
    <n v="1986336"/>
    <n v="0"/>
    <n v="0"/>
    <n v="0"/>
    <n v="0"/>
    <n v="0"/>
    <n v="0"/>
    <m/>
    <m/>
    <n v="0"/>
    <n v="0"/>
    <n v="0"/>
    <n v="0"/>
    <m/>
    <m/>
    <n v="0"/>
    <n v="0"/>
    <n v="0"/>
    <n v="0"/>
    <n v="0"/>
    <n v="0"/>
    <n v="0"/>
    <n v="0"/>
    <n v="0"/>
    <n v="0"/>
    <n v="0"/>
    <n v="0"/>
    <n v="0"/>
    <n v="0"/>
    <n v="0"/>
    <n v="0"/>
    <n v="0"/>
    <n v="0"/>
    <n v="0"/>
    <n v="0"/>
    <n v="0"/>
    <n v="0"/>
    <n v="0"/>
    <n v="0"/>
    <n v="0"/>
    <n v="0"/>
    <n v="0"/>
    <n v="0"/>
    <m/>
    <m/>
    <n v="0"/>
    <n v="0"/>
    <n v="0"/>
    <n v="0"/>
  </r>
  <r>
    <x v="6"/>
    <s v="Louisiana Delta Community College"/>
    <s v="Met the criteria for Two-Year 2 in 2011-12."/>
    <n v="440624"/>
    <x v="8"/>
    <n v="1"/>
    <n v="40000"/>
    <n v="40000"/>
    <n v="1"/>
    <n v="40000"/>
    <n v="40000"/>
    <n v="9"/>
    <n v="43879"/>
    <n v="394911"/>
    <n v="10"/>
    <n v="43704"/>
    <n v="437040"/>
    <n v="11"/>
    <n v="44348"/>
    <n v="487828"/>
    <n v="12"/>
    <n v="44501"/>
    <n v="534012"/>
    <n v="15"/>
    <n v="35874"/>
    <n v="538110"/>
    <n v="20"/>
    <n v="35704"/>
    <n v="714080"/>
    <n v="0"/>
    <n v="0"/>
    <n v="0"/>
    <n v="0"/>
    <n v="0"/>
    <n v="0"/>
    <m/>
    <m/>
    <n v="0"/>
    <n v="0"/>
    <n v="0"/>
    <n v="0"/>
    <n v="3"/>
    <n v="59546"/>
    <n v="146161.6116"/>
    <n v="3"/>
    <n v="59546"/>
    <n v="146161.6116"/>
    <n v="0"/>
    <n v="0"/>
    <n v="0"/>
    <n v="0"/>
    <n v="0"/>
    <n v="0"/>
    <n v="1"/>
    <n v="55765"/>
    <n v="45626.923000000003"/>
    <n v="1"/>
    <n v="55765"/>
    <n v="45626.923000000003"/>
    <n v="12"/>
    <n v="46810"/>
    <n v="459599.304"/>
    <n v="12"/>
    <n v="46808"/>
    <n v="459579.66720000003"/>
    <n v="0"/>
    <n v="0"/>
    <n v="0"/>
    <n v="0"/>
    <n v="0"/>
    <n v="0"/>
    <m/>
    <m/>
    <n v="0"/>
    <n v="0"/>
    <n v="0"/>
    <n v="0"/>
  </r>
  <r>
    <x v="6"/>
    <s v="Nunez Community College"/>
    <m/>
    <n v="158884"/>
    <x v="8"/>
    <n v="5"/>
    <n v="54482"/>
    <n v="272410"/>
    <n v="5"/>
    <n v="52920"/>
    <n v="264600"/>
    <n v="12"/>
    <n v="49751"/>
    <n v="597012"/>
    <n v="15"/>
    <n v="48508"/>
    <n v="727620"/>
    <n v="10"/>
    <n v="43110"/>
    <n v="431100"/>
    <n v="6"/>
    <n v="41550"/>
    <n v="249300"/>
    <n v="13"/>
    <n v="44385"/>
    <n v="577005"/>
    <n v="10"/>
    <n v="47700"/>
    <n v="477000"/>
    <n v="0"/>
    <n v="0"/>
    <n v="0"/>
    <n v="0"/>
    <n v="0"/>
    <n v="0"/>
    <m/>
    <m/>
    <n v="0"/>
    <n v="0"/>
    <n v="0"/>
    <n v="0"/>
    <m/>
    <m/>
    <n v="0"/>
    <n v="0"/>
    <n v="0"/>
    <n v="0"/>
    <n v="0"/>
    <n v="0"/>
    <n v="0"/>
    <n v="0"/>
    <n v="0"/>
    <n v="0"/>
    <n v="1"/>
    <n v="71000"/>
    <n v="58092.200000000004"/>
    <n v="1"/>
    <n v="71000"/>
    <n v="58092.200000000004"/>
    <n v="0"/>
    <n v="0"/>
    <n v="0"/>
    <n v="1"/>
    <n v="75000"/>
    <n v="61365"/>
    <n v="0"/>
    <n v="0"/>
    <n v="0"/>
    <n v="0"/>
    <n v="0"/>
    <n v="0"/>
    <m/>
    <m/>
    <n v="0"/>
    <n v="0"/>
    <n v="0"/>
    <n v="0"/>
  </r>
  <r>
    <x v="6"/>
    <s v="River Parishes Community College"/>
    <m/>
    <n v="436304"/>
    <x v="8"/>
    <m/>
    <m/>
    <n v="0"/>
    <n v="0"/>
    <n v="0"/>
    <n v="0"/>
    <n v="2"/>
    <n v="52024"/>
    <n v="104048"/>
    <n v="4"/>
    <n v="48518"/>
    <n v="194072"/>
    <n v="11"/>
    <n v="40693"/>
    <n v="447623"/>
    <n v="14"/>
    <n v="39327"/>
    <n v="550578"/>
    <n v="16"/>
    <n v="29385"/>
    <n v="470160"/>
    <n v="25"/>
    <n v="35679"/>
    <n v="891975"/>
    <n v="0"/>
    <n v="0"/>
    <n v="0"/>
    <n v="0"/>
    <n v="0"/>
    <n v="0"/>
    <m/>
    <m/>
    <n v="0"/>
    <n v="0"/>
    <n v="0"/>
    <n v="0"/>
    <m/>
    <m/>
    <n v="0"/>
    <n v="0"/>
    <n v="0"/>
    <n v="0"/>
    <n v="0"/>
    <n v="0"/>
    <n v="0"/>
    <n v="1"/>
    <n v="49409"/>
    <n v="40426.443800000001"/>
    <n v="0"/>
    <n v="0"/>
    <n v="0"/>
    <n v="1"/>
    <n v="55000"/>
    <n v="45001"/>
    <n v="1"/>
    <n v="55000"/>
    <n v="45001"/>
    <n v="3"/>
    <n v="48698"/>
    <n v="119534.11080000001"/>
    <n v="0"/>
    <n v="0"/>
    <n v="0"/>
    <n v="0"/>
    <n v="0"/>
    <n v="0"/>
    <m/>
    <m/>
    <n v="0"/>
    <n v="0"/>
    <n v="0"/>
    <n v="0"/>
  </r>
  <r>
    <x v="6"/>
    <s v="Southern University in Shreveport"/>
    <s v="Met the criteria for Two-Year 2 in 2011-12."/>
    <n v="160649"/>
    <x v="8"/>
    <n v="4"/>
    <n v="58234"/>
    <n v="232936"/>
    <n v="5"/>
    <n v="47795"/>
    <n v="238975"/>
    <n v="17"/>
    <n v="46559"/>
    <n v="791503"/>
    <n v="15"/>
    <n v="45888"/>
    <n v="688320"/>
    <n v="25"/>
    <n v="42548"/>
    <n v="1063700"/>
    <n v="26"/>
    <n v="43489"/>
    <n v="1130714"/>
    <n v="13"/>
    <n v="41377"/>
    <n v="537901"/>
    <n v="12"/>
    <n v="39626"/>
    <n v="475512"/>
    <n v="0"/>
    <n v="0"/>
    <n v="0"/>
    <n v="0"/>
    <n v="0"/>
    <n v="0"/>
    <m/>
    <m/>
    <n v="0"/>
    <n v="0"/>
    <n v="0"/>
    <n v="0"/>
    <m/>
    <m/>
    <n v="0"/>
    <n v="0"/>
    <n v="0"/>
    <n v="0"/>
    <n v="3"/>
    <n v="90484"/>
    <n v="222102.0264"/>
    <n v="1"/>
    <n v="85764"/>
    <n v="70172.104800000001"/>
    <n v="8"/>
    <n v="55780"/>
    <n v="365113.56800000003"/>
    <n v="9"/>
    <n v="55945"/>
    <n v="411967.79100000003"/>
    <n v="17"/>
    <n v="42474"/>
    <n v="590787.85560000001"/>
    <n v="24"/>
    <n v="40001"/>
    <n v="785491.63680000009"/>
    <n v="0"/>
    <n v="0"/>
    <n v="0"/>
    <n v="0"/>
    <n v="0"/>
    <n v="0"/>
    <m/>
    <m/>
    <n v="0"/>
    <n v="0"/>
    <n v="0"/>
    <n v="0"/>
  </r>
  <r>
    <x v="6"/>
    <s v="Acadiana Technical College"/>
    <m/>
    <n v="159443"/>
    <x v="9"/>
    <m/>
    <m/>
    <n v="0"/>
    <n v="1"/>
    <n v="54040"/>
    <n v="54040"/>
    <m/>
    <m/>
    <n v="0"/>
    <n v="0"/>
    <n v="0"/>
    <n v="0"/>
    <m/>
    <m/>
    <n v="0"/>
    <n v="1"/>
    <n v="42205"/>
    <n v="42205"/>
    <m/>
    <m/>
    <n v="0"/>
    <n v="19"/>
    <n v="33339"/>
    <n v="633441"/>
    <m/>
    <m/>
    <n v="0"/>
    <n v="0"/>
    <n v="0"/>
    <n v="0"/>
    <m/>
    <m/>
    <n v="0"/>
    <n v="0"/>
    <n v="0"/>
    <n v="0"/>
    <m/>
    <m/>
    <n v="0"/>
    <n v="30"/>
    <n v="45899"/>
    <n v="1126636.8540000001"/>
    <m/>
    <m/>
    <n v="0"/>
    <n v="6"/>
    <n v="48941"/>
    <n v="240261.15720000002"/>
    <m/>
    <m/>
    <n v="0"/>
    <n v="10"/>
    <n v="48910"/>
    <n v="400181.62"/>
    <m/>
    <m/>
    <n v="0"/>
    <n v="62"/>
    <n v="44505"/>
    <n v="2257667.4420000003"/>
    <m/>
    <m/>
    <n v="0"/>
    <n v="0"/>
    <n v="0"/>
    <n v="0"/>
    <m/>
    <m/>
    <n v="0"/>
    <n v="0"/>
    <n v="0"/>
    <n v="0"/>
  </r>
  <r>
    <x v="6"/>
    <s v="Capital Area Technical College"/>
    <m/>
    <n v="158352"/>
    <x v="9"/>
    <m/>
    <m/>
    <n v="0"/>
    <m/>
    <m/>
    <n v="0"/>
    <m/>
    <m/>
    <n v="0"/>
    <n v="0"/>
    <n v="0"/>
    <n v="0"/>
    <m/>
    <m/>
    <n v="0"/>
    <n v="0"/>
    <n v="0"/>
    <n v="0"/>
    <m/>
    <m/>
    <n v="0"/>
    <n v="2"/>
    <n v="35615"/>
    <n v="71230"/>
    <m/>
    <m/>
    <n v="0"/>
    <n v="0"/>
    <n v="0"/>
    <n v="0"/>
    <m/>
    <m/>
    <n v="0"/>
    <n v="0"/>
    <n v="0"/>
    <n v="0"/>
    <m/>
    <m/>
    <n v="0"/>
    <n v="1"/>
    <n v="56886"/>
    <n v="46544.125200000002"/>
    <m/>
    <m/>
    <n v="0"/>
    <n v="0"/>
    <n v="0"/>
    <n v="0"/>
    <m/>
    <m/>
    <n v="0"/>
    <n v="6"/>
    <n v="54207"/>
    <n v="266113.00440000003"/>
    <m/>
    <m/>
    <n v="0"/>
    <n v="60"/>
    <n v="49887"/>
    <n v="2449052.6040000003"/>
    <m/>
    <m/>
    <n v="0"/>
    <n v="0"/>
    <n v="0"/>
    <n v="0"/>
    <m/>
    <m/>
    <n v="0"/>
    <n v="0"/>
    <n v="0"/>
    <n v="0"/>
  </r>
  <r>
    <x v="6"/>
    <s v="Central LA Technical College"/>
    <m/>
    <n v="158088"/>
    <x v="9"/>
    <m/>
    <m/>
    <n v="0"/>
    <n v="1"/>
    <n v="38324"/>
    <n v="38324"/>
    <m/>
    <m/>
    <n v="0"/>
    <n v="2"/>
    <n v="34852"/>
    <n v="69704"/>
    <m/>
    <m/>
    <n v="0"/>
    <n v="0"/>
    <n v="0"/>
    <n v="0"/>
    <m/>
    <m/>
    <n v="0"/>
    <n v="32"/>
    <n v="34057"/>
    <n v="1089824"/>
    <m/>
    <m/>
    <n v="0"/>
    <n v="0"/>
    <n v="0"/>
    <n v="0"/>
    <m/>
    <m/>
    <n v="0"/>
    <n v="0"/>
    <n v="0"/>
    <n v="0"/>
    <m/>
    <m/>
    <n v="0"/>
    <n v="13"/>
    <n v="54053"/>
    <n v="574940.1398"/>
    <m/>
    <m/>
    <n v="0"/>
    <n v="0"/>
    <n v="0"/>
    <n v="0"/>
    <m/>
    <m/>
    <n v="0"/>
    <n v="0"/>
    <n v="0"/>
    <n v="0"/>
    <m/>
    <m/>
    <n v="0"/>
    <n v="36"/>
    <n v="47520"/>
    <n v="1399711.1040000001"/>
    <m/>
    <m/>
    <n v="0"/>
    <n v="0"/>
    <n v="0"/>
    <n v="0"/>
    <m/>
    <m/>
    <n v="0"/>
    <n v="0"/>
    <n v="0"/>
    <n v="0"/>
  </r>
  <r>
    <x v="6"/>
    <s v="L.E. Fletcher Technical Community College"/>
    <s v="Reclassified: Met the criteria for Technical Institute or College 1 in 2009-10, 2010-11 and 2011-12."/>
    <n v="160481"/>
    <x v="9"/>
    <m/>
    <m/>
    <n v="0"/>
    <m/>
    <m/>
    <n v="0"/>
    <n v="0"/>
    <n v="0"/>
    <n v="0"/>
    <n v="0"/>
    <n v="0"/>
    <n v="0"/>
    <m/>
    <m/>
    <n v="0"/>
    <n v="1"/>
    <n v="38552"/>
    <n v="38552"/>
    <n v="30"/>
    <n v="34661"/>
    <n v="1039830"/>
    <n v="30"/>
    <n v="28194"/>
    <n v="845820"/>
    <n v="5"/>
    <n v="26200"/>
    <n v="131000"/>
    <n v="6"/>
    <n v="26333"/>
    <n v="157998"/>
    <m/>
    <m/>
    <n v="0"/>
    <m/>
    <m/>
    <n v="0"/>
    <m/>
    <m/>
    <n v="0"/>
    <n v="0"/>
    <n v="0"/>
    <n v="0"/>
    <n v="0"/>
    <n v="0"/>
    <n v="0"/>
    <n v="0"/>
    <n v="0"/>
    <n v="0"/>
    <n v="1"/>
    <n v="64872"/>
    <n v="53078.270400000001"/>
    <n v="1"/>
    <n v="64872"/>
    <n v="53078.270400000001"/>
    <n v="17"/>
    <n v="52147"/>
    <n v="725333.48180000007"/>
    <n v="19"/>
    <n v="52975"/>
    <n v="823538.755"/>
    <n v="0"/>
    <n v="0"/>
    <n v="0"/>
    <n v="0"/>
    <n v="0"/>
    <n v="0"/>
    <m/>
    <m/>
    <n v="0"/>
    <n v="0"/>
    <n v="0"/>
    <n v="0"/>
  </r>
  <r>
    <x v="6"/>
    <s v="Northeast Technical College"/>
    <m/>
    <n v="158769"/>
    <x v="9"/>
    <m/>
    <m/>
    <n v="0"/>
    <m/>
    <m/>
    <n v="0"/>
    <m/>
    <m/>
    <n v="0"/>
    <n v="0"/>
    <n v="0"/>
    <n v="0"/>
    <m/>
    <m/>
    <n v="0"/>
    <n v="0"/>
    <n v="0"/>
    <n v="0"/>
    <m/>
    <m/>
    <n v="0"/>
    <n v="6"/>
    <n v="32476"/>
    <n v="194856"/>
    <m/>
    <m/>
    <n v="0"/>
    <n v="0"/>
    <n v="0"/>
    <n v="0"/>
    <m/>
    <m/>
    <n v="0"/>
    <n v="0"/>
    <n v="0"/>
    <n v="0"/>
    <m/>
    <m/>
    <n v="0"/>
    <n v="8"/>
    <n v="57763"/>
    <n v="378093.49280000001"/>
    <m/>
    <m/>
    <n v="0"/>
    <n v="0"/>
    <n v="0"/>
    <n v="0"/>
    <m/>
    <m/>
    <n v="0"/>
    <n v="1"/>
    <n v="46629"/>
    <n v="38151.847800000003"/>
    <m/>
    <m/>
    <n v="0"/>
    <n v="34"/>
    <n v="47089"/>
    <n v="1309959.4732000001"/>
    <m/>
    <m/>
    <n v="0"/>
    <n v="0"/>
    <n v="0"/>
    <n v="0"/>
    <m/>
    <m/>
    <n v="0"/>
    <n v="0"/>
    <n v="0"/>
    <n v="0"/>
  </r>
  <r>
    <x v="6"/>
    <s v="Northshore Technical College"/>
    <m/>
    <n v="160667"/>
    <x v="9"/>
    <m/>
    <m/>
    <n v="0"/>
    <n v="1"/>
    <n v="46966"/>
    <n v="46966"/>
    <m/>
    <m/>
    <n v="0"/>
    <n v="3"/>
    <n v="43341"/>
    <n v="130023"/>
    <m/>
    <m/>
    <n v="0"/>
    <n v="7"/>
    <n v="39384"/>
    <n v="275688"/>
    <m/>
    <m/>
    <n v="0"/>
    <n v="33"/>
    <n v="36503"/>
    <n v="1204599"/>
    <m/>
    <m/>
    <n v="0"/>
    <n v="0"/>
    <n v="0"/>
    <n v="0"/>
    <m/>
    <m/>
    <n v="0"/>
    <n v="0"/>
    <n v="0"/>
    <n v="0"/>
    <m/>
    <m/>
    <n v="0"/>
    <n v="2"/>
    <n v="70481"/>
    <n v="115335.10840000001"/>
    <m/>
    <m/>
    <n v="0"/>
    <n v="2"/>
    <n v="53472"/>
    <n v="87501.580800000011"/>
    <m/>
    <m/>
    <n v="0"/>
    <n v="2"/>
    <n v="49109"/>
    <n v="80361.967600000004"/>
    <m/>
    <m/>
    <n v="0"/>
    <n v="16"/>
    <n v="45446"/>
    <n v="594942.67520000006"/>
    <m/>
    <m/>
    <n v="0"/>
    <n v="0"/>
    <n v="0"/>
    <n v="0"/>
    <m/>
    <m/>
    <n v="0"/>
    <n v="0"/>
    <n v="0"/>
    <n v="0"/>
  </r>
  <r>
    <x v="6"/>
    <s v="Northwest LA Technical College"/>
    <m/>
    <n v="160010"/>
    <x v="9"/>
    <m/>
    <m/>
    <n v="0"/>
    <n v="3"/>
    <n v="45016"/>
    <n v="135048"/>
    <m/>
    <m/>
    <n v="0"/>
    <n v="1"/>
    <n v="36135"/>
    <n v="36135"/>
    <m/>
    <m/>
    <n v="0"/>
    <n v="0"/>
    <n v="0"/>
    <n v="0"/>
    <m/>
    <m/>
    <n v="0"/>
    <n v="11"/>
    <n v="34339"/>
    <n v="377729"/>
    <m/>
    <m/>
    <n v="0"/>
    <n v="0"/>
    <n v="0"/>
    <n v="0"/>
    <m/>
    <m/>
    <n v="0"/>
    <n v="0"/>
    <n v="0"/>
    <n v="0"/>
    <m/>
    <m/>
    <n v="0"/>
    <n v="19"/>
    <n v="55025"/>
    <n v="855407.64500000002"/>
    <m/>
    <m/>
    <n v="0"/>
    <n v="3"/>
    <n v="43544"/>
    <n v="106883.1024"/>
    <m/>
    <m/>
    <n v="0"/>
    <n v="4"/>
    <n v="51372"/>
    <n v="168130.28160000002"/>
    <m/>
    <m/>
    <n v="0"/>
    <n v="58"/>
    <n v="40320"/>
    <n v="1913409.7920000001"/>
    <m/>
    <m/>
    <n v="0"/>
    <n v="0"/>
    <n v="0"/>
    <n v="0"/>
    <m/>
    <m/>
    <n v="0"/>
    <n v="0"/>
    <n v="0"/>
    <n v="0"/>
  </r>
  <r>
    <x v="6"/>
    <s v="South Central LA Technical College"/>
    <m/>
    <n v="160913"/>
    <x v="9"/>
    <m/>
    <m/>
    <n v="0"/>
    <m/>
    <m/>
    <n v="0"/>
    <m/>
    <m/>
    <n v="0"/>
    <n v="0"/>
    <n v="0"/>
    <n v="0"/>
    <m/>
    <m/>
    <n v="0"/>
    <n v="0"/>
    <n v="0"/>
    <n v="0"/>
    <m/>
    <m/>
    <n v="0"/>
    <n v="5"/>
    <n v="35073"/>
    <n v="175365"/>
    <m/>
    <m/>
    <n v="0"/>
    <n v="0"/>
    <n v="0"/>
    <n v="0"/>
    <m/>
    <m/>
    <n v="0"/>
    <n v="0"/>
    <n v="0"/>
    <n v="0"/>
    <m/>
    <m/>
    <n v="0"/>
    <n v="6"/>
    <n v="58956"/>
    <n v="289426.79519999999"/>
    <m/>
    <m/>
    <n v="0"/>
    <n v="1"/>
    <n v="56784"/>
    <n v="46460.668799999999"/>
    <m/>
    <m/>
    <n v="0"/>
    <n v="3"/>
    <n v="50542"/>
    <n v="124060.39320000001"/>
    <m/>
    <m/>
    <n v="0"/>
    <n v="41"/>
    <n v="48322"/>
    <n v="1621019.4764"/>
    <m/>
    <m/>
    <n v="0"/>
    <n v="0"/>
    <n v="0"/>
    <n v="0"/>
    <m/>
    <m/>
    <n v="0"/>
    <n v="0"/>
    <n v="0"/>
    <n v="0"/>
  </r>
  <r>
    <x v="6"/>
    <s v="Sowela Technical Community College"/>
    <m/>
    <n v="160579"/>
    <x v="9"/>
    <m/>
    <m/>
    <n v="0"/>
    <m/>
    <m/>
    <n v="0"/>
    <n v="0"/>
    <n v="0"/>
    <n v="0"/>
    <n v="0"/>
    <n v="0"/>
    <n v="0"/>
    <m/>
    <m/>
    <n v="0"/>
    <n v="0"/>
    <n v="0"/>
    <n v="0"/>
    <m/>
    <m/>
    <n v="0"/>
    <m/>
    <m/>
    <n v="0"/>
    <n v="0"/>
    <n v="0"/>
    <n v="0"/>
    <n v="0"/>
    <n v="0"/>
    <n v="0"/>
    <n v="29"/>
    <n v="36001"/>
    <n v="1044029"/>
    <n v="38"/>
    <n v="35963"/>
    <n v="1366594"/>
    <m/>
    <m/>
    <n v="0"/>
    <n v="0"/>
    <n v="0"/>
    <n v="0"/>
    <n v="0"/>
    <n v="0"/>
    <n v="0"/>
    <n v="0"/>
    <n v="0"/>
    <n v="0"/>
    <n v="0"/>
    <n v="0"/>
    <n v="0"/>
    <n v="0"/>
    <n v="0"/>
    <n v="0"/>
    <m/>
    <m/>
    <n v="0"/>
    <m/>
    <m/>
    <n v="0"/>
    <n v="0"/>
    <n v="0"/>
    <n v="0"/>
    <n v="0"/>
    <n v="0"/>
    <n v="0"/>
    <n v="37"/>
    <n v="54689"/>
    <n v="1655621.9726"/>
    <n v="36"/>
    <n v="54420"/>
    <n v="1602951.9840000002"/>
  </r>
  <r>
    <x v="7"/>
    <s v="University of Maryland College Park"/>
    <m/>
    <n v="163286"/>
    <x v="0"/>
    <n v="380"/>
    <n v="130142"/>
    <n v="49453960"/>
    <n v="375"/>
    <n v="131683.992"/>
    <n v="49381497"/>
    <n v="310"/>
    <n v="93505"/>
    <n v="28986550"/>
    <n v="326"/>
    <n v="94351.922999999995"/>
    <n v="30758726.897999998"/>
    <n v="255"/>
    <n v="81572"/>
    <n v="20800860"/>
    <n v="276"/>
    <n v="83534.993000000002"/>
    <n v="23055658.068"/>
    <n v="11"/>
    <n v="57027"/>
    <n v="627297"/>
    <n v="6"/>
    <n v="56219.5"/>
    <n v="337317"/>
    <n v="191"/>
    <n v="61163.413999999997"/>
    <n v="11682212.073999999"/>
    <n v="209"/>
    <n v="62970.11"/>
    <n v="13160752.99"/>
    <m/>
    <m/>
    <n v="0"/>
    <m/>
    <m/>
    <n v="0"/>
    <n v="273"/>
    <n v="171577"/>
    <n v="38324914.282200001"/>
    <n v="282"/>
    <n v="174256.62400000001"/>
    <n v="40206649.071417607"/>
    <n v="94"/>
    <n v="119753"/>
    <n v="9210299.0324000008"/>
    <n v="97"/>
    <n v="122626.495"/>
    <n v="9732300.8262729999"/>
    <n v="45"/>
    <n v="106849"/>
    <n v="3934073.3310000002"/>
    <n v="40"/>
    <n v="105375.77499999999"/>
    <n v="3448738.3642000002"/>
    <n v="7"/>
    <n v="78400.857000000004"/>
    <n v="449033.06838180008"/>
    <n v="6"/>
    <n v="78192.832999999999"/>
    <n v="383864.25576360006"/>
    <n v="47"/>
    <n v="64816.66"/>
    <n v="2492550.586964"/>
    <n v="51"/>
    <n v="68292.058999999994"/>
    <n v="2849704.6963637997"/>
    <m/>
    <m/>
    <n v="0"/>
    <m/>
    <m/>
    <n v="0"/>
  </r>
  <r>
    <x v="7"/>
    <s v="Morgan State University"/>
    <s v="Reclassified: Met the criteria for  Four-Year 2 in 2009-10, 2010-11 and 2011-12."/>
    <n v="163453"/>
    <x v="1"/>
    <n v="22"/>
    <n v="99993"/>
    <n v="2199846"/>
    <n v="24"/>
    <n v="108881.583"/>
    <n v="2613157.9920000001"/>
    <n v="97"/>
    <n v="79290"/>
    <n v="7691130"/>
    <n v="114"/>
    <n v="77935.797999999995"/>
    <n v="8884680.9719999991"/>
    <n v="102"/>
    <n v="67450"/>
    <n v="6879900"/>
    <n v="83"/>
    <n v="67340.759000000005"/>
    <n v="5589282.9970000004"/>
    <n v="6"/>
    <n v="48877"/>
    <n v="293262"/>
    <n v="4"/>
    <n v="44722.5"/>
    <n v="178890"/>
    <n v="180"/>
    <n v="45006.205999999998"/>
    <n v="8101117.0800000001"/>
    <n v="173"/>
    <n v="44868.578000000001"/>
    <n v="7762263.9939999999"/>
    <m/>
    <m/>
    <n v="0"/>
    <m/>
    <m/>
    <n v="0"/>
    <n v="22"/>
    <n v="124013"/>
    <n v="2232283.6052000001"/>
    <n v="26"/>
    <n v="123670.923"/>
    <n v="2630876.2791635999"/>
    <n v="26"/>
    <n v="103767"/>
    <n v="2207456.1444000001"/>
    <n v="23"/>
    <n v="102697.348"/>
    <n v="1932620.3130727999"/>
    <n v="6"/>
    <n v="79861"/>
    <n v="392053.62119999999"/>
    <n v="5"/>
    <n v="89176"/>
    <n v="364819.016"/>
    <m/>
    <m/>
    <n v="0"/>
    <m/>
    <m/>
    <n v="0"/>
    <n v="3"/>
    <n v="81828"/>
    <n v="200855.00880000001"/>
    <n v="3"/>
    <n v="73873"/>
    <n v="181328.66580000002"/>
    <m/>
    <m/>
    <n v="0"/>
    <m/>
    <m/>
    <n v="0"/>
  </r>
  <r>
    <x v="7"/>
    <s v="University of Maryland, Baltimore County"/>
    <m/>
    <n v="163268"/>
    <x v="1"/>
    <n v="105"/>
    <n v="104350"/>
    <n v="10956750"/>
    <n v="100"/>
    <n v="103648.14"/>
    <n v="10364814"/>
    <n v="130"/>
    <n v="77486"/>
    <n v="10073180"/>
    <n v="135"/>
    <n v="76607.148000000001"/>
    <n v="10341964.98"/>
    <n v="90"/>
    <n v="66479"/>
    <n v="5983110"/>
    <n v="84"/>
    <n v="67760.892999999996"/>
    <n v="5691915.0120000001"/>
    <n v="7"/>
    <n v="48332"/>
    <n v="338324"/>
    <n v="7"/>
    <n v="50862"/>
    <n v="356034"/>
    <n v="69"/>
    <n v="51413.696000000004"/>
    <n v="3547545.0240000002"/>
    <n v="70"/>
    <n v="51265.756999999998"/>
    <n v="3588602.9899999998"/>
    <m/>
    <m/>
    <n v="0"/>
    <m/>
    <m/>
    <n v="0"/>
    <n v="45"/>
    <n v="162036"/>
    <n v="5966003.4840000002"/>
    <n v="45"/>
    <n v="158888.28899999999"/>
    <n v="5850107.9126909999"/>
    <n v="20"/>
    <n v="96641"/>
    <n v="1581433.324"/>
    <n v="20"/>
    <n v="97009.600000000006"/>
    <n v="1587465.0944000001"/>
    <n v="5"/>
    <n v="82063"/>
    <n v="335719.73300000001"/>
    <n v="6"/>
    <n v="80433.832999999999"/>
    <n v="394865.77296360006"/>
    <n v="5"/>
    <n v="66097"/>
    <n v="270402.82699999999"/>
    <n v="5"/>
    <n v="67640.399999999994"/>
    <n v="276716.87640000001"/>
    <n v="5"/>
    <n v="66097"/>
    <n v="270402.82699999999"/>
    <n v="10"/>
    <n v="64714.1"/>
    <n v="529490.76620000007"/>
    <m/>
    <m/>
    <n v="0"/>
    <m/>
    <m/>
    <n v="0"/>
  </r>
  <r>
    <x v="7"/>
    <s v="Towson University "/>
    <m/>
    <n v="164076"/>
    <x v="2"/>
    <n v="159"/>
    <n v="88846"/>
    <n v="14126514"/>
    <n v="159"/>
    <n v="89322.559999999998"/>
    <n v="14202287.039999999"/>
    <n v="151"/>
    <n v="71414"/>
    <n v="10783514"/>
    <n v="163"/>
    <n v="70574.073999999993"/>
    <n v="11503574.061999999"/>
    <n v="289"/>
    <n v="61191"/>
    <n v="17684199"/>
    <n v="285"/>
    <n v="61844.964999999997"/>
    <n v="17625815.024999999"/>
    <n v="21"/>
    <n v="49596"/>
    <n v="1041516"/>
    <n v="22"/>
    <n v="50577.044999999998"/>
    <n v="1112694.99"/>
    <n v="167"/>
    <n v="39988.114000000001"/>
    <n v="6678015.0380000006"/>
    <n v="170"/>
    <n v="39680.976000000002"/>
    <n v="6745765.9200000009"/>
    <m/>
    <m/>
    <n v="0"/>
    <m/>
    <m/>
    <n v="0"/>
    <n v="30"/>
    <n v="110031"/>
    <n v="2700820.926"/>
    <n v="28"/>
    <n v="110843.929"/>
    <n v="2539390.0758184004"/>
    <n v="9"/>
    <n v="107040"/>
    <n v="788221.152"/>
    <n v="11"/>
    <n v="101481.909"/>
    <n v="913357.47738180007"/>
    <n v="4"/>
    <n v="83750"/>
    <n v="274097"/>
    <n v="3"/>
    <n v="78237.667000000001"/>
    <n v="192042.17741820001"/>
    <m/>
    <m/>
    <n v="0"/>
    <m/>
    <m/>
    <n v="0"/>
    <n v="0"/>
    <n v="0"/>
    <n v="0"/>
    <m/>
    <m/>
    <n v="0"/>
    <m/>
    <m/>
    <n v="0"/>
    <m/>
    <m/>
    <n v="0"/>
  </r>
  <r>
    <x v="7"/>
    <s v="Bowie State University "/>
    <m/>
    <n v="162007"/>
    <x v="3"/>
    <n v="26"/>
    <n v="88136"/>
    <n v="2291536"/>
    <n v="27"/>
    <n v="85866.148000000001"/>
    <n v="2318385.9959999998"/>
    <n v="32"/>
    <n v="71769"/>
    <n v="2296608"/>
    <n v="35"/>
    <n v="68833.171000000002"/>
    <n v="2409160.9849999999"/>
    <n v="90"/>
    <n v="62422"/>
    <n v="5617980"/>
    <n v="88"/>
    <n v="62199.432000000001"/>
    <n v="5473550.0159999998"/>
    <n v="7"/>
    <n v="57757"/>
    <n v="404299"/>
    <n v="5"/>
    <n v="58959"/>
    <n v="294795"/>
    <n v="30"/>
    <n v="51914.733"/>
    <n v="1557441.99"/>
    <n v="53"/>
    <n v="53181.697999999997"/>
    <n v="2818629.9939999999"/>
    <m/>
    <m/>
    <n v="0"/>
    <m/>
    <m/>
    <n v="0"/>
    <n v="6"/>
    <n v="108995"/>
    <n v="535078.25400000007"/>
    <n v="9"/>
    <n v="106743.667"/>
    <n v="786039.01505460008"/>
    <n v="5"/>
    <n v="92165"/>
    <n v="377047.01500000001"/>
    <n v="6"/>
    <n v="91633"/>
    <n v="449844.72360000003"/>
    <n v="5"/>
    <n v="78176"/>
    <n v="319818.016"/>
    <n v="2"/>
    <n v="80764.5"/>
    <n v="132163.02780000001"/>
    <m/>
    <m/>
    <n v="0"/>
    <m/>
    <m/>
    <n v="0"/>
    <n v="1"/>
    <n v="78762"/>
    <n v="64443.068400000004"/>
    <n v="1"/>
    <n v="78762"/>
    <n v="64443.068400000004"/>
    <m/>
    <m/>
    <n v="0"/>
    <m/>
    <m/>
    <n v="0"/>
  </r>
  <r>
    <x v="7"/>
    <s v="Coppin State University"/>
    <s v="Met the criteria for Four-Year 5 in 2010-11 and 2011-12."/>
    <n v="162283"/>
    <x v="3"/>
    <n v="21"/>
    <n v="86117"/>
    <n v="1808457"/>
    <n v="22"/>
    <n v="84861.273000000001"/>
    <n v="1866948.0060000001"/>
    <n v="27"/>
    <n v="66693"/>
    <n v="1800711"/>
    <n v="24"/>
    <n v="67722.042000000001"/>
    <n v="1625329.0079999999"/>
    <n v="74"/>
    <n v="60198"/>
    <n v="4454652"/>
    <n v="73"/>
    <n v="59792.356"/>
    <n v="4364841.9879999999"/>
    <n v="2"/>
    <n v="55596"/>
    <n v="111192"/>
    <n v="2"/>
    <n v="55595.5"/>
    <n v="111191"/>
    <n v="16"/>
    <n v="41140.938000000002"/>
    <n v="658255.00800000003"/>
    <n v="18"/>
    <n v="42501.055999999997"/>
    <n v="765019.00799999991"/>
    <m/>
    <m/>
    <n v="0"/>
    <m/>
    <m/>
    <n v="0"/>
    <n v="3"/>
    <n v="111872"/>
    <n v="274601.01120000001"/>
    <n v="3"/>
    <n v="126990.667"/>
    <n v="311711.2912182"/>
    <n v="2"/>
    <n v="82178"/>
    <n v="134476.07920000001"/>
    <n v="1"/>
    <n v="77000"/>
    <n v="63001.4"/>
    <n v="8"/>
    <n v="79927"/>
    <n v="523170.17120000004"/>
    <n v="8"/>
    <n v="82426.625"/>
    <n v="539531.71660000004"/>
    <m/>
    <m/>
    <n v="0"/>
    <n v="1"/>
    <n v="50000"/>
    <n v="40910"/>
    <n v="2"/>
    <n v="39205.5"/>
    <n v="64155.8802"/>
    <m/>
    <m/>
    <n v="0"/>
    <m/>
    <m/>
    <n v="0"/>
    <m/>
    <m/>
    <n v="0"/>
  </r>
  <r>
    <x v="7"/>
    <s v="Frostburg State University "/>
    <m/>
    <n v="162584"/>
    <x v="3"/>
    <n v="78"/>
    <n v="83501"/>
    <n v="6513078"/>
    <n v="77"/>
    <n v="81880.104000000007"/>
    <n v="6304768.0080000004"/>
    <n v="57"/>
    <n v="69109"/>
    <n v="3939213"/>
    <n v="60"/>
    <n v="67482.267000000007"/>
    <n v="4048936.0200000005"/>
    <n v="63"/>
    <n v="58359"/>
    <n v="3676617"/>
    <n v="70"/>
    <n v="58807.642999999996"/>
    <n v="4116535.01"/>
    <n v="10"/>
    <n v="54685"/>
    <n v="546850"/>
    <n v="5"/>
    <n v="58700.6"/>
    <n v="293503"/>
    <n v="34"/>
    <n v="38357.029000000002"/>
    <n v="1304138.986"/>
    <n v="17"/>
    <n v="39154.175999999999"/>
    <n v="665620.99199999997"/>
    <m/>
    <m/>
    <n v="0"/>
    <m/>
    <m/>
    <n v="0"/>
    <m/>
    <m/>
    <n v="0"/>
    <m/>
    <m/>
    <n v="0"/>
    <m/>
    <m/>
    <n v="0"/>
    <m/>
    <m/>
    <n v="0"/>
    <m/>
    <m/>
    <n v="0"/>
    <m/>
    <m/>
    <n v="0"/>
    <m/>
    <m/>
    <n v="0"/>
    <m/>
    <m/>
    <n v="0"/>
    <n v="1"/>
    <n v="63000"/>
    <n v="51546.600000000006"/>
    <n v="16"/>
    <n v="37806.25"/>
    <n v="494929.18000000005"/>
    <m/>
    <m/>
    <n v="0"/>
    <m/>
    <m/>
    <n v="0"/>
  </r>
  <r>
    <x v="7"/>
    <s v="Salisbury University "/>
    <m/>
    <n v="163851"/>
    <x v="3"/>
    <n v="85"/>
    <n v="83789"/>
    <n v="7122065"/>
    <n v="95"/>
    <n v="84062.957999999999"/>
    <n v="7985981.0099999998"/>
    <n v="102"/>
    <n v="67603"/>
    <n v="6895506"/>
    <n v="102"/>
    <n v="66346.186000000002"/>
    <n v="6767310.9720000001"/>
    <n v="104"/>
    <n v="64404"/>
    <n v="6698016"/>
    <n v="97"/>
    <n v="63637"/>
    <n v="6172789"/>
    <n v="4"/>
    <n v="59097"/>
    <n v="236388"/>
    <n v="5"/>
    <n v="64256.2"/>
    <n v="321281"/>
    <n v="82"/>
    <n v="43876.39"/>
    <n v="3597863.98"/>
    <n v="82"/>
    <n v="43512.572999999997"/>
    <n v="3568030.9859999996"/>
    <m/>
    <m/>
    <n v="0"/>
    <m/>
    <m/>
    <n v="0"/>
    <n v="3"/>
    <n v="115033"/>
    <n v="282360.00180000003"/>
    <n v="2"/>
    <n v="102911"/>
    <n v="168403.56040000002"/>
    <n v="2"/>
    <n v="98745"/>
    <n v="161586.318"/>
    <n v="2"/>
    <n v="91100"/>
    <n v="149076.04"/>
    <m/>
    <m/>
    <n v="0"/>
    <n v="2"/>
    <n v="92800"/>
    <n v="151857.92000000001"/>
    <n v="1"/>
    <n v="43000"/>
    <n v="35182.6"/>
    <m/>
    <m/>
    <n v="0"/>
    <n v="5"/>
    <n v="54871.6"/>
    <n v="224479.71560000003"/>
    <n v="3"/>
    <n v="49218"/>
    <n v="120810.5028"/>
    <m/>
    <m/>
    <n v="0"/>
    <m/>
    <m/>
    <n v="0"/>
  </r>
  <r>
    <x v="7"/>
    <s v="University of Baltimore"/>
    <m/>
    <n v="161873"/>
    <x v="3"/>
    <n v="50"/>
    <n v="128449"/>
    <n v="6422450"/>
    <n v="47"/>
    <n v="132949.617"/>
    <n v="6248631.9989999998"/>
    <n v="52"/>
    <n v="97742"/>
    <n v="5082584"/>
    <n v="52"/>
    <n v="99306.827000000005"/>
    <n v="5163955.0040000007"/>
    <n v="52"/>
    <n v="81338"/>
    <n v="4229576"/>
    <n v="51"/>
    <n v="82965.509999999995"/>
    <n v="4231241.01"/>
    <n v="7"/>
    <n v="75818"/>
    <n v="530726"/>
    <n v="8"/>
    <n v="75091.375"/>
    <n v="600731"/>
    <n v="10"/>
    <n v="55829.599999999999"/>
    <n v="558296"/>
    <n v="9"/>
    <n v="55167.222000000002"/>
    <n v="496504.99800000002"/>
    <m/>
    <m/>
    <n v="0"/>
    <m/>
    <m/>
    <n v="0"/>
    <n v="4"/>
    <n v="127072"/>
    <n v="415881.24160000001"/>
    <n v="6"/>
    <n v="162387.83300000001"/>
    <n v="797194.34976360016"/>
    <n v="1"/>
    <n v="102846"/>
    <n v="84148.597200000004"/>
    <n v="2"/>
    <n v="100173"/>
    <n v="163923.09720000002"/>
    <n v="2"/>
    <n v="70000"/>
    <n v="114548"/>
    <n v="1"/>
    <n v="85000"/>
    <n v="69547"/>
    <n v="4"/>
    <n v="53500"/>
    <n v="175094.80000000002"/>
    <n v="6"/>
    <n v="60833.332999999999"/>
    <n v="298642.99836360005"/>
    <m/>
    <m/>
    <n v="0"/>
    <m/>
    <m/>
    <n v="0"/>
    <m/>
    <m/>
    <n v="0"/>
    <m/>
    <m/>
    <n v="0"/>
  </r>
  <r>
    <x v="7"/>
    <s v="University of Maryland Eastern Shore "/>
    <m/>
    <n v="163338"/>
    <x v="3"/>
    <n v="18"/>
    <n v="77945"/>
    <n v="1403010"/>
    <n v="18"/>
    <n v="77322.721999999994"/>
    <n v="1391808.9959999998"/>
    <n v="37"/>
    <n v="67385"/>
    <n v="2493245"/>
    <n v="43"/>
    <n v="66810.884000000005"/>
    <n v="2872868.0120000001"/>
    <n v="37"/>
    <n v="62113"/>
    <n v="2298181"/>
    <n v="34"/>
    <n v="62247.5"/>
    <n v="2116415"/>
    <n v="3"/>
    <n v="67809"/>
    <n v="203427"/>
    <n v="3"/>
    <n v="67809.332999999999"/>
    <n v="203427.99900000001"/>
    <n v="45"/>
    <n v="48694.578000000001"/>
    <n v="2191256.0100000002"/>
    <n v="28"/>
    <n v="45595.607000000004"/>
    <n v="1276676.996"/>
    <m/>
    <m/>
    <n v="0"/>
    <m/>
    <m/>
    <n v="0"/>
    <n v="12"/>
    <n v="106998"/>
    <n v="1050549.1632000001"/>
    <n v="12"/>
    <n v="118414.667"/>
    <n v="1162642.5664728"/>
    <n v="13"/>
    <n v="96112"/>
    <n v="1022304.8992000001"/>
    <n v="13"/>
    <n v="96557.077000000005"/>
    <n v="1027039.0052182002"/>
    <n v="21"/>
    <n v="85818"/>
    <n v="1474542.0396"/>
    <n v="23"/>
    <n v="90204.478000000003"/>
    <n v="1697521.9896908"/>
    <n v="1"/>
    <n v="63787"/>
    <n v="52190.523400000005"/>
    <n v="1"/>
    <n v="63787"/>
    <n v="52190.523400000005"/>
    <n v="8"/>
    <n v="69929"/>
    <n v="457727.26240000001"/>
    <n v="10"/>
    <n v="71441.2"/>
    <n v="584531.89840000006"/>
    <m/>
    <m/>
    <n v="0"/>
    <m/>
    <m/>
    <n v="0"/>
  </r>
  <r>
    <x v="7"/>
    <s v="Saint Mary's College of Maryland"/>
    <s v="Met the criteria for Four-Year 5 in 2010-11 and 2011-12."/>
    <n v="163912"/>
    <x v="5"/>
    <n v="43"/>
    <n v="88734"/>
    <n v="3815562"/>
    <n v="42"/>
    <n v="89110.452000000005"/>
    <n v="3742638.9840000002"/>
    <n v="48"/>
    <n v="64696"/>
    <n v="3105408"/>
    <n v="51"/>
    <n v="64213.627"/>
    <n v="3274894.977"/>
    <n v="51"/>
    <n v="52941"/>
    <n v="2699991"/>
    <n v="42"/>
    <n v="56772.451999999997"/>
    <n v="2384442.9839999997"/>
    <n v="2"/>
    <n v="43250"/>
    <n v="86500"/>
    <n v="3"/>
    <n v="49666.667000000001"/>
    <n v="149000.00099999999"/>
    <m/>
    <m/>
    <n v="0"/>
    <m/>
    <m/>
    <n v="0"/>
    <m/>
    <m/>
    <n v="0"/>
    <m/>
    <m/>
    <n v="0"/>
    <m/>
    <m/>
    <n v="0"/>
    <n v="3"/>
    <n v="159905"/>
    <n v="392502.81300000002"/>
    <m/>
    <m/>
    <n v="0"/>
    <m/>
    <m/>
    <n v="0"/>
    <m/>
    <m/>
    <n v="0"/>
    <m/>
    <m/>
    <n v="0"/>
    <m/>
    <m/>
    <n v="0"/>
    <m/>
    <m/>
    <n v="0"/>
    <m/>
    <m/>
    <n v="0"/>
    <m/>
    <m/>
    <n v="0"/>
    <m/>
    <m/>
    <n v="0"/>
    <m/>
    <m/>
    <n v="0"/>
  </r>
  <r>
    <x v="7"/>
    <s v="Anne Arundel Community College "/>
    <m/>
    <n v="161767"/>
    <x v="6"/>
    <n v="74"/>
    <n v="82950"/>
    <n v="6138300"/>
    <n v="73"/>
    <n v="82440.903999999995"/>
    <n v="6018185.9919999996"/>
    <n v="82"/>
    <n v="66174"/>
    <n v="5426268"/>
    <n v="91"/>
    <n v="65770.451000000001"/>
    <n v="5985111.0410000002"/>
    <n v="74"/>
    <n v="58049"/>
    <n v="4295626"/>
    <n v="71"/>
    <n v="57551.423000000003"/>
    <n v="4086151.0330000003"/>
    <n v="22"/>
    <n v="50050"/>
    <n v="1101100"/>
    <n v="17"/>
    <n v="49944.646999999997"/>
    <n v="849058.99899999995"/>
    <m/>
    <m/>
    <n v="0"/>
    <m/>
    <m/>
    <n v="0"/>
    <m/>
    <m/>
    <n v="0"/>
    <m/>
    <m/>
    <n v="0"/>
    <n v="2"/>
    <n v="102856"/>
    <n v="168313.55840000001"/>
    <n v="3"/>
    <n v="96559.332999999999"/>
    <n v="237014.53878180002"/>
    <n v="8"/>
    <n v="77286"/>
    <n v="505883.24160000001"/>
    <n v="7"/>
    <n v="77474.570999999996"/>
    <n v="443727.8579454"/>
    <n v="2"/>
    <n v="70121"/>
    <n v="114746.00440000001"/>
    <n v="1"/>
    <n v="70121"/>
    <n v="57373.002200000003"/>
    <n v="1"/>
    <n v="63441"/>
    <n v="51907.426200000002"/>
    <n v="1"/>
    <n v="63441"/>
    <n v="51907.426200000002"/>
    <m/>
    <m/>
    <n v="0"/>
    <m/>
    <m/>
    <n v="0"/>
    <m/>
    <m/>
    <n v="0"/>
    <m/>
    <m/>
    <n v="0"/>
  </r>
  <r>
    <x v="7"/>
    <s v="College of Southern Maryland"/>
    <s v="Reclassified: Met the criteria for Two-Year 1 in 2009-10, 2010-11, and 2011-12."/>
    <n v="162122"/>
    <x v="6"/>
    <n v="74"/>
    <n v="81356"/>
    <n v="6020344"/>
    <n v="71"/>
    <n v="81715.520999999993"/>
    <n v="5801801.9909999995"/>
    <n v="16"/>
    <n v="64597"/>
    <n v="1033552"/>
    <n v="10"/>
    <n v="65384.800000000003"/>
    <n v="653848"/>
    <n v="13"/>
    <n v="58333"/>
    <n v="758329"/>
    <n v="22"/>
    <n v="61790.135999999999"/>
    <n v="1359382.9920000001"/>
    <n v="1"/>
    <n v="43765"/>
    <n v="43765"/>
    <m/>
    <m/>
    <n v="0"/>
    <m/>
    <m/>
    <n v="0"/>
    <m/>
    <m/>
    <n v="0"/>
    <m/>
    <m/>
    <n v="0"/>
    <m/>
    <m/>
    <n v="0"/>
    <n v="15"/>
    <n v="101673"/>
    <n v="1247832.7290000001"/>
    <n v="14"/>
    <n v="102626.21400000001"/>
    <n v="1175562.7561272001"/>
    <n v="6"/>
    <n v="81396"/>
    <n v="399589.24320000003"/>
    <n v="4"/>
    <n v="79289.5"/>
    <n v="259498.67560000002"/>
    <n v="1"/>
    <n v="72481"/>
    <n v="59303.9542"/>
    <n v="3"/>
    <n v="73257.332999999999"/>
    <n v="179817.44958180003"/>
    <m/>
    <m/>
    <n v="0"/>
    <m/>
    <m/>
    <n v="0"/>
    <m/>
    <m/>
    <n v="0"/>
    <m/>
    <m/>
    <n v="0"/>
    <m/>
    <m/>
    <n v="0"/>
    <m/>
    <m/>
    <n v="0"/>
  </r>
  <r>
    <x v="7"/>
    <s v="Community College of Baltimore County (all campuses)"/>
    <m/>
    <n v="434672"/>
    <x v="6"/>
    <n v="53"/>
    <n v="84276"/>
    <n v="4466628"/>
    <n v="49"/>
    <n v="85423.551000000007"/>
    <n v="4185753.9990000003"/>
    <n v="95"/>
    <n v="66270"/>
    <n v="6295650"/>
    <n v="101"/>
    <n v="67020.563999999998"/>
    <n v="6769076.9639999997"/>
    <n v="159"/>
    <n v="56374"/>
    <n v="8963466"/>
    <n v="155"/>
    <n v="57562.347999999998"/>
    <n v="8922163.9399999995"/>
    <n v="30"/>
    <n v="50423"/>
    <n v="1512690"/>
    <n v="39"/>
    <n v="51358.538"/>
    <n v="2002982.9820000001"/>
    <m/>
    <m/>
    <n v="0"/>
    <m/>
    <m/>
    <n v="0"/>
    <m/>
    <m/>
    <n v="0"/>
    <m/>
    <m/>
    <n v="0"/>
    <n v="18"/>
    <n v="103186"/>
    <n v="1519682.1336000001"/>
    <n v="17"/>
    <n v="102604.118"/>
    <n v="1427161.7189092"/>
    <n v="17"/>
    <n v="80334"/>
    <n v="1117397.7396"/>
    <n v="14"/>
    <n v="82945.642999999996"/>
    <n v="950125.75143639988"/>
    <n v="26"/>
    <n v="71026"/>
    <n v="1510950.3032"/>
    <n v="30"/>
    <n v="72136.800000000003"/>
    <n v="1770669.8928"/>
    <n v="17"/>
    <n v="56875"/>
    <n v="791097.125"/>
    <n v="21"/>
    <n v="61623.142999999996"/>
    <n v="1058821.1676546"/>
    <m/>
    <m/>
    <n v="0"/>
    <m/>
    <m/>
    <n v="0"/>
    <m/>
    <m/>
    <n v="0"/>
    <m/>
    <m/>
    <n v="0"/>
  </r>
  <r>
    <x v="7"/>
    <s v="Howard Community College "/>
    <s v="Reclassified: Met the criteria for Two-Year 1 in 2009-10, 2010-11, and 2011-12."/>
    <n v="162779"/>
    <x v="6"/>
    <n v="34"/>
    <n v="81219"/>
    <n v="2761446"/>
    <n v="35"/>
    <n v="82448.629000000001"/>
    <n v="2885702.0150000001"/>
    <n v="23"/>
    <n v="67336"/>
    <n v="1548728"/>
    <n v="28"/>
    <n v="67046.857000000004"/>
    <n v="1877311.996"/>
    <n v="48"/>
    <n v="57157"/>
    <n v="2743536"/>
    <n v="52"/>
    <n v="57882.923000000003"/>
    <n v="3009911.9960000003"/>
    <n v="19"/>
    <n v="52159"/>
    <n v="991021"/>
    <n v="20"/>
    <n v="52062.65"/>
    <n v="1041253"/>
    <m/>
    <m/>
    <n v="0"/>
    <n v="1"/>
    <n v="53520"/>
    <n v="53520"/>
    <m/>
    <m/>
    <n v="0"/>
    <m/>
    <m/>
    <n v="0"/>
    <n v="16"/>
    <n v="101378"/>
    <n v="1327159.6736000001"/>
    <n v="16"/>
    <n v="101909.31299999999"/>
    <n v="1334115.1983455999"/>
    <n v="7"/>
    <n v="81880"/>
    <n v="468959.51200000005"/>
    <n v="11"/>
    <n v="82693.635999999999"/>
    <n v="744259.26272720005"/>
    <n v="3"/>
    <n v="73161"/>
    <n v="179580.99060000002"/>
    <n v="5"/>
    <n v="76402.399999999994"/>
    <n v="312562.21840000001"/>
    <m/>
    <m/>
    <n v="0"/>
    <n v="4"/>
    <n v="65108"/>
    <n v="213085.46240000002"/>
    <m/>
    <m/>
    <n v="0"/>
    <n v="1"/>
    <n v="55245"/>
    <n v="45201.459000000003"/>
    <m/>
    <m/>
    <n v="0"/>
    <m/>
    <m/>
    <n v="0"/>
  </r>
  <r>
    <x v="7"/>
    <s v="Montgomery College (all campuses)"/>
    <m/>
    <n v="163426"/>
    <x v="6"/>
    <n v="286"/>
    <n v="86922"/>
    <n v="24859692"/>
    <n v="286"/>
    <n v="86922.087"/>
    <n v="24859716.881999999"/>
    <n v="134"/>
    <n v="70429"/>
    <n v="9437486"/>
    <n v="134"/>
    <n v="70429.134000000005"/>
    <n v="9437503.9560000002"/>
    <n v="99"/>
    <n v="59890"/>
    <n v="5929110"/>
    <n v="99"/>
    <n v="59889.838000000003"/>
    <n v="5929093.9620000003"/>
    <n v="3"/>
    <n v="58401"/>
    <n v="175203"/>
    <n v="3"/>
    <n v="58401.332999999999"/>
    <n v="175203.99900000001"/>
    <m/>
    <m/>
    <n v="0"/>
    <m/>
    <m/>
    <n v="0"/>
    <m/>
    <m/>
    <n v="0"/>
    <m/>
    <m/>
    <n v="0"/>
    <m/>
    <m/>
    <n v="0"/>
    <m/>
    <m/>
    <n v="0"/>
    <m/>
    <m/>
    <n v="0"/>
    <m/>
    <m/>
    <n v="0"/>
    <m/>
    <m/>
    <n v="0"/>
    <m/>
    <m/>
    <n v="0"/>
    <m/>
    <m/>
    <n v="0"/>
    <m/>
    <m/>
    <n v="0"/>
    <m/>
    <m/>
    <n v="0"/>
    <m/>
    <m/>
    <n v="0"/>
    <m/>
    <m/>
    <n v="0"/>
    <m/>
    <m/>
    <n v="0"/>
  </r>
  <r>
    <x v="7"/>
    <s v="Prince George's Community College "/>
    <m/>
    <n v="163657"/>
    <x v="6"/>
    <n v="88"/>
    <n v="73353"/>
    <n v="6455064"/>
    <n v="92"/>
    <n v="70659.793000000005"/>
    <n v="6500700.9560000002"/>
    <n v="108"/>
    <n v="59142"/>
    <n v="6387336"/>
    <n v="100"/>
    <n v="58677.74"/>
    <n v="5867774"/>
    <n v="33"/>
    <n v="51032"/>
    <n v="1684056"/>
    <n v="44"/>
    <n v="50391.341"/>
    <n v="2217219.0040000002"/>
    <n v="2"/>
    <n v="46250"/>
    <n v="92500"/>
    <n v="1"/>
    <n v="48997"/>
    <n v="48997"/>
    <m/>
    <m/>
    <n v="0"/>
    <m/>
    <m/>
    <n v="0"/>
    <m/>
    <m/>
    <n v="0"/>
    <m/>
    <m/>
    <n v="0"/>
    <n v="3"/>
    <n v="93766"/>
    <n v="230158.02360000001"/>
    <n v="2"/>
    <n v="86130"/>
    <n v="140943.13200000001"/>
    <n v="2"/>
    <n v="75674"/>
    <n v="123832.9336"/>
    <n v="2"/>
    <n v="75674"/>
    <n v="123832.9336"/>
    <n v="2"/>
    <n v="68447"/>
    <n v="112006.67080000001"/>
    <n v="2"/>
    <n v="68447"/>
    <n v="112006.67080000001"/>
    <m/>
    <n v="60563"/>
    <n v="0"/>
    <m/>
    <m/>
    <n v="0"/>
    <n v="1"/>
    <n v="99784"/>
    <n v="81643.268800000005"/>
    <m/>
    <m/>
    <n v="0"/>
    <m/>
    <m/>
    <n v="0"/>
    <m/>
    <m/>
    <n v="0"/>
  </r>
  <r>
    <x v="7"/>
    <s v="Allegany College of Maryland"/>
    <m/>
    <n v="161688"/>
    <x v="7"/>
    <n v="32"/>
    <n v="62184"/>
    <n v="1989888"/>
    <n v="27"/>
    <n v="61981.963000000003"/>
    <n v="1673513.0010000002"/>
    <n v="22"/>
    <n v="47705"/>
    <n v="1049510"/>
    <n v="23"/>
    <n v="48366.826000000001"/>
    <n v="1112436.9980000001"/>
    <n v="26"/>
    <n v="43166"/>
    <n v="1122316"/>
    <n v="23"/>
    <n v="44517.434999999998"/>
    <n v="1023901.0049999999"/>
    <n v="4"/>
    <n v="37452"/>
    <n v="149808"/>
    <n v="7"/>
    <n v="39556.286"/>
    <n v="276894.00199999998"/>
    <m/>
    <m/>
    <n v="0"/>
    <m/>
    <m/>
    <n v="0"/>
    <m/>
    <m/>
    <n v="0"/>
    <m/>
    <m/>
    <n v="0"/>
    <n v="9"/>
    <n v="77378"/>
    <n v="569796.11640000006"/>
    <n v="9"/>
    <n v="77254.888999999996"/>
    <n v="568889.55161820003"/>
    <n v="11"/>
    <n v="60559"/>
    <n v="545043.11180000007"/>
    <n v="11"/>
    <n v="61848"/>
    <n v="556644.36959999998"/>
    <n v="6"/>
    <n v="58763"/>
    <n v="288479.31959999999"/>
    <n v="7"/>
    <n v="55866.428999999996"/>
    <n v="319969.38545459998"/>
    <n v="5"/>
    <n v="50689"/>
    <n v="207368.69900000002"/>
    <n v="5"/>
    <n v="52328.6"/>
    <n v="214076.30260000002"/>
    <m/>
    <m/>
    <n v="0"/>
    <n v="1"/>
    <n v="48990"/>
    <n v="40083.618000000002"/>
    <m/>
    <m/>
    <n v="0"/>
    <m/>
    <m/>
    <n v="0"/>
  </r>
  <r>
    <x v="7"/>
    <s v="Baltimore City Community College"/>
    <s v="Met the criteria for Two-Year 1 in 2011-12."/>
    <n v="161864"/>
    <x v="7"/>
    <n v="23"/>
    <n v="76950"/>
    <n v="1769850"/>
    <n v="20"/>
    <n v="77769.95"/>
    <n v="1555399"/>
    <n v="21"/>
    <n v="63142"/>
    <n v="1325982"/>
    <n v="21"/>
    <n v="64404.857000000004"/>
    <n v="1352501.997"/>
    <n v="74"/>
    <n v="54738"/>
    <n v="4050612"/>
    <n v="71"/>
    <n v="55197.182999999997"/>
    <n v="3918999.9929999998"/>
    <n v="5"/>
    <n v="45369"/>
    <n v="226845"/>
    <n v="3"/>
    <n v="45533.332999999999"/>
    <n v="136599.99900000001"/>
    <m/>
    <m/>
    <n v="0"/>
    <m/>
    <m/>
    <n v="0"/>
    <m/>
    <m/>
    <n v="0"/>
    <m/>
    <m/>
    <n v="0"/>
    <m/>
    <m/>
    <n v="0"/>
    <m/>
    <m/>
    <n v="0"/>
    <m/>
    <m/>
    <n v="0"/>
    <m/>
    <m/>
    <n v="0"/>
    <m/>
    <m/>
    <n v="0"/>
    <m/>
    <m/>
    <n v="0"/>
    <m/>
    <m/>
    <n v="0"/>
    <m/>
    <m/>
    <n v="0"/>
    <m/>
    <m/>
    <n v="0"/>
    <m/>
    <m/>
    <n v="0"/>
    <m/>
    <m/>
    <n v="0"/>
    <m/>
    <m/>
    <n v="0"/>
  </r>
  <r>
    <x v="7"/>
    <s v="Carroll Community College"/>
    <m/>
    <n v="405872"/>
    <x v="7"/>
    <n v="6"/>
    <n v="67221"/>
    <n v="403326"/>
    <n v="6"/>
    <n v="62778.667000000001"/>
    <n v="376672.00199999998"/>
    <n v="18"/>
    <n v="59602"/>
    <n v="1072836"/>
    <n v="19"/>
    <n v="59485.737000000001"/>
    <n v="1130229.003"/>
    <n v="33"/>
    <n v="51225"/>
    <n v="1690425"/>
    <n v="37"/>
    <n v="49271.514000000003"/>
    <n v="1823046.0180000002"/>
    <n v="9"/>
    <n v="47266"/>
    <n v="425394"/>
    <n v="6"/>
    <n v="49898.832999999999"/>
    <n v="299392.99800000002"/>
    <m/>
    <m/>
    <n v="0"/>
    <m/>
    <m/>
    <n v="0"/>
    <m/>
    <m/>
    <n v="0"/>
    <m/>
    <m/>
    <n v="0"/>
    <m/>
    <m/>
    <n v="0"/>
    <m/>
    <m/>
    <n v="0"/>
    <n v="4"/>
    <n v="84461"/>
    <n v="276423.9608"/>
    <n v="4"/>
    <n v="84461"/>
    <n v="276423.9608"/>
    <n v="3"/>
    <n v="55977.667000000001"/>
    <n v="137402.7814182"/>
    <n v="3"/>
    <n v="55978"/>
    <n v="137403.59880000001"/>
    <m/>
    <m/>
    <n v="0"/>
    <m/>
    <m/>
    <n v="0"/>
    <m/>
    <m/>
    <n v="0"/>
    <m/>
    <m/>
    <n v="0"/>
    <m/>
    <m/>
    <n v="0"/>
    <m/>
    <m/>
    <n v="0"/>
  </r>
  <r>
    <x v="7"/>
    <s v="Frederick Community College "/>
    <m/>
    <n v="162557"/>
    <x v="7"/>
    <n v="21"/>
    <n v="82671"/>
    <n v="1736091"/>
    <n v="22"/>
    <n v="83064.544999999998"/>
    <n v="1827419.99"/>
    <n v="19"/>
    <n v="69956"/>
    <n v="1329164"/>
    <n v="17"/>
    <n v="72800.528999999995"/>
    <n v="1237608.993"/>
    <n v="54"/>
    <n v="58825"/>
    <n v="3176550"/>
    <n v="55"/>
    <n v="58167.8"/>
    <n v="3199229"/>
    <m/>
    <m/>
    <n v="0"/>
    <m/>
    <m/>
    <n v="0"/>
    <m/>
    <m/>
    <n v="0"/>
    <m/>
    <m/>
    <n v="0"/>
    <m/>
    <m/>
    <n v="0"/>
    <m/>
    <m/>
    <n v="0"/>
    <n v="2"/>
    <n v="102255"/>
    <n v="167330.08199999999"/>
    <n v="1"/>
    <n v="98604"/>
    <n v="80677.79280000001"/>
    <n v="1"/>
    <n v="94555"/>
    <n v="77364.900999999998"/>
    <n v="1"/>
    <n v="94555"/>
    <n v="77364.900999999998"/>
    <n v="1"/>
    <n v="70041"/>
    <n v="57307.546200000004"/>
    <n v="1"/>
    <n v="80699"/>
    <n v="66027.921799999996"/>
    <m/>
    <m/>
    <n v="0"/>
    <m/>
    <m/>
    <n v="0"/>
    <m/>
    <m/>
    <n v="0"/>
    <m/>
    <m/>
    <n v="0"/>
    <m/>
    <m/>
    <n v="0"/>
    <m/>
    <m/>
    <n v="0"/>
  </r>
  <r>
    <x v="7"/>
    <s v="Hagerstown Community College "/>
    <m/>
    <n v="162690"/>
    <x v="7"/>
    <n v="12"/>
    <n v="73654"/>
    <n v="883848"/>
    <n v="13"/>
    <n v="74691.384999999995"/>
    <n v="970988.00499999989"/>
    <n v="10"/>
    <n v="57062"/>
    <n v="570620"/>
    <n v="12"/>
    <n v="57567.25"/>
    <n v="690807"/>
    <n v="23"/>
    <n v="52187"/>
    <n v="1200301"/>
    <n v="23"/>
    <n v="53284.042999999998"/>
    <n v="1225532.9890000001"/>
    <n v="16"/>
    <n v="46714"/>
    <n v="747424"/>
    <n v="14"/>
    <n v="47367.714"/>
    <n v="663147.99600000004"/>
    <m/>
    <m/>
    <n v="0"/>
    <m/>
    <m/>
    <n v="0"/>
    <m/>
    <m/>
    <n v="0"/>
    <m/>
    <m/>
    <n v="0"/>
    <n v="3"/>
    <n v="94894"/>
    <n v="232926.81240000002"/>
    <n v="2"/>
    <n v="98288.5"/>
    <n v="160839.3014"/>
    <n v="1"/>
    <n v="62802"/>
    <n v="51384.596400000002"/>
    <n v="1"/>
    <n v="64650"/>
    <n v="52896.630000000005"/>
    <n v="4"/>
    <n v="60464"/>
    <n v="197886.57920000001"/>
    <n v="2"/>
    <n v="60827.5"/>
    <n v="99538.120999999999"/>
    <n v="8"/>
    <n v="47685"/>
    <n v="312126.93599999999"/>
    <n v="9"/>
    <n v="51821.667000000001"/>
    <n v="381604.39145460003"/>
    <n v="1"/>
    <n v="52000"/>
    <n v="42546.400000000001"/>
    <m/>
    <m/>
    <n v="0"/>
    <m/>
    <m/>
    <n v="0"/>
    <m/>
    <m/>
    <n v="0"/>
  </r>
  <r>
    <x v="7"/>
    <s v="Harford Community College "/>
    <m/>
    <n v="162706"/>
    <x v="7"/>
    <n v="17"/>
    <n v="81608"/>
    <n v="1387336"/>
    <n v="17"/>
    <n v="83609.471000000005"/>
    <n v="1421361.007"/>
    <n v="23"/>
    <n v="66210"/>
    <n v="1522830"/>
    <n v="26"/>
    <n v="65861.577000000005"/>
    <n v="1712401.0020000001"/>
    <n v="19"/>
    <n v="52731"/>
    <n v="1001889"/>
    <n v="18"/>
    <n v="52407.889000000003"/>
    <n v="943342.00200000009"/>
    <m/>
    <m/>
    <n v="0"/>
    <m/>
    <m/>
    <n v="0"/>
    <n v="36"/>
    <n v="44136"/>
    <n v="1588896"/>
    <m/>
    <m/>
    <n v="0"/>
    <m/>
    <m/>
    <n v="0"/>
    <m/>
    <m/>
    <n v="0"/>
    <m/>
    <m/>
    <n v="0"/>
    <m/>
    <m/>
    <n v="0"/>
    <n v="1"/>
    <n v="88332"/>
    <n v="72273.242400000003"/>
    <n v="1"/>
    <n v="90099"/>
    <n v="73719.001799999998"/>
    <m/>
    <m/>
    <n v="0"/>
    <m/>
    <m/>
    <n v="0"/>
    <n v="2"/>
    <n v="62986"/>
    <n v="103070.2904"/>
    <m/>
    <m/>
    <n v="0"/>
    <m/>
    <m/>
    <n v="0"/>
    <n v="1"/>
    <n v="53040"/>
    <n v="43397.328000000001"/>
    <m/>
    <m/>
    <n v="0"/>
    <m/>
    <m/>
    <n v="0"/>
  </r>
  <r>
    <x v="7"/>
    <s v="Wor-Wic Community College "/>
    <m/>
    <n v="164313"/>
    <x v="7"/>
    <n v="5"/>
    <n v="82661"/>
    <n v="413305"/>
    <n v="5"/>
    <n v="78813.8"/>
    <n v="394069"/>
    <n v="7"/>
    <n v="62862"/>
    <n v="440034"/>
    <n v="8"/>
    <n v="60929.625"/>
    <n v="487437"/>
    <n v="18"/>
    <n v="53865"/>
    <n v="969570"/>
    <n v="19"/>
    <n v="53049.105000000003"/>
    <n v="1007932.9950000001"/>
    <n v="22"/>
    <n v="45164"/>
    <n v="993608"/>
    <n v="20"/>
    <n v="44845.8"/>
    <n v="896916"/>
    <m/>
    <m/>
    <n v="0"/>
    <m/>
    <m/>
    <n v="0"/>
    <m/>
    <m/>
    <n v="0"/>
    <m/>
    <m/>
    <n v="0"/>
    <n v="4"/>
    <n v="88739"/>
    <n v="290424.99920000002"/>
    <n v="5"/>
    <n v="89715.199999999997"/>
    <n v="367024.88320000004"/>
    <n v="3"/>
    <n v="82686"/>
    <n v="202961.05560000002"/>
    <n v="5"/>
    <n v="79073.2"/>
    <n v="323488.46120000002"/>
    <n v="4"/>
    <n v="63975"/>
    <n v="209377.38"/>
    <n v="4"/>
    <n v="61722.25"/>
    <n v="202004.57980000001"/>
    <n v="4"/>
    <m/>
    <n v="0"/>
    <n v="2"/>
    <n v="51728"/>
    <n v="84647.699200000003"/>
    <m/>
    <m/>
    <n v="0"/>
    <m/>
    <m/>
    <n v="0"/>
    <m/>
    <m/>
    <n v="0"/>
    <m/>
    <m/>
    <n v="0"/>
  </r>
  <r>
    <x v="7"/>
    <s v="Cecil Community College "/>
    <m/>
    <n v="162104"/>
    <x v="8"/>
    <n v="10"/>
    <n v="70424"/>
    <n v="704240"/>
    <n v="10"/>
    <n v="70615.899999999994"/>
    <n v="706159"/>
    <n v="10"/>
    <n v="58752"/>
    <n v="587520"/>
    <n v="13"/>
    <n v="59183.923000000003"/>
    <n v="769390.99900000007"/>
    <n v="21"/>
    <n v="48618"/>
    <n v="1020978"/>
    <n v="18"/>
    <n v="47895.110999999997"/>
    <n v="862111.99799999991"/>
    <m/>
    <m/>
    <n v="0"/>
    <n v="2"/>
    <n v="42135.5"/>
    <n v="84271"/>
    <m/>
    <m/>
    <n v="0"/>
    <m/>
    <m/>
    <n v="0"/>
    <m/>
    <m/>
    <n v="0"/>
    <m/>
    <m/>
    <n v="0"/>
    <n v="2"/>
    <n v="79255"/>
    <n v="129692.88200000001"/>
    <n v="2"/>
    <n v="79254.5"/>
    <n v="129692.0638"/>
    <m/>
    <m/>
    <n v="0"/>
    <m/>
    <m/>
    <n v="0"/>
    <n v="1"/>
    <n v="56234"/>
    <n v="46010.658800000005"/>
    <n v="2"/>
    <n v="51150.5"/>
    <n v="83702.678200000009"/>
    <m/>
    <m/>
    <n v="0"/>
    <m/>
    <m/>
    <n v="0"/>
    <m/>
    <m/>
    <n v="0"/>
    <m/>
    <m/>
    <n v="0"/>
    <m/>
    <m/>
    <n v="0"/>
    <m/>
    <m/>
    <n v="0"/>
  </r>
  <r>
    <x v="7"/>
    <s v="Chesapeake College "/>
    <m/>
    <n v="162168"/>
    <x v="8"/>
    <n v="12"/>
    <n v="75109"/>
    <n v="901308"/>
    <n v="13"/>
    <n v="74557.077000000005"/>
    <n v="969242.00100000005"/>
    <n v="18"/>
    <n v="68694"/>
    <n v="1236492"/>
    <n v="18"/>
    <n v="67716.944000000003"/>
    <n v="1218904.9920000001"/>
    <n v="15"/>
    <n v="57215"/>
    <n v="858225"/>
    <n v="14"/>
    <n v="57486.928999999996"/>
    <n v="804817.00599999994"/>
    <n v="8"/>
    <n v="52022"/>
    <n v="416176"/>
    <n v="11"/>
    <n v="53855.635999999999"/>
    <n v="592411.99600000004"/>
    <m/>
    <m/>
    <n v="0"/>
    <m/>
    <m/>
    <n v="0"/>
    <m/>
    <m/>
    <n v="0"/>
    <m/>
    <m/>
    <n v="0"/>
    <n v="2"/>
    <n v="94238"/>
    <n v="154211.0632"/>
    <n v="2"/>
    <n v="94238"/>
    <n v="154211.0632"/>
    <n v="1"/>
    <n v="72591"/>
    <n v="59393.956200000001"/>
    <n v="1"/>
    <n v="86115"/>
    <n v="70459.293000000005"/>
    <n v="2"/>
    <n v="78391"/>
    <n v="128279.03240000001"/>
    <n v="1"/>
    <n v="73979"/>
    <n v="60529.6178"/>
    <n v="1"/>
    <n v="46798"/>
    <n v="38290.123599999999"/>
    <m/>
    <m/>
    <n v="0"/>
    <m/>
    <m/>
    <n v="0"/>
    <n v="1"/>
    <n v="46798"/>
    <n v="38290.123599999999"/>
    <m/>
    <m/>
    <n v="0"/>
    <m/>
    <m/>
    <n v="0"/>
  </r>
  <r>
    <x v="7"/>
    <s v="Garrett College "/>
    <m/>
    <n v="162609"/>
    <x v="8"/>
    <n v="11"/>
    <n v="65934"/>
    <n v="725274"/>
    <n v="10"/>
    <n v="65704.2"/>
    <n v="657042"/>
    <n v="3"/>
    <n v="53328"/>
    <n v="159984"/>
    <n v="3"/>
    <n v="53328.332999999999"/>
    <n v="159984.99900000001"/>
    <n v="1"/>
    <n v="45541"/>
    <n v="45541"/>
    <m/>
    <m/>
    <n v="0"/>
    <m/>
    <m/>
    <n v="0"/>
    <n v="2"/>
    <n v="43920"/>
    <n v="87840"/>
    <m/>
    <m/>
    <n v="0"/>
    <m/>
    <m/>
    <n v="0"/>
    <m/>
    <m/>
    <n v="0"/>
    <m/>
    <m/>
    <n v="0"/>
    <n v="2"/>
    <n v="69884"/>
    <n v="114358.17760000001"/>
    <n v="1"/>
    <n v="69884"/>
    <n v="57179.088800000005"/>
    <n v="4"/>
    <n v="63551"/>
    <n v="207989.71280000001"/>
    <n v="4"/>
    <n v="63551.25"/>
    <n v="207990.53100000002"/>
    <n v="2"/>
    <n v="54649"/>
    <n v="89427.623600000006"/>
    <n v="1"/>
    <n v="54649"/>
    <n v="44713.811800000003"/>
    <m/>
    <m/>
    <n v="0"/>
    <m/>
    <m/>
    <n v="0"/>
    <m/>
    <m/>
    <n v="0"/>
    <m/>
    <m/>
    <n v="0"/>
    <m/>
    <m/>
    <n v="0"/>
    <m/>
    <m/>
    <n v="0"/>
  </r>
  <r>
    <x v="8"/>
    <s v="Mississippi State University"/>
    <m/>
    <n v="176080"/>
    <x v="0"/>
    <n v="115"/>
    <n v="88827"/>
    <n v="10215105"/>
    <n v="115"/>
    <n v="92220"/>
    <n v="10605300"/>
    <n v="137"/>
    <n v="69758"/>
    <n v="9556846"/>
    <n v="153"/>
    <n v="72749"/>
    <n v="11130597"/>
    <n v="237"/>
    <n v="61119.62"/>
    <n v="14485349.940000001"/>
    <n v="237"/>
    <n v="64642"/>
    <n v="15320154"/>
    <n v="111"/>
    <n v="39566.04"/>
    <n v="4391830.4400000004"/>
    <n v="115"/>
    <n v="40702"/>
    <n v="4680730"/>
    <n v="49"/>
    <n v="29139.59"/>
    <n v="1427839.91"/>
    <n v="58"/>
    <n v="30552"/>
    <n v="1772016"/>
    <m/>
    <m/>
    <n v="0"/>
    <m/>
    <m/>
    <n v="0"/>
    <n v="107"/>
    <n v="114592.2"/>
    <n v="10032249.17028"/>
    <n v="116"/>
    <n v="121800"/>
    <n v="11560184.16"/>
    <n v="47"/>
    <n v="89604.32"/>
    <n v="3445769.9673280003"/>
    <n v="54"/>
    <n v="88967"/>
    <n v="3930811.1676000003"/>
    <n v="33"/>
    <n v="80297.03"/>
    <n v="2168067.9882179997"/>
    <n v="44"/>
    <n v="68866"/>
    <n v="2479231.0928000002"/>
    <n v="14"/>
    <n v="53122.07"/>
    <n v="608502.68743599998"/>
    <n v="16"/>
    <n v="54578"/>
    <n v="714491.51360000006"/>
    <m/>
    <m/>
    <n v="0"/>
    <m/>
    <m/>
    <n v="0"/>
    <m/>
    <m/>
    <n v="0"/>
    <m/>
    <m/>
    <n v="0"/>
  </r>
  <r>
    <x v="8"/>
    <s v="University of Southern Mississippi"/>
    <m/>
    <n v="176372"/>
    <x v="0"/>
    <n v="103"/>
    <n v="83467.59"/>
    <n v="8597161.7699999996"/>
    <n v="97"/>
    <n v="86938"/>
    <n v="8432986"/>
    <n v="166"/>
    <n v="62776.800000000003"/>
    <n v="10420948.800000001"/>
    <n v="175"/>
    <n v="64685"/>
    <n v="11319875"/>
    <n v="209"/>
    <n v="55838.95"/>
    <n v="11670340.549999999"/>
    <n v="186"/>
    <n v="57816"/>
    <n v="10753776"/>
    <n v="133"/>
    <n v="45612.98"/>
    <n v="6066526.3400000008"/>
    <n v="140"/>
    <n v="47599"/>
    <n v="6663860"/>
    <n v="4"/>
    <n v="51506.75"/>
    <n v="206027"/>
    <n v="3"/>
    <n v="57075"/>
    <n v="171225"/>
    <m/>
    <m/>
    <n v="0"/>
    <m/>
    <m/>
    <n v="0"/>
    <n v="32"/>
    <n v="107356.5"/>
    <n v="2810850.8256000001"/>
    <n v="30"/>
    <n v="109825"/>
    <n v="2695764.45"/>
    <n v="30"/>
    <n v="86640.7"/>
    <n v="2126682.6222000001"/>
    <n v="22"/>
    <n v="89304"/>
    <n v="1607507.7216"/>
    <n v="9"/>
    <n v="68604.22"/>
    <n v="505187.755236"/>
    <n v="7"/>
    <n v="79704"/>
    <n v="456496.68960000004"/>
    <n v="14"/>
    <n v="44971.79"/>
    <n v="515142.86009200005"/>
    <n v="10"/>
    <n v="52967"/>
    <n v="433375.99400000001"/>
    <m/>
    <m/>
    <n v="0"/>
    <n v="1"/>
    <n v="55098"/>
    <n v="45081.183600000004"/>
    <m/>
    <m/>
    <n v="0"/>
    <m/>
    <m/>
    <n v="0"/>
  </r>
  <r>
    <x v="8"/>
    <s v="Jackson State University "/>
    <m/>
    <n v="175856"/>
    <x v="1"/>
    <n v="51"/>
    <n v="67262.289999999994"/>
    <n v="3430376.7899999996"/>
    <n v="50"/>
    <n v="69662"/>
    <n v="3483100"/>
    <n v="83"/>
    <n v="60935.98"/>
    <n v="5057686.34"/>
    <n v="91"/>
    <n v="62929"/>
    <n v="5726539"/>
    <n v="123"/>
    <n v="54188.91"/>
    <n v="6665235.9300000006"/>
    <n v="114"/>
    <n v="55516"/>
    <n v="6328824"/>
    <n v="63"/>
    <n v="39313.760000000002"/>
    <n v="2476766.8800000004"/>
    <n v="64"/>
    <n v="41378"/>
    <n v="2648192"/>
    <n v="4"/>
    <n v="41500"/>
    <n v="166000"/>
    <n v="1"/>
    <n v="34747"/>
    <n v="34747"/>
    <m/>
    <m/>
    <n v="0"/>
    <m/>
    <m/>
    <n v="0"/>
    <n v="28"/>
    <n v="101161.1"/>
    <n v="2317560.3365600002"/>
    <n v="31"/>
    <n v="100053"/>
    <n v="2537764.3026000001"/>
    <n v="16"/>
    <n v="81537.06"/>
    <n v="1067417.9598719999"/>
    <n v="16"/>
    <n v="84405"/>
    <n v="1104962.736"/>
    <n v="9"/>
    <n v="67373.22"/>
    <n v="496122.91743600002"/>
    <n v="10"/>
    <n v="74402"/>
    <n v="608757.16399999999"/>
    <n v="2"/>
    <n v="69400"/>
    <n v="113566.16"/>
    <n v="1"/>
    <n v="55361"/>
    <n v="45296.370200000005"/>
    <n v="1"/>
    <n v="52810"/>
    <n v="43209.142"/>
    <m/>
    <m/>
    <n v="0"/>
    <m/>
    <m/>
    <n v="0"/>
    <m/>
    <m/>
    <n v="0"/>
  </r>
  <r>
    <x v="8"/>
    <s v="University of Mississippi"/>
    <s v="Met the criteria for Four-Year 1 in 2011-12."/>
    <n v="176017"/>
    <x v="1"/>
    <n v="111"/>
    <n v="106940.1"/>
    <n v="11870351.100000001"/>
    <n v="116"/>
    <n v="109089"/>
    <n v="12654324"/>
    <n v="167"/>
    <n v="74760.05"/>
    <n v="12484928.35"/>
    <n v="172"/>
    <n v="75926"/>
    <n v="13059272"/>
    <n v="170"/>
    <n v="62999.15"/>
    <n v="10709855.5"/>
    <n v="177"/>
    <n v="64783"/>
    <n v="11466591"/>
    <n v="106"/>
    <n v="36619.620000000003"/>
    <n v="3881679.72"/>
    <n v="124"/>
    <n v="37480"/>
    <n v="4647520"/>
    <n v="12"/>
    <n v="41331.58"/>
    <n v="495978.96"/>
    <n v="13"/>
    <n v="45364"/>
    <n v="589732"/>
    <m/>
    <m/>
    <n v="0"/>
    <m/>
    <m/>
    <n v="0"/>
    <n v="52"/>
    <n v="125090.8"/>
    <n v="5322163.2131200004"/>
    <n v="50"/>
    <n v="132084"/>
    <n v="5403556.4400000004"/>
    <n v="42"/>
    <n v="104918"/>
    <n v="3605444.1192000001"/>
    <n v="50"/>
    <n v="107887"/>
    <n v="4413657.17"/>
    <n v="35"/>
    <n v="85588"/>
    <n v="2450983.5560000003"/>
    <n v="34"/>
    <n v="90299"/>
    <n v="2512009.8212000001"/>
    <n v="26"/>
    <n v="56164.81"/>
    <n v="1194805.236092"/>
    <n v="26"/>
    <n v="61064"/>
    <n v="1299026.6848000002"/>
    <n v="2"/>
    <n v="58659"/>
    <n v="95989.587599999999"/>
    <n v="2"/>
    <n v="61097"/>
    <n v="99979.130799999999"/>
    <m/>
    <m/>
    <n v="0"/>
    <m/>
    <m/>
    <n v="0"/>
  </r>
  <r>
    <x v="8"/>
    <s v="Alcorn State University"/>
    <m/>
    <n v="175342"/>
    <x v="3"/>
    <n v="28"/>
    <n v="67375"/>
    <n v="1886500"/>
    <n v="29"/>
    <n v="65675.649999999994"/>
    <n v="1904593.8499999999"/>
    <n v="29"/>
    <n v="57754.34"/>
    <n v="1674875.8599999999"/>
    <n v="27"/>
    <n v="54855"/>
    <n v="1481085"/>
    <n v="46"/>
    <n v="54787.33"/>
    <n v="2520217.1800000002"/>
    <n v="41"/>
    <n v="53871.438999999998"/>
    <n v="2208728.9989999998"/>
    <n v="41"/>
    <n v="38654.44"/>
    <n v="1584832.04"/>
    <n v="39"/>
    <n v="39175.56"/>
    <n v="1527846.8399999999"/>
    <m/>
    <m/>
    <n v="0"/>
    <m/>
    <m/>
    <n v="0"/>
    <m/>
    <m/>
    <n v="0"/>
    <m/>
    <m/>
    <n v="0"/>
    <n v="6"/>
    <n v="92533.83"/>
    <n v="454267.07823600003"/>
    <n v="6"/>
    <n v="97449"/>
    <n v="478396.63080000004"/>
    <n v="7"/>
    <n v="90364"/>
    <n v="517550.77360000001"/>
    <n v="7"/>
    <n v="95410"/>
    <n v="546451.23400000005"/>
    <n v="10"/>
    <n v="75069.2"/>
    <n v="614216.19440000004"/>
    <n v="8"/>
    <n v="76959"/>
    <n v="503742.83040000004"/>
    <n v="10"/>
    <n v="50260.800000000003"/>
    <n v="411233.86560000002"/>
    <n v="7"/>
    <n v="53380"/>
    <n v="305728.61200000002"/>
    <m/>
    <m/>
    <n v="0"/>
    <m/>
    <m/>
    <n v="0"/>
    <m/>
    <m/>
    <n v="0"/>
    <m/>
    <m/>
    <n v="0"/>
  </r>
  <r>
    <x v="8"/>
    <s v="Delta State University"/>
    <m/>
    <n v="175616"/>
    <x v="3"/>
    <n v="24"/>
    <n v="65237.54"/>
    <n v="1565700.96"/>
    <n v="20"/>
    <n v="65153"/>
    <n v="1303060"/>
    <n v="34"/>
    <n v="56097.15"/>
    <n v="1907303.1"/>
    <n v="35"/>
    <n v="56807"/>
    <n v="1988245"/>
    <n v="44"/>
    <n v="48098.45"/>
    <n v="2116331.7999999998"/>
    <n v="46"/>
    <n v="50632"/>
    <n v="2329072"/>
    <n v="45"/>
    <n v="45533.36"/>
    <n v="2049001.2"/>
    <n v="42"/>
    <n v="46745"/>
    <n v="1963290"/>
    <m/>
    <m/>
    <n v="0"/>
    <m/>
    <m/>
    <n v="0"/>
    <m/>
    <m/>
    <n v="0"/>
    <m/>
    <m/>
    <n v="0"/>
    <n v="8"/>
    <n v="76727.63"/>
    <n v="502228.37492800003"/>
    <n v="11"/>
    <n v="84968"/>
    <n v="764728.99360000005"/>
    <n v="13"/>
    <n v="71279.460000000006"/>
    <n v="758171.1042360001"/>
    <n v="10"/>
    <n v="65750"/>
    <n v="537966.5"/>
    <n v="12"/>
    <n v="58557"/>
    <n v="574936.04879999999"/>
    <n v="10"/>
    <n v="53992"/>
    <n v="441762.54399999999"/>
    <n v="6"/>
    <n v="76033.33"/>
    <n v="373262.82363599999"/>
    <n v="9"/>
    <n v="61781"/>
    <n v="454942.9278"/>
    <m/>
    <m/>
    <n v="0"/>
    <m/>
    <m/>
    <n v="0"/>
    <m/>
    <m/>
    <n v="0"/>
    <m/>
    <m/>
    <n v="0"/>
  </r>
  <r>
    <x v="8"/>
    <s v="Mississippi Valley State University"/>
    <m/>
    <n v="176044"/>
    <x v="3"/>
    <n v="14"/>
    <n v="64285.79"/>
    <n v="900001.06"/>
    <n v="15"/>
    <n v="64904.6"/>
    <n v="973569"/>
    <n v="20"/>
    <n v="55056.800000000003"/>
    <n v="1101136"/>
    <n v="24"/>
    <n v="54360"/>
    <n v="1304640"/>
    <n v="48"/>
    <n v="47774.92"/>
    <n v="2293196.16"/>
    <n v="48"/>
    <n v="47940"/>
    <n v="2301120"/>
    <n v="20"/>
    <n v="40021.699999999997"/>
    <n v="800434"/>
    <n v="18"/>
    <n v="39746.559999999998"/>
    <n v="715438.07999999996"/>
    <m/>
    <m/>
    <n v="0"/>
    <m/>
    <m/>
    <n v="0"/>
    <m/>
    <m/>
    <n v="0"/>
    <m/>
    <m/>
    <n v="0"/>
    <n v="2"/>
    <n v="74946"/>
    <n v="122641.63440000001"/>
    <n v="5"/>
    <n v="81848"/>
    <n v="334840.16800000001"/>
    <n v="11"/>
    <n v="75545.64"/>
    <n v="679925.86912800011"/>
    <n v="9"/>
    <n v="72202"/>
    <n v="531681.08759999997"/>
    <n v="7"/>
    <n v="63736.14"/>
    <n v="365042.36823600001"/>
    <n v="6"/>
    <n v="62173"/>
    <n v="305219.69160000002"/>
    <n v="4"/>
    <n v="45555.25"/>
    <n v="149093.22220000002"/>
    <n v="5"/>
    <n v="46444"/>
    <n v="190002.40400000001"/>
    <m/>
    <m/>
    <n v="0"/>
    <m/>
    <m/>
    <n v="0"/>
    <m/>
    <m/>
    <n v="0"/>
    <m/>
    <m/>
    <n v="0"/>
  </r>
  <r>
    <x v="8"/>
    <s v="Mississippi University for Women"/>
    <m/>
    <n v="176035"/>
    <x v="4"/>
    <n v="20"/>
    <n v="54516.55"/>
    <n v="1090331"/>
    <n v="21"/>
    <n v="55750"/>
    <n v="1170750"/>
    <n v="17"/>
    <n v="45683"/>
    <n v="776611"/>
    <n v="22"/>
    <n v="47749"/>
    <n v="1050478"/>
    <n v="31"/>
    <n v="47956.13"/>
    <n v="1486640.03"/>
    <n v="28"/>
    <n v="46548"/>
    <n v="1303344"/>
    <n v="38"/>
    <n v="45760.5789"/>
    <n v="1738901.9982"/>
    <n v="39"/>
    <n v="45532"/>
    <n v="1775748"/>
    <m/>
    <m/>
    <n v="0"/>
    <m/>
    <m/>
    <n v="0"/>
    <m/>
    <m/>
    <n v="0"/>
    <m/>
    <m/>
    <n v="0"/>
    <n v="7"/>
    <n v="70719.86"/>
    <n v="405040.92616400006"/>
    <n v="9"/>
    <n v="70344"/>
    <n v="517999.14720000001"/>
    <n v="3"/>
    <n v="67217"/>
    <n v="164990.84820000001"/>
    <n v="1"/>
    <n v="59569"/>
    <n v="48739.355800000005"/>
    <n v="3"/>
    <n v="70083.33"/>
    <n v="172026.541818"/>
    <n v="3"/>
    <n v="77123"/>
    <n v="189306.1158"/>
    <n v="11"/>
    <n v="64702.73"/>
    <n v="582337.51054600009"/>
    <n v="14"/>
    <n v="64752"/>
    <n v="741721.20960000006"/>
    <m/>
    <m/>
    <n v="0"/>
    <m/>
    <m/>
    <n v="0"/>
    <m/>
    <m/>
    <n v="0"/>
    <m/>
    <m/>
    <n v="0"/>
  </r>
  <r>
    <x v="8"/>
    <s v="Hinds Community College "/>
    <m/>
    <n v="175786"/>
    <x v="6"/>
    <m/>
    <m/>
    <n v="0"/>
    <m/>
    <m/>
    <n v="0"/>
    <m/>
    <m/>
    <n v="0"/>
    <m/>
    <m/>
    <n v="0"/>
    <m/>
    <m/>
    <n v="0"/>
    <m/>
    <m/>
    <n v="0"/>
    <m/>
    <m/>
    <n v="0"/>
    <m/>
    <m/>
    <n v="0"/>
    <m/>
    <m/>
    <n v="0"/>
    <m/>
    <m/>
    <n v="0"/>
    <n v="283"/>
    <n v="46529.7"/>
    <n v="13167905.1"/>
    <n v="313"/>
    <n v="43493.599999999999"/>
    <n v="13613496.799999999"/>
    <m/>
    <m/>
    <n v="0"/>
    <m/>
    <m/>
    <n v="0"/>
    <m/>
    <m/>
    <n v="0"/>
    <m/>
    <m/>
    <n v="0"/>
    <m/>
    <m/>
    <n v="0"/>
    <m/>
    <m/>
    <n v="0"/>
    <m/>
    <m/>
    <n v="0"/>
    <m/>
    <m/>
    <n v="0"/>
    <m/>
    <m/>
    <n v="0"/>
    <m/>
    <m/>
    <n v="0"/>
    <n v="120"/>
    <n v="53713.474999999999"/>
    <n v="5273803.8294000002"/>
    <n v="107"/>
    <n v="62728.411214953274"/>
    <n v="5491709.3080000002"/>
  </r>
  <r>
    <x v="8"/>
    <s v="Itawamba Community College "/>
    <s v="Met criteria for Two-Year 2 2011-12."/>
    <n v="175829"/>
    <x v="6"/>
    <m/>
    <m/>
    <n v="0"/>
    <m/>
    <m/>
    <n v="0"/>
    <m/>
    <m/>
    <n v="0"/>
    <m/>
    <m/>
    <n v="0"/>
    <m/>
    <m/>
    <n v="0"/>
    <m/>
    <m/>
    <n v="0"/>
    <m/>
    <m/>
    <n v="0"/>
    <m/>
    <m/>
    <n v="0"/>
    <m/>
    <m/>
    <n v="0"/>
    <m/>
    <m/>
    <n v="0"/>
    <n v="145"/>
    <n v="57619.3"/>
    <n v="8354798.5"/>
    <n v="148"/>
    <n v="60257.5"/>
    <n v="8918110"/>
    <m/>
    <m/>
    <n v="0"/>
    <m/>
    <m/>
    <n v="0"/>
    <m/>
    <m/>
    <n v="0"/>
    <m/>
    <m/>
    <n v="0"/>
    <m/>
    <m/>
    <n v="0"/>
    <m/>
    <m/>
    <n v="0"/>
    <m/>
    <m/>
    <n v="0"/>
    <m/>
    <m/>
    <n v="0"/>
    <m/>
    <m/>
    <n v="0"/>
    <m/>
    <m/>
    <n v="0"/>
    <n v="62"/>
    <n v="72853.016129032258"/>
    <n v="3695716.9434000002"/>
    <n v="60"/>
    <n v="76358.433333333334"/>
    <n v="3748588.2092000004"/>
  </r>
  <r>
    <x v="8"/>
    <s v="Mississippi Gulf Coast Community College "/>
    <s v="Met criteria for Two-Year 2 2011-12."/>
    <n v="176071"/>
    <x v="6"/>
    <m/>
    <m/>
    <n v="0"/>
    <m/>
    <m/>
    <n v="0"/>
    <m/>
    <m/>
    <n v="0"/>
    <m/>
    <m/>
    <n v="0"/>
    <m/>
    <m/>
    <n v="0"/>
    <m/>
    <m/>
    <n v="0"/>
    <m/>
    <m/>
    <n v="0"/>
    <m/>
    <m/>
    <n v="0"/>
    <m/>
    <m/>
    <n v="0"/>
    <m/>
    <m/>
    <n v="0"/>
    <n v="252.8"/>
    <n v="46358.5"/>
    <n v="11719428.800000001"/>
    <n v="251.2"/>
    <n v="47666"/>
    <n v="11973699.199999999"/>
    <m/>
    <m/>
    <n v="0"/>
    <m/>
    <m/>
    <n v="0"/>
    <m/>
    <m/>
    <n v="0"/>
    <m/>
    <m/>
    <n v="0"/>
    <m/>
    <m/>
    <n v="0"/>
    <m/>
    <m/>
    <n v="0"/>
    <m/>
    <m/>
    <n v="0"/>
    <m/>
    <m/>
    <n v="0"/>
    <m/>
    <m/>
    <n v="0"/>
    <m/>
    <m/>
    <n v="0"/>
    <n v="84.5"/>
    <n v="50490.3550295858"/>
    <n v="3490797.1170000001"/>
    <n v="73.7"/>
    <n v="50577.869742198098"/>
    <n v="3049913.3198000002"/>
  </r>
  <r>
    <x v="8"/>
    <s v="Northwest Mississippi Community College "/>
    <s v="Met criteria for Two-Year 2 2011-12."/>
    <n v="176178"/>
    <x v="6"/>
    <m/>
    <m/>
    <n v="0"/>
    <m/>
    <m/>
    <n v="0"/>
    <m/>
    <m/>
    <n v="0"/>
    <m/>
    <m/>
    <n v="0"/>
    <m/>
    <m/>
    <n v="0"/>
    <m/>
    <m/>
    <n v="0"/>
    <m/>
    <m/>
    <n v="0"/>
    <m/>
    <m/>
    <n v="0"/>
    <m/>
    <m/>
    <n v="0"/>
    <m/>
    <m/>
    <n v="0"/>
    <n v="183"/>
    <n v="50668.5"/>
    <n v="9272335.5"/>
    <n v="183"/>
    <n v="52790.7"/>
    <n v="9660698.0999999996"/>
    <m/>
    <m/>
    <n v="0"/>
    <m/>
    <m/>
    <n v="0"/>
    <m/>
    <m/>
    <n v="0"/>
    <m/>
    <m/>
    <n v="0"/>
    <m/>
    <m/>
    <n v="0"/>
    <m/>
    <m/>
    <n v="0"/>
    <m/>
    <m/>
    <n v="0"/>
    <m/>
    <m/>
    <n v="0"/>
    <m/>
    <m/>
    <n v="0"/>
    <m/>
    <m/>
    <n v="0"/>
    <n v="38"/>
    <n v="55514"/>
    <n v="1726019.0824000002"/>
    <n v="38"/>
    <n v="58671.605263157893"/>
    <n v="1824194.0822000001"/>
  </r>
  <r>
    <x v="8"/>
    <s v="Copiah-Lincoln Community College "/>
    <s v="Met criteria for Two-Year 3 2011-12."/>
    <n v="175573"/>
    <x v="7"/>
    <m/>
    <m/>
    <n v="0"/>
    <m/>
    <m/>
    <n v="0"/>
    <m/>
    <m/>
    <n v="0"/>
    <m/>
    <m/>
    <n v="0"/>
    <m/>
    <m/>
    <n v="0"/>
    <m/>
    <m/>
    <n v="0"/>
    <m/>
    <m/>
    <n v="0"/>
    <m/>
    <m/>
    <n v="0"/>
    <m/>
    <m/>
    <n v="0"/>
    <m/>
    <m/>
    <n v="0"/>
    <n v="111.5"/>
    <n v="47684.4"/>
    <n v="5316810.6000000006"/>
    <n v="117"/>
    <n v="47013.3"/>
    <n v="5500556.1000000006"/>
    <m/>
    <m/>
    <n v="0"/>
    <m/>
    <m/>
    <n v="0"/>
    <m/>
    <m/>
    <n v="0"/>
    <m/>
    <m/>
    <n v="0"/>
    <m/>
    <m/>
    <n v="0"/>
    <m/>
    <m/>
    <n v="0"/>
    <m/>
    <m/>
    <n v="0"/>
    <m/>
    <m/>
    <n v="0"/>
    <m/>
    <m/>
    <n v="0"/>
    <m/>
    <m/>
    <n v="0"/>
    <n v="0"/>
    <n v="0"/>
    <n v="0"/>
    <m/>
    <m/>
    <n v="0"/>
  </r>
  <r>
    <x v="8"/>
    <s v="East Central Community College "/>
    <s v="Met criteria for Two-Year 3 2011-12."/>
    <n v="175643"/>
    <x v="7"/>
    <m/>
    <m/>
    <n v="0"/>
    <m/>
    <m/>
    <n v="0"/>
    <m/>
    <m/>
    <n v="0"/>
    <m/>
    <m/>
    <n v="0"/>
    <m/>
    <m/>
    <n v="0"/>
    <m/>
    <m/>
    <n v="0"/>
    <m/>
    <m/>
    <n v="0"/>
    <m/>
    <m/>
    <n v="0"/>
    <m/>
    <m/>
    <n v="0"/>
    <m/>
    <m/>
    <n v="0"/>
    <n v="73"/>
    <n v="47197.9"/>
    <n v="3445446.7"/>
    <n v="73"/>
    <n v="47972.1"/>
    <n v="3501963.3"/>
    <m/>
    <m/>
    <n v="0"/>
    <m/>
    <m/>
    <n v="0"/>
    <m/>
    <m/>
    <n v="0"/>
    <m/>
    <m/>
    <n v="0"/>
    <m/>
    <m/>
    <n v="0"/>
    <m/>
    <m/>
    <n v="0"/>
    <m/>
    <m/>
    <n v="0"/>
    <m/>
    <m/>
    <n v="0"/>
    <m/>
    <m/>
    <n v="0"/>
    <m/>
    <m/>
    <n v="0"/>
    <n v="9"/>
    <n v="46461.444444444445"/>
    <n v="342132.78460000001"/>
    <n v="9"/>
    <n v="46744.333333333336"/>
    <n v="344215.92180000001"/>
  </r>
  <r>
    <x v="8"/>
    <s v="East Mississippi Community College "/>
    <m/>
    <n v="175652"/>
    <x v="7"/>
    <m/>
    <m/>
    <n v="0"/>
    <m/>
    <m/>
    <n v="0"/>
    <m/>
    <m/>
    <n v="0"/>
    <m/>
    <m/>
    <n v="0"/>
    <m/>
    <m/>
    <n v="0"/>
    <m/>
    <m/>
    <n v="0"/>
    <m/>
    <m/>
    <n v="0"/>
    <m/>
    <m/>
    <n v="0"/>
    <m/>
    <m/>
    <n v="0"/>
    <m/>
    <m/>
    <n v="0"/>
    <n v="85.7"/>
    <n v="51386"/>
    <n v="4403780.2"/>
    <n v="88.7"/>
    <n v="54739.4"/>
    <n v="4855384.78"/>
    <m/>
    <m/>
    <n v="0"/>
    <m/>
    <m/>
    <n v="0"/>
    <m/>
    <m/>
    <n v="0"/>
    <m/>
    <m/>
    <n v="0"/>
    <m/>
    <m/>
    <n v="0"/>
    <m/>
    <m/>
    <n v="0"/>
    <m/>
    <m/>
    <n v="0"/>
    <m/>
    <m/>
    <n v="0"/>
    <m/>
    <m/>
    <n v="0"/>
    <m/>
    <m/>
    <n v="0"/>
    <n v="25.3"/>
    <n v="58564.545454545456"/>
    <n v="1212313.0306000002"/>
    <n v="17.3"/>
    <n v="56493.468208092483"/>
    <n v="799657.13340000005"/>
  </r>
  <r>
    <x v="8"/>
    <s v="Holmes Community College "/>
    <m/>
    <n v="175810"/>
    <x v="7"/>
    <m/>
    <m/>
    <n v="0"/>
    <m/>
    <m/>
    <n v="0"/>
    <m/>
    <m/>
    <n v="0"/>
    <m/>
    <m/>
    <n v="0"/>
    <m/>
    <m/>
    <n v="0"/>
    <m/>
    <m/>
    <n v="0"/>
    <m/>
    <m/>
    <n v="0"/>
    <m/>
    <m/>
    <n v="0"/>
    <m/>
    <m/>
    <n v="0"/>
    <m/>
    <m/>
    <n v="0"/>
    <n v="138"/>
    <n v="55184.2"/>
    <n v="7615419.5999999996"/>
    <n v="139"/>
    <n v="56276.3"/>
    <n v="7822405.7000000002"/>
    <m/>
    <m/>
    <n v="0"/>
    <m/>
    <m/>
    <n v="0"/>
    <m/>
    <m/>
    <n v="0"/>
    <m/>
    <m/>
    <n v="0"/>
    <m/>
    <m/>
    <n v="0"/>
    <m/>
    <m/>
    <n v="0"/>
    <m/>
    <m/>
    <n v="0"/>
    <m/>
    <m/>
    <n v="0"/>
    <m/>
    <m/>
    <n v="0"/>
    <m/>
    <m/>
    <n v="0"/>
    <n v="27"/>
    <n v="52952.148148148146"/>
    <n v="1169787.0856000001"/>
    <n v="29"/>
    <n v="50515.827586206899"/>
    <n v="1198629.4538"/>
  </r>
  <r>
    <x v="8"/>
    <s v="Jones County Junior College "/>
    <m/>
    <n v="175883"/>
    <x v="7"/>
    <m/>
    <m/>
    <n v="0"/>
    <m/>
    <m/>
    <n v="0"/>
    <m/>
    <m/>
    <n v="0"/>
    <m/>
    <m/>
    <n v="0"/>
    <m/>
    <m/>
    <n v="0"/>
    <m/>
    <m/>
    <n v="0"/>
    <m/>
    <m/>
    <n v="0"/>
    <m/>
    <m/>
    <n v="0"/>
    <m/>
    <m/>
    <n v="0"/>
    <m/>
    <m/>
    <n v="0"/>
    <n v="123.5"/>
    <n v="52897.7"/>
    <n v="6532865.9499999993"/>
    <n v="127"/>
    <n v="51650.1"/>
    <n v="6559562.7000000002"/>
    <m/>
    <m/>
    <n v="0"/>
    <m/>
    <m/>
    <n v="0"/>
    <m/>
    <m/>
    <n v="0"/>
    <m/>
    <m/>
    <n v="0"/>
    <m/>
    <m/>
    <n v="0"/>
    <m/>
    <m/>
    <n v="0"/>
    <m/>
    <m/>
    <n v="0"/>
    <m/>
    <m/>
    <n v="0"/>
    <m/>
    <m/>
    <n v="0"/>
    <m/>
    <m/>
    <n v="0"/>
    <n v="19"/>
    <n v="58520.84210526316"/>
    <n v="909753.30720000004"/>
    <n v="16"/>
    <n v="58780.875"/>
    <n v="769512.19079999998"/>
  </r>
  <r>
    <x v="8"/>
    <s v="Meridian Community College "/>
    <s v="Met criteria for Two-Year 3 2011-12."/>
    <n v="175935"/>
    <x v="7"/>
    <m/>
    <m/>
    <n v="0"/>
    <m/>
    <m/>
    <n v="0"/>
    <m/>
    <m/>
    <n v="0"/>
    <m/>
    <m/>
    <n v="0"/>
    <m/>
    <m/>
    <n v="0"/>
    <m/>
    <m/>
    <n v="0"/>
    <m/>
    <m/>
    <n v="0"/>
    <m/>
    <m/>
    <n v="0"/>
    <m/>
    <m/>
    <n v="0"/>
    <m/>
    <m/>
    <n v="0"/>
    <n v="92"/>
    <n v="44019.3"/>
    <n v="4049775.6"/>
    <n v="95.8"/>
    <n v="43742.8"/>
    <n v="4190560.24"/>
    <m/>
    <m/>
    <n v="0"/>
    <m/>
    <m/>
    <n v="0"/>
    <m/>
    <m/>
    <n v="0"/>
    <m/>
    <m/>
    <n v="0"/>
    <m/>
    <m/>
    <n v="0"/>
    <m/>
    <m/>
    <n v="0"/>
    <m/>
    <m/>
    <n v="0"/>
    <m/>
    <m/>
    <n v="0"/>
    <m/>
    <m/>
    <n v="0"/>
    <m/>
    <m/>
    <n v="0"/>
    <n v="63"/>
    <n v="47333.079365079364"/>
    <n v="2439859.3088000002"/>
    <n v="63.9"/>
    <n v="47674.694835680755"/>
    <n v="2492575.1166000003"/>
  </r>
  <r>
    <x v="8"/>
    <s v="Mississippi Delta Community College "/>
    <s v="Met criteria for Two-Year 3 2011-12."/>
    <n v="176008"/>
    <x v="7"/>
    <m/>
    <m/>
    <n v="0"/>
    <m/>
    <m/>
    <n v="0"/>
    <m/>
    <m/>
    <n v="0"/>
    <m/>
    <m/>
    <n v="0"/>
    <m/>
    <m/>
    <n v="0"/>
    <m/>
    <m/>
    <n v="0"/>
    <m/>
    <m/>
    <n v="0"/>
    <m/>
    <m/>
    <n v="0"/>
    <m/>
    <m/>
    <n v="0"/>
    <m/>
    <m/>
    <n v="0"/>
    <n v="113"/>
    <n v="50243.5"/>
    <n v="5677515.5"/>
    <n v="104.3"/>
    <n v="51037.599999999999"/>
    <n v="5323221.68"/>
    <m/>
    <m/>
    <n v="0"/>
    <m/>
    <m/>
    <n v="0"/>
    <m/>
    <m/>
    <n v="0"/>
    <m/>
    <m/>
    <n v="0"/>
    <m/>
    <m/>
    <n v="0"/>
    <m/>
    <m/>
    <n v="0"/>
    <m/>
    <m/>
    <n v="0"/>
    <m/>
    <m/>
    <n v="0"/>
    <m/>
    <m/>
    <n v="0"/>
    <m/>
    <m/>
    <n v="0"/>
    <n v="4"/>
    <n v="41411"/>
    <n v="135529.92079999999"/>
    <n v="8"/>
    <n v="49467.375"/>
    <n v="323793.64980000001"/>
  </r>
  <r>
    <x v="8"/>
    <s v="Northeast Mississippi Community College "/>
    <s v="Met criteria for Two-Year 3 2011-12."/>
    <n v="176169"/>
    <x v="7"/>
    <m/>
    <m/>
    <n v="0"/>
    <m/>
    <m/>
    <n v="0"/>
    <m/>
    <m/>
    <n v="0"/>
    <m/>
    <m/>
    <n v="0"/>
    <m/>
    <m/>
    <n v="0"/>
    <m/>
    <m/>
    <n v="0"/>
    <m/>
    <m/>
    <n v="0"/>
    <m/>
    <m/>
    <n v="0"/>
    <m/>
    <m/>
    <n v="0"/>
    <m/>
    <m/>
    <n v="0"/>
    <n v="103"/>
    <n v="51957.7"/>
    <n v="5351643.0999999996"/>
    <n v="102"/>
    <n v="52046"/>
    <n v="5308692"/>
    <m/>
    <m/>
    <n v="0"/>
    <m/>
    <m/>
    <n v="0"/>
    <m/>
    <m/>
    <n v="0"/>
    <m/>
    <m/>
    <n v="0"/>
    <m/>
    <m/>
    <n v="0"/>
    <m/>
    <m/>
    <n v="0"/>
    <m/>
    <m/>
    <n v="0"/>
    <m/>
    <m/>
    <n v="0"/>
    <m/>
    <m/>
    <n v="0"/>
    <m/>
    <m/>
    <n v="0"/>
    <n v="22"/>
    <n v="62918.727272727272"/>
    <n v="1132562.2584000002"/>
    <n v="22"/>
    <n v="63194.590909090912"/>
    <n v="1137527.9142"/>
  </r>
  <r>
    <x v="8"/>
    <s v="Pearl River Community College "/>
    <m/>
    <n v="176239"/>
    <x v="7"/>
    <m/>
    <m/>
    <n v="0"/>
    <m/>
    <m/>
    <n v="0"/>
    <m/>
    <m/>
    <n v="0"/>
    <m/>
    <m/>
    <n v="0"/>
    <m/>
    <m/>
    <n v="0"/>
    <m/>
    <m/>
    <n v="0"/>
    <m/>
    <m/>
    <n v="0"/>
    <m/>
    <m/>
    <n v="0"/>
    <m/>
    <m/>
    <n v="0"/>
    <m/>
    <m/>
    <n v="0"/>
    <n v="183"/>
    <n v="56687.4"/>
    <n v="10373794.200000001"/>
    <n v="187"/>
    <n v="56705"/>
    <n v="10603835"/>
    <m/>
    <m/>
    <n v="0"/>
    <m/>
    <m/>
    <n v="0"/>
    <m/>
    <m/>
    <n v="0"/>
    <m/>
    <m/>
    <n v="0"/>
    <m/>
    <m/>
    <n v="0"/>
    <m/>
    <m/>
    <n v="0"/>
    <m/>
    <m/>
    <n v="0"/>
    <m/>
    <m/>
    <n v="0"/>
    <m/>
    <m/>
    <n v="0"/>
    <m/>
    <m/>
    <n v="0"/>
    <n v="0"/>
    <n v="0"/>
    <n v="0"/>
    <m/>
    <m/>
    <n v="0"/>
  </r>
  <r>
    <x v="8"/>
    <s v="Coahoma Community College "/>
    <m/>
    <n v="175519"/>
    <x v="8"/>
    <m/>
    <m/>
    <n v="0"/>
    <m/>
    <m/>
    <n v="0"/>
    <m/>
    <m/>
    <n v="0"/>
    <m/>
    <m/>
    <n v="0"/>
    <m/>
    <m/>
    <n v="0"/>
    <m/>
    <m/>
    <n v="0"/>
    <m/>
    <m/>
    <n v="0"/>
    <m/>
    <m/>
    <n v="0"/>
    <m/>
    <m/>
    <n v="0"/>
    <m/>
    <m/>
    <n v="0"/>
    <n v="53"/>
    <n v="44817.5"/>
    <n v="2375327.5"/>
    <n v="57"/>
    <n v="44610.9"/>
    <n v="2542821.3000000003"/>
    <m/>
    <m/>
    <n v="0"/>
    <m/>
    <m/>
    <n v="0"/>
    <m/>
    <m/>
    <n v="0"/>
    <m/>
    <m/>
    <n v="0"/>
    <m/>
    <m/>
    <n v="0"/>
    <m/>
    <m/>
    <n v="0"/>
    <m/>
    <m/>
    <n v="0"/>
    <m/>
    <m/>
    <n v="0"/>
    <m/>
    <m/>
    <n v="0"/>
    <m/>
    <m/>
    <n v="0"/>
    <n v="21"/>
    <n v="38637.333333333336"/>
    <n v="663874.38880000007"/>
    <n v="24"/>
    <n v="39132.416666666664"/>
    <n v="768435.43960000004"/>
  </r>
  <r>
    <x v="8"/>
    <s v="Southwest Mississippi Community College"/>
    <m/>
    <n v="176354"/>
    <x v="8"/>
    <m/>
    <m/>
    <n v="0"/>
    <m/>
    <m/>
    <n v="0"/>
    <m/>
    <m/>
    <n v="0"/>
    <m/>
    <m/>
    <n v="0"/>
    <m/>
    <m/>
    <n v="0"/>
    <m/>
    <m/>
    <n v="0"/>
    <m/>
    <m/>
    <n v="0"/>
    <m/>
    <m/>
    <n v="0"/>
    <m/>
    <m/>
    <n v="0"/>
    <m/>
    <m/>
    <n v="0"/>
    <n v="59"/>
    <n v="55420.5"/>
    <n v="3269809.5"/>
    <n v="59"/>
    <n v="56308.6"/>
    <n v="3322207.4"/>
    <m/>
    <m/>
    <n v="0"/>
    <m/>
    <m/>
    <n v="0"/>
    <m/>
    <m/>
    <n v="0"/>
    <m/>
    <m/>
    <n v="0"/>
    <m/>
    <m/>
    <n v="0"/>
    <m/>
    <m/>
    <n v="0"/>
    <m/>
    <m/>
    <n v="0"/>
    <m/>
    <m/>
    <n v="0"/>
    <m/>
    <m/>
    <n v="0"/>
    <m/>
    <m/>
    <n v="0"/>
    <n v="12"/>
    <n v="42368.75"/>
    <n v="415993.33500000002"/>
    <n v="9"/>
    <n v="44345.555555555555"/>
    <n v="326551.80200000003"/>
  </r>
  <r>
    <x v="9"/>
    <s v="North Carolina State University "/>
    <m/>
    <n v="199193"/>
    <x v="0"/>
    <n v="401"/>
    <n v="123240"/>
    <n v="49419240"/>
    <n v="397"/>
    <n v="124967"/>
    <n v="49611899"/>
    <n v="304"/>
    <n v="85875"/>
    <n v="26106000"/>
    <n v="318"/>
    <n v="85641"/>
    <n v="27233838"/>
    <n v="211"/>
    <n v="74260"/>
    <n v="15668860"/>
    <n v="209"/>
    <n v="75380"/>
    <n v="15754420"/>
    <n v="4"/>
    <n v="65750"/>
    <n v="263000"/>
    <n v="4"/>
    <n v="75250"/>
    <n v="301000"/>
    <n v="225"/>
    <n v="50467"/>
    <n v="11355075"/>
    <n v="220"/>
    <n v="52045"/>
    <n v="11449900"/>
    <m/>
    <m/>
    <n v="0"/>
    <m/>
    <m/>
    <n v="0"/>
    <n v="275"/>
    <n v="129044"/>
    <n v="29035545.220000003"/>
    <n v="261"/>
    <n v="127670"/>
    <n v="27263954.034000002"/>
    <n v="124"/>
    <n v="96723"/>
    <n v="9813206.0664000008"/>
    <n v="128"/>
    <n v="96563"/>
    <n v="10113004.364800001"/>
    <n v="127"/>
    <n v="78134"/>
    <n v="8119013.3276000004"/>
    <n v="124"/>
    <n v="77286"/>
    <n v="7841190.2448000005"/>
    <n v="1"/>
    <n v="51500"/>
    <n v="42137.3"/>
    <n v="1"/>
    <n v="51500"/>
    <n v="42137.3"/>
    <n v="83"/>
    <n v="82069"/>
    <n v="5573355.0314000007"/>
    <n v="74"/>
    <n v="84190"/>
    <n v="5097435.0920000002"/>
    <m/>
    <m/>
    <n v="0"/>
    <m/>
    <m/>
    <n v="0"/>
  </r>
  <r>
    <x v="9"/>
    <s v="University of North Carolina at Chapel Hill "/>
    <m/>
    <n v="199120"/>
    <x v="0"/>
    <n v="504"/>
    <n v="140969"/>
    <n v="71048376"/>
    <n v="487"/>
    <n v="141602"/>
    <n v="68960174"/>
    <n v="261"/>
    <n v="91259"/>
    <n v="23818599"/>
    <n v="274"/>
    <n v="92190"/>
    <n v="25260060"/>
    <n v="249"/>
    <n v="84273"/>
    <n v="20983977"/>
    <n v="266"/>
    <n v="84145"/>
    <n v="22382570"/>
    <n v="8"/>
    <n v="95625"/>
    <n v="765000"/>
    <n v="4"/>
    <n v="119250"/>
    <n v="477000"/>
    <n v="210"/>
    <n v="62319"/>
    <n v="13086990"/>
    <n v="210"/>
    <n v="61040"/>
    <n v="12818400"/>
    <m/>
    <m/>
    <n v="0"/>
    <m/>
    <m/>
    <n v="0"/>
    <n v="129"/>
    <n v="186539"/>
    <n v="19688781.064200003"/>
    <n v="128"/>
    <n v="187043"/>
    <n v="19588938.572799999"/>
    <n v="91"/>
    <n v="120336"/>
    <n v="8959761.2832000013"/>
    <n v="92"/>
    <n v="124455"/>
    <n v="9368275.4519999996"/>
    <n v="86"/>
    <n v="88085"/>
    <n v="6198118.642"/>
    <n v="95"/>
    <n v="85776"/>
    <n v="6667282.7039999999"/>
    <n v="3"/>
    <n v="68124"/>
    <n v="167217.1704"/>
    <n v="2"/>
    <n v="77246"/>
    <n v="126405.35440000001"/>
    <n v="130"/>
    <n v="106557"/>
    <n v="11334041.862"/>
    <n v="128"/>
    <n v="103005"/>
    <n v="10787672.448000001"/>
    <m/>
    <m/>
    <n v="0"/>
    <m/>
    <m/>
    <n v="0"/>
  </r>
  <r>
    <x v="9"/>
    <s v="University of North Carolina at Greensboro"/>
    <s v="Reclassified: met the criteria for Four-Year 1 in 2009-10, 2010-11 and 2011-12."/>
    <n v="199148"/>
    <x v="0"/>
    <n v="182"/>
    <n v="109545"/>
    <n v="19937190"/>
    <n v="177"/>
    <n v="109378"/>
    <n v="19359906"/>
    <n v="233"/>
    <n v="77321"/>
    <n v="18015793"/>
    <n v="240"/>
    <n v="75849"/>
    <n v="18203760"/>
    <n v="148"/>
    <n v="64111"/>
    <n v="9488428"/>
    <n v="133"/>
    <n v="62880"/>
    <n v="8363040"/>
    <n v="45"/>
    <n v="58957"/>
    <n v="2653065"/>
    <n v="43"/>
    <n v="57329"/>
    <n v="2465147"/>
    <n v="174"/>
    <n v="44486"/>
    <n v="7740564"/>
    <n v="154"/>
    <n v="43411"/>
    <n v="6685294"/>
    <m/>
    <m/>
    <n v="0"/>
    <m/>
    <m/>
    <n v="0"/>
    <n v="12"/>
    <n v="132189"/>
    <n v="1297884.4776000001"/>
    <n v="18"/>
    <n v="125455"/>
    <n v="1847651.0580000002"/>
    <n v="10"/>
    <n v="88962"/>
    <n v="727887.08400000003"/>
    <n v="8"/>
    <n v="77649"/>
    <n v="508259.29440000001"/>
    <n v="2"/>
    <n v="96301"/>
    <n v="157586.9564"/>
    <n v="2"/>
    <n v="96301"/>
    <n v="157586.9564"/>
    <n v="15"/>
    <n v="60443"/>
    <n v="741816.93900000001"/>
    <n v="12"/>
    <n v="61746"/>
    <n v="606246.9264"/>
    <n v="18"/>
    <n v="49898"/>
    <n v="734877.78480000002"/>
    <n v="19"/>
    <n v="49122"/>
    <n v="763640.78760000004"/>
    <m/>
    <m/>
    <n v="0"/>
    <m/>
    <m/>
    <n v="0"/>
  </r>
  <r>
    <x v="9"/>
    <s v="University of North Carolina at Charlotte"/>
    <m/>
    <n v="199139"/>
    <x v="1"/>
    <n v="178"/>
    <n v="112695"/>
    <n v="20059710"/>
    <n v="190"/>
    <n v="112591"/>
    <n v="21392290"/>
    <n v="281"/>
    <n v="80833"/>
    <n v="22714073"/>
    <n v="294"/>
    <n v="79225"/>
    <n v="23292150"/>
    <n v="232"/>
    <n v="69048"/>
    <n v="16019136"/>
    <n v="214"/>
    <n v="69883"/>
    <n v="14954962"/>
    <n v="0"/>
    <n v="0"/>
    <n v="0"/>
    <n v="0"/>
    <n v="0"/>
    <n v="0"/>
    <n v="187"/>
    <n v="49549"/>
    <n v="9265663"/>
    <n v="200"/>
    <n v="48965"/>
    <n v="9793000"/>
    <m/>
    <m/>
    <n v="0"/>
    <m/>
    <m/>
    <n v="0"/>
    <n v="26"/>
    <n v="137596"/>
    <n v="2927107.2272000001"/>
    <n v="24"/>
    <n v="137593"/>
    <n v="2701886.2224000003"/>
    <n v="14"/>
    <n v="110332"/>
    <n v="1263830.9936000002"/>
    <n v="10"/>
    <n v="104028"/>
    <n v="851157.09600000002"/>
    <n v="0"/>
    <n v="0"/>
    <n v="0"/>
    <n v="0"/>
    <n v="0"/>
    <n v="0"/>
    <n v="0"/>
    <n v="0"/>
    <n v="0"/>
    <n v="0"/>
    <n v="0"/>
    <n v="0"/>
    <n v="31"/>
    <n v="68211"/>
    <n v="1730117.4462000001"/>
    <n v="39"/>
    <n v="67597"/>
    <n v="2157006.7505999999"/>
    <m/>
    <m/>
    <n v="0"/>
    <m/>
    <m/>
    <n v="0"/>
  </r>
  <r>
    <x v="9"/>
    <s v="Appalachian State University "/>
    <m/>
    <n v="197869"/>
    <x v="2"/>
    <n v="268"/>
    <n v="89540"/>
    <n v="23996720"/>
    <n v="267"/>
    <n v="89280"/>
    <n v="23837760"/>
    <n v="189"/>
    <n v="72145"/>
    <n v="13635405"/>
    <n v="205"/>
    <n v="70287"/>
    <n v="14408835"/>
    <n v="232"/>
    <n v="59937"/>
    <n v="13905384"/>
    <n v="219"/>
    <n v="60496"/>
    <n v="13248624"/>
    <n v="7"/>
    <n v="54478"/>
    <n v="381346"/>
    <n v="12"/>
    <n v="58066"/>
    <n v="696792"/>
    <n v="158"/>
    <n v="43137"/>
    <n v="6815646"/>
    <n v="153"/>
    <n v="41863"/>
    <n v="6405039"/>
    <m/>
    <m/>
    <n v="0"/>
    <m/>
    <m/>
    <n v="0"/>
    <n v="2"/>
    <n v="93891"/>
    <n v="153643.23240000001"/>
    <n v="4"/>
    <n v="109850"/>
    <n v="359517.08"/>
    <n v="2"/>
    <n v="76720"/>
    <n v="125544.60800000001"/>
    <n v="2"/>
    <n v="76720"/>
    <n v="125544.60800000001"/>
    <n v="1"/>
    <n v="63250"/>
    <n v="51751.15"/>
    <n v="1"/>
    <n v="63250"/>
    <n v="51751.15"/>
    <n v="0"/>
    <n v="0"/>
    <n v="0"/>
    <n v="0"/>
    <n v="0"/>
    <n v="0"/>
    <n v="3"/>
    <n v="41500"/>
    <n v="101865.90000000001"/>
    <n v="8"/>
    <n v="41982"/>
    <n v="274797.37920000002"/>
    <m/>
    <m/>
    <n v="0"/>
    <m/>
    <m/>
    <n v="0"/>
  </r>
  <r>
    <x v="9"/>
    <s v="East Carolina University "/>
    <s v="Met the criteria for Four-Year 2 in 2010-11 and 2011-12."/>
    <n v="198464"/>
    <x v="2"/>
    <n v="174"/>
    <n v="92662"/>
    <n v="16123188"/>
    <n v="170"/>
    <n v="93530"/>
    <n v="15900100"/>
    <n v="329"/>
    <n v="74352"/>
    <n v="24461808"/>
    <n v="346"/>
    <n v="74138"/>
    <n v="25651748"/>
    <n v="285"/>
    <n v="66652"/>
    <n v="18995820"/>
    <n v="250"/>
    <n v="66808"/>
    <n v="16702000"/>
    <n v="5"/>
    <n v="61162"/>
    <n v="305810"/>
    <n v="7"/>
    <n v="69187"/>
    <n v="484309"/>
    <n v="270"/>
    <n v="48541"/>
    <n v="13106070"/>
    <n v="246"/>
    <n v="49573"/>
    <n v="12194958"/>
    <m/>
    <m/>
    <n v="0"/>
    <m/>
    <m/>
    <n v="0"/>
    <n v="55"/>
    <n v="129076"/>
    <n v="5808549.0760000004"/>
    <n v="56"/>
    <n v="125134"/>
    <n v="5733539.7728000004"/>
    <n v="55"/>
    <n v="97093"/>
    <n v="4369282.0930000003"/>
    <n v="53"/>
    <n v="97160"/>
    <n v="4213304.5360000003"/>
    <n v="23"/>
    <n v="77622"/>
    <n v="1460737.3692000001"/>
    <n v="24"/>
    <n v="79774"/>
    <n v="1566506.0832"/>
    <n v="1"/>
    <n v="53170"/>
    <n v="43503.694000000003"/>
    <n v="1"/>
    <n v="59170"/>
    <n v="48412.894"/>
    <n v="49"/>
    <n v="72916"/>
    <n v="2923333.6888000001"/>
    <n v="44"/>
    <n v="72984"/>
    <n v="2627482.3872000002"/>
    <m/>
    <m/>
    <n v="0"/>
    <m/>
    <m/>
    <n v="0"/>
  </r>
  <r>
    <x v="9"/>
    <s v="North Carolina A&amp;T State University"/>
    <m/>
    <n v="199102"/>
    <x v="2"/>
    <n v="86"/>
    <n v="91697"/>
    <n v="7885942"/>
    <n v="77"/>
    <n v="91106"/>
    <n v="7015162"/>
    <n v="163"/>
    <n v="75565"/>
    <n v="12317095"/>
    <n v="161"/>
    <n v="74274"/>
    <n v="11958114"/>
    <n v="99"/>
    <n v="66155"/>
    <n v="6549345"/>
    <n v="107"/>
    <n v="67426"/>
    <n v="7214582"/>
    <n v="5"/>
    <n v="52126"/>
    <n v="260630"/>
    <n v="2"/>
    <n v="44720"/>
    <n v="89440"/>
    <n v="98"/>
    <n v="55168"/>
    <n v="5406464"/>
    <n v="79"/>
    <n v="53381"/>
    <n v="4217099"/>
    <m/>
    <m/>
    <n v="0"/>
    <m/>
    <m/>
    <n v="0"/>
    <n v="25"/>
    <n v="113152"/>
    <n v="2314524.16"/>
    <n v="25"/>
    <n v="117101"/>
    <n v="2395300.9550000001"/>
    <n v="19"/>
    <n v="110749"/>
    <n v="1721681.8042000001"/>
    <n v="24"/>
    <n v="104347"/>
    <n v="2049041.1696000001"/>
    <n v="3"/>
    <n v="81801"/>
    <n v="200788.7346"/>
    <n v="6"/>
    <n v="90241"/>
    <n v="443011.11720000004"/>
    <n v="0"/>
    <n v="0"/>
    <n v="0"/>
    <n v="1"/>
    <n v="71000"/>
    <n v="58092.200000000004"/>
    <n v="21"/>
    <n v="67852"/>
    <n v="1165846.6344000001"/>
    <n v="26"/>
    <n v="66429"/>
    <n v="1413157.4028"/>
    <m/>
    <m/>
    <n v="0"/>
    <m/>
    <m/>
    <n v="0"/>
  </r>
  <r>
    <x v="9"/>
    <s v="North Carolina Central University "/>
    <m/>
    <n v="199157"/>
    <x v="2"/>
    <n v="50"/>
    <n v="101784"/>
    <n v="5089200"/>
    <n v="31"/>
    <n v="100113"/>
    <n v="3103503"/>
    <n v="66"/>
    <n v="78395"/>
    <n v="5174070"/>
    <n v="61"/>
    <n v="75962"/>
    <n v="4633682"/>
    <n v="111"/>
    <n v="69776"/>
    <n v="7745136"/>
    <n v="111"/>
    <n v="68565"/>
    <n v="7610715"/>
    <n v="1"/>
    <n v="53000"/>
    <n v="53000"/>
    <n v="2"/>
    <n v="48100"/>
    <n v="96200"/>
    <n v="79"/>
    <n v="58393"/>
    <n v="4613047"/>
    <n v="84"/>
    <n v="50431"/>
    <n v="4236204"/>
    <m/>
    <m/>
    <n v="0"/>
    <m/>
    <m/>
    <n v="0"/>
    <n v="13"/>
    <n v="114314"/>
    <n v="1215912.2924000002"/>
    <n v="34"/>
    <n v="111435"/>
    <n v="3099987.9780000001"/>
    <n v="26"/>
    <n v="91050"/>
    <n v="1936924.86"/>
    <n v="32"/>
    <n v="93044"/>
    <n v="2436115.2256"/>
    <n v="21"/>
    <n v="71046"/>
    <n v="1220726.5812000001"/>
    <n v="33"/>
    <n v="75813"/>
    <n v="2046996.4878"/>
    <n v="2"/>
    <n v="43754"/>
    <n v="71599.045599999998"/>
    <n v="2"/>
    <n v="56500"/>
    <n v="92456.6"/>
    <n v="43"/>
    <n v="66976"/>
    <n v="2356389.8176000002"/>
    <n v="35"/>
    <n v="65217"/>
    <n v="1867619.2290000001"/>
    <m/>
    <m/>
    <n v="0"/>
    <m/>
    <m/>
    <n v="0"/>
  </r>
  <r>
    <x v="9"/>
    <s v="University of North Carolina at Wilmington"/>
    <m/>
    <n v="199218"/>
    <x v="2"/>
    <n v="141"/>
    <n v="94334"/>
    <n v="13301094"/>
    <n v="148"/>
    <n v="93312"/>
    <n v="13810176"/>
    <n v="174"/>
    <n v="73173"/>
    <n v="12732102"/>
    <n v="184"/>
    <n v="71746"/>
    <n v="13201264"/>
    <n v="152"/>
    <n v="61171"/>
    <n v="9297992"/>
    <n v="133"/>
    <n v="59835"/>
    <n v="7958055"/>
    <n v="0"/>
    <n v="0"/>
    <n v="0"/>
    <n v="0"/>
    <n v="0"/>
    <n v="0"/>
    <n v="81"/>
    <n v="47037"/>
    <n v="3809997"/>
    <n v="89"/>
    <n v="45461"/>
    <n v="4046029"/>
    <m/>
    <m/>
    <n v="0"/>
    <m/>
    <m/>
    <n v="0"/>
    <n v="32"/>
    <n v="117934"/>
    <n v="3087795.1616000002"/>
    <n v="27"/>
    <n v="116186"/>
    <n v="2566711.4004000002"/>
    <n v="16"/>
    <n v="88375"/>
    <n v="1156934.8"/>
    <n v="21"/>
    <n v="94033"/>
    <n v="1615693.8126000001"/>
    <n v="2"/>
    <n v="44667"/>
    <n v="73093.078800000003"/>
    <n v="3"/>
    <n v="45839"/>
    <n v="112516.4094"/>
    <n v="0"/>
    <n v="0"/>
    <n v="0"/>
    <n v="0"/>
    <n v="0"/>
    <n v="0"/>
    <n v="19"/>
    <n v="54999"/>
    <n v="855003.45420000004"/>
    <n v="19"/>
    <n v="52859"/>
    <n v="821735.44220000005"/>
    <m/>
    <m/>
    <n v="0"/>
    <m/>
    <m/>
    <n v="0"/>
  </r>
  <r>
    <x v="9"/>
    <s v="Western Carolina University "/>
    <m/>
    <n v="200004"/>
    <x v="2"/>
    <n v="54"/>
    <n v="87580"/>
    <n v="4729320"/>
    <n v="58"/>
    <n v="88832"/>
    <n v="5152256"/>
    <n v="119"/>
    <n v="72963"/>
    <n v="8682597"/>
    <n v="136"/>
    <n v="71763"/>
    <n v="9759768"/>
    <n v="124"/>
    <n v="58964"/>
    <n v="7311536"/>
    <n v="104"/>
    <n v="57179"/>
    <n v="5946616"/>
    <n v="14"/>
    <n v="47683"/>
    <n v="667562"/>
    <n v="13"/>
    <n v="47842"/>
    <n v="621946"/>
    <n v="87"/>
    <n v="55179"/>
    <n v="4800573"/>
    <n v="74"/>
    <n v="57214"/>
    <n v="4233836"/>
    <m/>
    <m/>
    <n v="0"/>
    <m/>
    <m/>
    <n v="0"/>
    <n v="16"/>
    <n v="114451"/>
    <n v="1498300.9312"/>
    <n v="15"/>
    <n v="108405"/>
    <n v="1330454.5650000002"/>
    <n v="20"/>
    <n v="101957"/>
    <n v="1668424.348"/>
    <n v="16"/>
    <n v="94179"/>
    <n v="1232916.1248000001"/>
    <n v="2"/>
    <n v="68247"/>
    <n v="111679.39080000001"/>
    <n v="4"/>
    <n v="81180"/>
    <n v="265685.90400000004"/>
    <n v="0"/>
    <n v="0"/>
    <n v="0"/>
    <n v="3"/>
    <n v="51633"/>
    <n v="126738.3618"/>
    <n v="15"/>
    <n v="88227"/>
    <n v="1082809.9710000001"/>
    <n v="16"/>
    <n v="80157"/>
    <n v="1049351.3184"/>
    <m/>
    <m/>
    <n v="0"/>
    <m/>
    <m/>
    <n v="0"/>
  </r>
  <r>
    <x v="9"/>
    <s v="Fayetteville State University "/>
    <m/>
    <n v="198543"/>
    <x v="3"/>
    <n v="33"/>
    <n v="85429"/>
    <n v="2819157"/>
    <n v="38"/>
    <n v="86313"/>
    <n v="3279894"/>
    <n v="72"/>
    <n v="73418"/>
    <n v="5286096"/>
    <n v="81"/>
    <n v="73767"/>
    <n v="5975127"/>
    <n v="106"/>
    <n v="63055"/>
    <n v="6683830"/>
    <n v="100"/>
    <n v="62904"/>
    <n v="6290400"/>
    <n v="9"/>
    <n v="58771"/>
    <n v="528939"/>
    <n v="7"/>
    <n v="60842"/>
    <n v="425894"/>
    <n v="33"/>
    <n v="53427"/>
    <n v="1763091"/>
    <n v="33"/>
    <n v="55085"/>
    <n v="1817805"/>
    <m/>
    <m/>
    <n v="0"/>
    <m/>
    <m/>
    <n v="0"/>
    <n v="11"/>
    <n v="106866"/>
    <n v="961815.37320000003"/>
    <n v="12"/>
    <n v="110509"/>
    <n v="1085021.5656000001"/>
    <n v="10"/>
    <n v="93002"/>
    <n v="760942.36400000006"/>
    <n v="8"/>
    <n v="95067"/>
    <n v="622270.55520000006"/>
    <n v="3"/>
    <n v="93259"/>
    <n v="228913.54140000002"/>
    <n v="1"/>
    <n v="109438"/>
    <n v="89542.171600000001"/>
    <n v="0"/>
    <n v="0"/>
    <n v="0"/>
    <n v="0"/>
    <n v="0"/>
    <n v="0"/>
    <n v="0"/>
    <n v="0"/>
    <n v="0"/>
    <n v="0"/>
    <n v="0"/>
    <n v="0"/>
    <m/>
    <m/>
    <n v="0"/>
    <m/>
    <m/>
    <n v="0"/>
  </r>
  <r>
    <x v="9"/>
    <s v="University of North Carolina at Pembroke"/>
    <m/>
    <n v="199281"/>
    <x v="4"/>
    <n v="59"/>
    <n v="85636"/>
    <n v="5052524"/>
    <n v="60"/>
    <n v="82310"/>
    <n v="4938600"/>
    <n v="63"/>
    <n v="66000"/>
    <n v="4158000"/>
    <n v="61"/>
    <n v="63308"/>
    <n v="3861788"/>
    <n v="113"/>
    <n v="57362"/>
    <n v="6481906"/>
    <n v="105"/>
    <n v="56961"/>
    <n v="5980905"/>
    <n v="3"/>
    <n v="50154"/>
    <n v="150462"/>
    <n v="2"/>
    <n v="47500"/>
    <n v="95000"/>
    <n v="82"/>
    <n v="47843"/>
    <n v="3923126"/>
    <n v="77"/>
    <n v="47848"/>
    <n v="3684296"/>
    <m/>
    <m/>
    <n v="0"/>
    <m/>
    <m/>
    <n v="0"/>
    <n v="1"/>
    <n v="102572"/>
    <n v="83924.410400000008"/>
    <n v="3"/>
    <n v="87293"/>
    <n v="214269.39780000001"/>
    <n v="1"/>
    <n v="115000"/>
    <n v="94093"/>
    <n v="3"/>
    <n v="94955"/>
    <n v="233076.54300000001"/>
    <n v="2"/>
    <n v="86166"/>
    <n v="141002.04240000001"/>
    <n v="2"/>
    <n v="86166"/>
    <n v="141002.04240000001"/>
    <n v="0"/>
    <n v="0"/>
    <n v="0"/>
    <n v="0"/>
    <n v="0"/>
    <n v="0"/>
    <n v="5"/>
    <n v="67012"/>
    <n v="274146.092"/>
    <n v="5"/>
    <n v="67017"/>
    <n v="274166.54700000002"/>
    <m/>
    <m/>
    <n v="0"/>
    <m/>
    <m/>
    <n v="0"/>
  </r>
  <r>
    <x v="9"/>
    <s v="Winston-Salem State University "/>
    <m/>
    <n v="199999"/>
    <x v="4"/>
    <n v="16"/>
    <n v="92518"/>
    <n v="1480288"/>
    <n v="19"/>
    <n v="89813"/>
    <n v="1706447"/>
    <n v="61"/>
    <n v="76148"/>
    <n v="4645028"/>
    <n v="82"/>
    <n v="75460"/>
    <n v="6187720"/>
    <n v="78"/>
    <n v="68532"/>
    <n v="5345496"/>
    <n v="91"/>
    <n v="66811"/>
    <n v="6079801"/>
    <n v="20"/>
    <n v="59152"/>
    <n v="1183040"/>
    <n v="34"/>
    <n v="59591"/>
    <n v="2026094"/>
    <n v="6"/>
    <n v="60303"/>
    <n v="361818"/>
    <n v="15"/>
    <n v="55801"/>
    <n v="837015"/>
    <m/>
    <m/>
    <n v="0"/>
    <m/>
    <m/>
    <n v="0"/>
    <n v="24"/>
    <n v="104759"/>
    <n v="2057131.5312000001"/>
    <n v="17"/>
    <n v="106115"/>
    <n v="1475995.9810000001"/>
    <n v="48"/>
    <n v="86596"/>
    <n v="3400936.6655999999"/>
    <n v="42"/>
    <n v="92536"/>
    <n v="3179944.1184"/>
    <n v="53"/>
    <n v="78698"/>
    <n v="3412707.2908000001"/>
    <n v="24"/>
    <n v="84373"/>
    <n v="1656815.7264"/>
    <n v="25"/>
    <n v="67758"/>
    <n v="1385989.8900000001"/>
    <n v="17"/>
    <n v="70884"/>
    <n v="985953.90960000001"/>
    <n v="12"/>
    <n v="66712"/>
    <n v="655005.10080000001"/>
    <n v="13"/>
    <n v="64169"/>
    <n v="682539.98540000001"/>
    <m/>
    <m/>
    <n v="0"/>
    <m/>
    <m/>
    <n v="0"/>
  </r>
  <r>
    <x v="9"/>
    <s v="Elizabeth City State University "/>
    <m/>
    <n v="198507"/>
    <x v="5"/>
    <n v="51"/>
    <n v="76043"/>
    <n v="3878193"/>
    <n v="49"/>
    <n v="76376"/>
    <n v="3742424"/>
    <n v="35"/>
    <n v="69438"/>
    <n v="2430330"/>
    <n v="33"/>
    <n v="66437"/>
    <n v="2192421"/>
    <n v="42"/>
    <n v="62321"/>
    <n v="2617482"/>
    <n v="38"/>
    <n v="62638"/>
    <n v="2380244"/>
    <n v="3"/>
    <n v="56294"/>
    <n v="168882"/>
    <n v="4"/>
    <n v="54643"/>
    <n v="218572"/>
    <n v="33"/>
    <n v="59205"/>
    <n v="1953765"/>
    <n v="26"/>
    <n v="61588"/>
    <n v="1601288"/>
    <m/>
    <m/>
    <n v="0"/>
    <m/>
    <m/>
    <n v="0"/>
    <n v="2"/>
    <n v="102240"/>
    <n v="167305.53600000002"/>
    <n v="2"/>
    <n v="102240"/>
    <n v="167305.53600000002"/>
    <n v="1"/>
    <n v="82000"/>
    <n v="67092.400000000009"/>
    <n v="1"/>
    <n v="89784"/>
    <n v="73461.268800000005"/>
    <n v="1"/>
    <n v="154211"/>
    <n v="126175.44020000001"/>
    <n v="4"/>
    <n v="91762"/>
    <n v="300318.67360000004"/>
    <n v="0"/>
    <n v="0"/>
    <n v="0"/>
    <n v="0"/>
    <n v="0"/>
    <n v="0"/>
    <n v="2"/>
    <n v="77492"/>
    <n v="126807.9088"/>
    <n v="4"/>
    <n v="75879"/>
    <n v="248336.79120000001"/>
    <m/>
    <m/>
    <n v="0"/>
    <m/>
    <m/>
    <n v="0"/>
  </r>
  <r>
    <x v="9"/>
    <s v="University of North Carolina at Asheville"/>
    <m/>
    <n v="199111"/>
    <x v="5"/>
    <n v="62"/>
    <n v="86905"/>
    <n v="5388110"/>
    <n v="61"/>
    <n v="84646"/>
    <n v="5163406"/>
    <n v="64"/>
    <n v="67703"/>
    <n v="4332992"/>
    <n v="66"/>
    <n v="67510"/>
    <n v="4455660"/>
    <n v="44"/>
    <n v="61218"/>
    <n v="2693592"/>
    <n v="42"/>
    <n v="61743"/>
    <n v="2593206"/>
    <n v="0"/>
    <n v="0"/>
    <n v="0"/>
    <n v="1"/>
    <n v="56000"/>
    <n v="56000"/>
    <n v="47"/>
    <n v="49533"/>
    <n v="2328051"/>
    <n v="41"/>
    <n v="49756"/>
    <n v="2039996"/>
    <m/>
    <m/>
    <n v="0"/>
    <m/>
    <m/>
    <n v="0"/>
    <n v="0"/>
    <n v="0"/>
    <n v="0"/>
    <n v="0"/>
    <n v="0"/>
    <n v="0"/>
    <n v="0"/>
    <n v="0"/>
    <n v="0"/>
    <n v="0"/>
    <n v="0"/>
    <n v="0"/>
    <n v="0"/>
    <n v="0"/>
    <n v="0"/>
    <n v="0"/>
    <n v="0"/>
    <n v="0"/>
    <n v="0"/>
    <n v="0"/>
    <n v="0"/>
    <n v="0"/>
    <n v="0"/>
    <n v="0"/>
    <n v="0"/>
    <n v="0"/>
    <n v="0"/>
    <n v="0"/>
    <n v="0"/>
    <n v="0"/>
    <m/>
    <m/>
    <n v="0"/>
    <m/>
    <m/>
    <n v="0"/>
  </r>
  <r>
    <x v="9"/>
    <s v="Asheville-Buncombe Technical Community College"/>
    <m/>
    <n v="197887"/>
    <x v="6"/>
    <m/>
    <m/>
    <n v="0"/>
    <m/>
    <m/>
    <n v="0"/>
    <m/>
    <m/>
    <n v="0"/>
    <m/>
    <m/>
    <n v="0"/>
    <m/>
    <m/>
    <n v="0"/>
    <m/>
    <m/>
    <n v="0"/>
    <m/>
    <m/>
    <n v="0"/>
    <m/>
    <m/>
    <n v="0"/>
    <m/>
    <m/>
    <n v="0"/>
    <m/>
    <m/>
    <n v="0"/>
    <n v="172"/>
    <n v="45890"/>
    <n v="7893080"/>
    <n v="166"/>
    <n v="45851.58"/>
    <n v="7611362.2800000003"/>
    <m/>
    <m/>
    <n v="0"/>
    <m/>
    <m/>
    <n v="0"/>
    <m/>
    <m/>
    <n v="0"/>
    <m/>
    <m/>
    <n v="0"/>
    <m/>
    <m/>
    <n v="0"/>
    <m/>
    <m/>
    <n v="0"/>
    <m/>
    <m/>
    <n v="0"/>
    <m/>
    <m/>
    <n v="0"/>
    <m/>
    <m/>
    <n v="0"/>
    <m/>
    <m/>
    <n v="0"/>
    <m/>
    <m/>
    <n v="0"/>
    <m/>
    <m/>
    <n v="0"/>
  </r>
  <r>
    <x v="9"/>
    <s v="Cape Fear Community College"/>
    <m/>
    <n v="198154"/>
    <x v="6"/>
    <m/>
    <m/>
    <n v="0"/>
    <m/>
    <m/>
    <n v="0"/>
    <m/>
    <m/>
    <n v="0"/>
    <m/>
    <m/>
    <n v="0"/>
    <m/>
    <m/>
    <n v="0"/>
    <m/>
    <m/>
    <n v="0"/>
    <m/>
    <m/>
    <n v="0"/>
    <m/>
    <m/>
    <n v="0"/>
    <m/>
    <m/>
    <n v="0"/>
    <m/>
    <m/>
    <n v="0"/>
    <n v="279"/>
    <n v="48299"/>
    <n v="13475421"/>
    <n v="276"/>
    <n v="47878.38"/>
    <n v="13214432.879999999"/>
    <m/>
    <m/>
    <n v="0"/>
    <m/>
    <m/>
    <n v="0"/>
    <m/>
    <m/>
    <n v="0"/>
    <m/>
    <m/>
    <n v="0"/>
    <m/>
    <m/>
    <n v="0"/>
    <m/>
    <m/>
    <n v="0"/>
    <m/>
    <m/>
    <n v="0"/>
    <m/>
    <m/>
    <n v="0"/>
    <m/>
    <m/>
    <n v="0"/>
    <m/>
    <m/>
    <n v="0"/>
    <m/>
    <m/>
    <n v="0"/>
    <m/>
    <m/>
    <n v="0"/>
  </r>
  <r>
    <x v="9"/>
    <s v="Central Piedmont Community College "/>
    <m/>
    <n v="198260"/>
    <x v="6"/>
    <m/>
    <m/>
    <n v="0"/>
    <m/>
    <m/>
    <n v="0"/>
    <m/>
    <m/>
    <n v="0"/>
    <m/>
    <m/>
    <n v="0"/>
    <m/>
    <m/>
    <n v="0"/>
    <m/>
    <m/>
    <n v="0"/>
    <m/>
    <m/>
    <n v="0"/>
    <m/>
    <m/>
    <n v="0"/>
    <m/>
    <m/>
    <n v="0"/>
    <m/>
    <m/>
    <n v="0"/>
    <n v="343"/>
    <n v="52475"/>
    <n v="17998925"/>
    <n v="321"/>
    <n v="52611.299999999996"/>
    <n v="16888227.299999997"/>
    <m/>
    <m/>
    <n v="0"/>
    <m/>
    <m/>
    <n v="0"/>
    <m/>
    <m/>
    <n v="0"/>
    <m/>
    <m/>
    <n v="0"/>
    <m/>
    <m/>
    <n v="0"/>
    <m/>
    <m/>
    <n v="0"/>
    <m/>
    <m/>
    <n v="0"/>
    <m/>
    <m/>
    <n v="0"/>
    <m/>
    <m/>
    <n v="0"/>
    <m/>
    <m/>
    <n v="0"/>
    <m/>
    <m/>
    <n v="0"/>
    <m/>
    <m/>
    <n v="0"/>
  </r>
  <r>
    <x v="9"/>
    <s v="Fayetteville Technical Community College"/>
    <m/>
    <n v="198534"/>
    <x v="6"/>
    <m/>
    <m/>
    <n v="0"/>
    <m/>
    <m/>
    <n v="0"/>
    <m/>
    <m/>
    <n v="0"/>
    <m/>
    <m/>
    <n v="0"/>
    <m/>
    <m/>
    <n v="0"/>
    <m/>
    <m/>
    <n v="0"/>
    <m/>
    <m/>
    <n v="0"/>
    <m/>
    <m/>
    <n v="0"/>
    <m/>
    <m/>
    <n v="0"/>
    <m/>
    <m/>
    <n v="0"/>
    <n v="311"/>
    <n v="45787"/>
    <n v="14239757"/>
    <n v="263"/>
    <n v="47474.19"/>
    <n v="12485711.970000001"/>
    <m/>
    <m/>
    <n v="0"/>
    <m/>
    <m/>
    <n v="0"/>
    <m/>
    <m/>
    <n v="0"/>
    <m/>
    <m/>
    <n v="0"/>
    <m/>
    <m/>
    <n v="0"/>
    <m/>
    <m/>
    <n v="0"/>
    <m/>
    <m/>
    <n v="0"/>
    <m/>
    <m/>
    <n v="0"/>
    <m/>
    <m/>
    <n v="0"/>
    <m/>
    <m/>
    <n v="0"/>
    <m/>
    <m/>
    <n v="0"/>
    <m/>
    <m/>
    <n v="0"/>
  </r>
  <r>
    <x v="9"/>
    <s v="Forsyth Technical Community College"/>
    <m/>
    <n v="198552"/>
    <x v="6"/>
    <m/>
    <m/>
    <n v="0"/>
    <m/>
    <m/>
    <n v="0"/>
    <m/>
    <m/>
    <n v="0"/>
    <m/>
    <m/>
    <n v="0"/>
    <m/>
    <m/>
    <n v="0"/>
    <m/>
    <m/>
    <n v="0"/>
    <m/>
    <m/>
    <n v="0"/>
    <m/>
    <m/>
    <n v="0"/>
    <m/>
    <m/>
    <n v="0"/>
    <m/>
    <m/>
    <n v="0"/>
    <n v="214"/>
    <n v="43172"/>
    <n v="9238808"/>
    <n v="225"/>
    <n v="42793.29"/>
    <n v="9628490.25"/>
    <m/>
    <m/>
    <n v="0"/>
    <m/>
    <m/>
    <n v="0"/>
    <m/>
    <m/>
    <n v="0"/>
    <m/>
    <m/>
    <n v="0"/>
    <m/>
    <m/>
    <n v="0"/>
    <m/>
    <m/>
    <n v="0"/>
    <m/>
    <m/>
    <n v="0"/>
    <m/>
    <m/>
    <n v="0"/>
    <m/>
    <m/>
    <n v="0"/>
    <m/>
    <m/>
    <n v="0"/>
    <m/>
    <m/>
    <n v="0"/>
    <m/>
    <m/>
    <n v="0"/>
  </r>
  <r>
    <x v="9"/>
    <s v="Gaston College "/>
    <s v="Met criteria for Two-Year 2 in 2011-12."/>
    <n v="198570"/>
    <x v="6"/>
    <m/>
    <m/>
    <n v="0"/>
    <m/>
    <m/>
    <n v="0"/>
    <m/>
    <m/>
    <n v="0"/>
    <m/>
    <m/>
    <n v="0"/>
    <m/>
    <m/>
    <n v="0"/>
    <m/>
    <m/>
    <n v="0"/>
    <m/>
    <m/>
    <n v="0"/>
    <m/>
    <m/>
    <n v="0"/>
    <m/>
    <m/>
    <n v="0"/>
    <m/>
    <m/>
    <n v="0"/>
    <n v="161"/>
    <n v="50329"/>
    <n v="8102969"/>
    <n v="161"/>
    <n v="50048.46"/>
    <n v="8057802.0599999996"/>
    <m/>
    <m/>
    <n v="0"/>
    <m/>
    <m/>
    <n v="0"/>
    <m/>
    <m/>
    <n v="0"/>
    <m/>
    <m/>
    <n v="0"/>
    <m/>
    <m/>
    <n v="0"/>
    <m/>
    <m/>
    <n v="0"/>
    <m/>
    <m/>
    <n v="0"/>
    <m/>
    <m/>
    <n v="0"/>
    <m/>
    <m/>
    <n v="0"/>
    <m/>
    <m/>
    <n v="0"/>
    <m/>
    <m/>
    <n v="0"/>
    <m/>
    <m/>
    <n v="0"/>
  </r>
  <r>
    <x v="9"/>
    <s v="Guilford Technical Community College"/>
    <m/>
    <n v="198622"/>
    <x v="6"/>
    <m/>
    <m/>
    <n v="0"/>
    <m/>
    <m/>
    <n v="0"/>
    <m/>
    <m/>
    <n v="0"/>
    <m/>
    <m/>
    <n v="0"/>
    <m/>
    <m/>
    <n v="0"/>
    <m/>
    <m/>
    <n v="0"/>
    <m/>
    <m/>
    <n v="0"/>
    <m/>
    <m/>
    <n v="0"/>
    <m/>
    <m/>
    <n v="0"/>
    <m/>
    <m/>
    <n v="0"/>
    <n v="324"/>
    <n v="49631"/>
    <n v="16080444"/>
    <n v="342"/>
    <n v="49173.39"/>
    <n v="16817299.379999999"/>
    <m/>
    <m/>
    <n v="0"/>
    <m/>
    <m/>
    <n v="0"/>
    <m/>
    <m/>
    <n v="0"/>
    <m/>
    <m/>
    <n v="0"/>
    <m/>
    <m/>
    <n v="0"/>
    <m/>
    <m/>
    <n v="0"/>
    <m/>
    <m/>
    <n v="0"/>
    <m/>
    <m/>
    <n v="0"/>
    <m/>
    <m/>
    <n v="0"/>
    <m/>
    <m/>
    <n v="0"/>
    <m/>
    <m/>
    <n v="0"/>
    <m/>
    <m/>
    <n v="0"/>
  </r>
  <r>
    <x v="9"/>
    <s v="Pitt Community College"/>
    <m/>
    <n v="199333"/>
    <x v="6"/>
    <m/>
    <m/>
    <n v="0"/>
    <m/>
    <m/>
    <n v="0"/>
    <m/>
    <m/>
    <n v="0"/>
    <m/>
    <m/>
    <n v="0"/>
    <m/>
    <m/>
    <n v="0"/>
    <m/>
    <m/>
    <n v="0"/>
    <m/>
    <m/>
    <n v="0"/>
    <m/>
    <m/>
    <n v="0"/>
    <m/>
    <m/>
    <n v="0"/>
    <m/>
    <m/>
    <n v="0"/>
    <n v="226"/>
    <n v="47137"/>
    <n v="10652962"/>
    <n v="222"/>
    <n v="46779.39"/>
    <n v="10385024.58"/>
    <m/>
    <m/>
    <n v="0"/>
    <m/>
    <m/>
    <n v="0"/>
    <m/>
    <m/>
    <n v="0"/>
    <m/>
    <m/>
    <n v="0"/>
    <m/>
    <m/>
    <n v="0"/>
    <m/>
    <m/>
    <n v="0"/>
    <m/>
    <m/>
    <n v="0"/>
    <m/>
    <m/>
    <n v="0"/>
    <m/>
    <m/>
    <n v="0"/>
    <m/>
    <m/>
    <n v="0"/>
    <m/>
    <m/>
    <n v="0"/>
    <m/>
    <m/>
    <n v="0"/>
  </r>
  <r>
    <x v="9"/>
    <s v="Rowan-Cabarrus Community College"/>
    <m/>
    <n v="199494"/>
    <x v="6"/>
    <m/>
    <m/>
    <n v="0"/>
    <m/>
    <m/>
    <n v="0"/>
    <m/>
    <m/>
    <n v="0"/>
    <m/>
    <m/>
    <n v="0"/>
    <m/>
    <m/>
    <n v="0"/>
    <m/>
    <m/>
    <n v="0"/>
    <m/>
    <m/>
    <n v="0"/>
    <m/>
    <m/>
    <n v="0"/>
    <m/>
    <m/>
    <n v="0"/>
    <m/>
    <m/>
    <n v="0"/>
    <n v="157"/>
    <n v="54252"/>
    <n v="8517564"/>
    <n v="160"/>
    <n v="49075.11"/>
    <n v="7852017.5999999996"/>
    <m/>
    <m/>
    <n v="0"/>
    <m/>
    <m/>
    <n v="0"/>
    <m/>
    <m/>
    <n v="0"/>
    <m/>
    <m/>
    <n v="0"/>
    <m/>
    <m/>
    <n v="0"/>
    <m/>
    <m/>
    <n v="0"/>
    <m/>
    <m/>
    <n v="0"/>
    <m/>
    <m/>
    <n v="0"/>
    <m/>
    <m/>
    <n v="0"/>
    <m/>
    <m/>
    <n v="0"/>
    <m/>
    <m/>
    <n v="0"/>
    <m/>
    <m/>
    <n v="0"/>
  </r>
  <r>
    <x v="9"/>
    <s v="Wake Technical Community College"/>
    <m/>
    <n v="199856"/>
    <x v="6"/>
    <m/>
    <m/>
    <n v="0"/>
    <m/>
    <m/>
    <n v="0"/>
    <m/>
    <m/>
    <n v="0"/>
    <m/>
    <m/>
    <n v="0"/>
    <m/>
    <m/>
    <n v="0"/>
    <m/>
    <m/>
    <n v="0"/>
    <m/>
    <m/>
    <n v="0"/>
    <m/>
    <m/>
    <n v="0"/>
    <m/>
    <m/>
    <n v="0"/>
    <m/>
    <m/>
    <n v="0"/>
    <n v="503"/>
    <n v="44216"/>
    <n v="22240648"/>
    <n v="437"/>
    <n v="44546.76"/>
    <n v="19466934.120000001"/>
    <m/>
    <m/>
    <n v="0"/>
    <m/>
    <m/>
    <n v="0"/>
    <m/>
    <m/>
    <n v="0"/>
    <m/>
    <m/>
    <n v="0"/>
    <m/>
    <m/>
    <n v="0"/>
    <m/>
    <m/>
    <n v="0"/>
    <m/>
    <m/>
    <n v="0"/>
    <m/>
    <m/>
    <n v="0"/>
    <m/>
    <m/>
    <n v="0"/>
    <m/>
    <m/>
    <n v="0"/>
    <m/>
    <m/>
    <n v="0"/>
    <m/>
    <m/>
    <n v="0"/>
  </r>
  <r>
    <x v="9"/>
    <s v="Alamance Community College"/>
    <m/>
    <n v="199786"/>
    <x v="7"/>
    <m/>
    <m/>
    <n v="0"/>
    <m/>
    <m/>
    <n v="0"/>
    <m/>
    <m/>
    <n v="0"/>
    <m/>
    <m/>
    <n v="0"/>
    <m/>
    <m/>
    <n v="0"/>
    <m/>
    <m/>
    <n v="0"/>
    <m/>
    <m/>
    <n v="0"/>
    <m/>
    <m/>
    <n v="0"/>
    <m/>
    <m/>
    <n v="0"/>
    <m/>
    <m/>
    <n v="0"/>
    <n v="111"/>
    <n v="48158"/>
    <n v="5345538"/>
    <n v="119"/>
    <n v="47184.659999999996"/>
    <n v="5614974.5399999991"/>
    <m/>
    <m/>
    <n v="0"/>
    <m/>
    <m/>
    <n v="0"/>
    <m/>
    <m/>
    <n v="0"/>
    <m/>
    <m/>
    <n v="0"/>
    <m/>
    <m/>
    <n v="0"/>
    <m/>
    <m/>
    <n v="0"/>
    <m/>
    <m/>
    <n v="0"/>
    <m/>
    <m/>
    <n v="0"/>
    <m/>
    <m/>
    <n v="0"/>
    <m/>
    <m/>
    <n v="0"/>
    <m/>
    <m/>
    <n v="0"/>
    <m/>
    <m/>
    <n v="0"/>
  </r>
  <r>
    <x v="9"/>
    <s v="Caldwell Community College &amp; Technical Institute"/>
    <m/>
    <n v="198118"/>
    <x v="7"/>
    <m/>
    <m/>
    <n v="0"/>
    <m/>
    <m/>
    <n v="0"/>
    <m/>
    <m/>
    <n v="0"/>
    <m/>
    <m/>
    <n v="0"/>
    <m/>
    <m/>
    <n v="0"/>
    <m/>
    <m/>
    <n v="0"/>
    <m/>
    <m/>
    <n v="0"/>
    <m/>
    <m/>
    <n v="0"/>
    <m/>
    <m/>
    <n v="0"/>
    <m/>
    <m/>
    <n v="0"/>
    <n v="136"/>
    <n v="44230"/>
    <n v="6015280"/>
    <n v="125"/>
    <n v="44096.31"/>
    <n v="5512038.75"/>
    <m/>
    <m/>
    <n v="0"/>
    <m/>
    <m/>
    <n v="0"/>
    <m/>
    <m/>
    <n v="0"/>
    <m/>
    <m/>
    <n v="0"/>
    <m/>
    <m/>
    <n v="0"/>
    <m/>
    <m/>
    <n v="0"/>
    <m/>
    <m/>
    <n v="0"/>
    <m/>
    <m/>
    <n v="0"/>
    <m/>
    <m/>
    <n v="0"/>
    <m/>
    <m/>
    <n v="0"/>
    <m/>
    <m/>
    <n v="0"/>
    <m/>
    <m/>
    <n v="0"/>
  </r>
  <r>
    <x v="9"/>
    <s v="Catawba Valley Community College"/>
    <m/>
    <n v="198233"/>
    <x v="7"/>
    <m/>
    <m/>
    <n v="0"/>
    <m/>
    <m/>
    <n v="0"/>
    <m/>
    <m/>
    <n v="0"/>
    <m/>
    <m/>
    <n v="0"/>
    <m/>
    <m/>
    <n v="0"/>
    <m/>
    <m/>
    <n v="0"/>
    <m/>
    <m/>
    <n v="0"/>
    <m/>
    <m/>
    <n v="0"/>
    <m/>
    <m/>
    <n v="0"/>
    <m/>
    <m/>
    <n v="0"/>
    <n v="153"/>
    <n v="50879"/>
    <n v="7784487"/>
    <n v="132"/>
    <n v="51893.1"/>
    <n v="6849889.2000000002"/>
    <m/>
    <m/>
    <n v="0"/>
    <m/>
    <m/>
    <n v="0"/>
    <m/>
    <m/>
    <n v="0"/>
    <m/>
    <m/>
    <n v="0"/>
    <m/>
    <m/>
    <n v="0"/>
    <m/>
    <m/>
    <n v="0"/>
    <m/>
    <m/>
    <n v="0"/>
    <m/>
    <m/>
    <n v="0"/>
    <m/>
    <m/>
    <n v="0"/>
    <m/>
    <m/>
    <n v="0"/>
    <m/>
    <m/>
    <n v="0"/>
    <m/>
    <m/>
    <n v="0"/>
  </r>
  <r>
    <x v="9"/>
    <s v="Central Carolina Commuity College"/>
    <m/>
    <n v="198251"/>
    <x v="7"/>
    <m/>
    <m/>
    <n v="0"/>
    <m/>
    <m/>
    <n v="0"/>
    <m/>
    <m/>
    <n v="0"/>
    <m/>
    <m/>
    <n v="0"/>
    <m/>
    <m/>
    <n v="0"/>
    <m/>
    <m/>
    <n v="0"/>
    <m/>
    <m/>
    <n v="0"/>
    <m/>
    <m/>
    <n v="0"/>
    <m/>
    <m/>
    <n v="0"/>
    <m/>
    <m/>
    <n v="0"/>
    <n v="170"/>
    <n v="40825"/>
    <n v="6940250"/>
    <n v="141"/>
    <n v="41798.430000000008"/>
    <n v="5893578.6300000008"/>
    <m/>
    <m/>
    <n v="0"/>
    <m/>
    <m/>
    <n v="0"/>
    <m/>
    <m/>
    <n v="0"/>
    <m/>
    <m/>
    <n v="0"/>
    <m/>
    <m/>
    <n v="0"/>
    <m/>
    <m/>
    <n v="0"/>
    <m/>
    <m/>
    <n v="0"/>
    <m/>
    <m/>
    <n v="0"/>
    <m/>
    <m/>
    <n v="0"/>
    <m/>
    <m/>
    <n v="0"/>
    <m/>
    <m/>
    <n v="0"/>
    <m/>
    <m/>
    <n v="0"/>
  </r>
  <r>
    <x v="9"/>
    <s v="Cleveland Community College"/>
    <m/>
    <n v="198321"/>
    <x v="7"/>
    <m/>
    <m/>
    <n v="0"/>
    <m/>
    <m/>
    <n v="0"/>
    <m/>
    <m/>
    <n v="0"/>
    <m/>
    <m/>
    <n v="0"/>
    <m/>
    <m/>
    <n v="0"/>
    <m/>
    <m/>
    <n v="0"/>
    <m/>
    <m/>
    <n v="0"/>
    <m/>
    <m/>
    <n v="0"/>
    <m/>
    <m/>
    <n v="0"/>
    <m/>
    <m/>
    <n v="0"/>
    <n v="83"/>
    <n v="55442"/>
    <n v="4601686"/>
    <n v="78"/>
    <n v="45780.480000000003"/>
    <n v="3570877.4400000004"/>
    <m/>
    <m/>
    <n v="0"/>
    <m/>
    <m/>
    <n v="0"/>
    <m/>
    <m/>
    <n v="0"/>
    <m/>
    <m/>
    <n v="0"/>
    <m/>
    <m/>
    <n v="0"/>
    <m/>
    <m/>
    <n v="0"/>
    <m/>
    <m/>
    <n v="0"/>
    <m/>
    <m/>
    <n v="0"/>
    <m/>
    <m/>
    <n v="0"/>
    <m/>
    <m/>
    <n v="0"/>
    <m/>
    <m/>
    <n v="0"/>
    <m/>
    <m/>
    <n v="0"/>
  </r>
  <r>
    <x v="9"/>
    <s v="Coastal Carolina Community College "/>
    <m/>
    <n v="198330"/>
    <x v="7"/>
    <m/>
    <m/>
    <n v="0"/>
    <m/>
    <m/>
    <n v="0"/>
    <m/>
    <m/>
    <n v="0"/>
    <m/>
    <m/>
    <n v="0"/>
    <m/>
    <m/>
    <n v="0"/>
    <m/>
    <m/>
    <n v="0"/>
    <m/>
    <m/>
    <n v="0"/>
    <m/>
    <m/>
    <n v="0"/>
    <m/>
    <m/>
    <n v="0"/>
    <m/>
    <m/>
    <n v="0"/>
    <n v="141"/>
    <n v="41857"/>
    <n v="5901837"/>
    <n v="131"/>
    <n v="42448.77"/>
    <n v="5560788.8699999992"/>
    <m/>
    <m/>
    <n v="0"/>
    <m/>
    <m/>
    <n v="0"/>
    <m/>
    <m/>
    <n v="0"/>
    <m/>
    <m/>
    <n v="0"/>
    <m/>
    <m/>
    <n v="0"/>
    <m/>
    <m/>
    <n v="0"/>
    <m/>
    <m/>
    <n v="0"/>
    <m/>
    <m/>
    <n v="0"/>
    <m/>
    <m/>
    <n v="0"/>
    <m/>
    <m/>
    <n v="0"/>
    <m/>
    <m/>
    <n v="0"/>
    <m/>
    <m/>
    <n v="0"/>
  </r>
  <r>
    <x v="9"/>
    <s v="Craven Community College "/>
    <m/>
    <n v="198367"/>
    <x v="7"/>
    <m/>
    <m/>
    <n v="0"/>
    <m/>
    <m/>
    <n v="0"/>
    <m/>
    <m/>
    <n v="0"/>
    <m/>
    <m/>
    <n v="0"/>
    <m/>
    <m/>
    <n v="0"/>
    <m/>
    <m/>
    <n v="0"/>
    <m/>
    <m/>
    <n v="0"/>
    <m/>
    <m/>
    <n v="0"/>
    <m/>
    <m/>
    <n v="0"/>
    <m/>
    <m/>
    <n v="0"/>
    <n v="92"/>
    <n v="51508"/>
    <n v="4738736"/>
    <n v="79"/>
    <n v="51766.83"/>
    <n v="4089579.5700000003"/>
    <m/>
    <m/>
    <n v="0"/>
    <m/>
    <m/>
    <n v="0"/>
    <m/>
    <m/>
    <n v="0"/>
    <m/>
    <m/>
    <n v="0"/>
    <m/>
    <m/>
    <n v="0"/>
    <m/>
    <m/>
    <n v="0"/>
    <m/>
    <m/>
    <n v="0"/>
    <m/>
    <m/>
    <n v="0"/>
    <m/>
    <m/>
    <n v="0"/>
    <m/>
    <m/>
    <n v="0"/>
    <m/>
    <m/>
    <n v="0"/>
    <m/>
    <m/>
    <n v="0"/>
  </r>
  <r>
    <x v="9"/>
    <s v="Davidson County Community College "/>
    <m/>
    <n v="198376"/>
    <x v="7"/>
    <m/>
    <m/>
    <n v="0"/>
    <m/>
    <m/>
    <n v="0"/>
    <m/>
    <m/>
    <n v="0"/>
    <m/>
    <m/>
    <n v="0"/>
    <m/>
    <m/>
    <n v="0"/>
    <m/>
    <m/>
    <n v="0"/>
    <m/>
    <m/>
    <n v="0"/>
    <m/>
    <m/>
    <n v="0"/>
    <m/>
    <m/>
    <n v="0"/>
    <m/>
    <m/>
    <n v="0"/>
    <n v="90"/>
    <n v="46692"/>
    <n v="4202280"/>
    <n v="89"/>
    <n v="47006.73"/>
    <n v="4183598.97"/>
    <m/>
    <m/>
    <n v="0"/>
    <m/>
    <m/>
    <n v="0"/>
    <m/>
    <m/>
    <n v="0"/>
    <m/>
    <m/>
    <n v="0"/>
    <m/>
    <m/>
    <n v="0"/>
    <m/>
    <m/>
    <n v="0"/>
    <m/>
    <m/>
    <n v="0"/>
    <m/>
    <m/>
    <n v="0"/>
    <m/>
    <m/>
    <n v="0"/>
    <m/>
    <m/>
    <n v="0"/>
    <m/>
    <m/>
    <n v="0"/>
    <m/>
    <m/>
    <n v="0"/>
  </r>
  <r>
    <x v="9"/>
    <s v="Durham Technical Community College"/>
    <m/>
    <n v="198455"/>
    <x v="7"/>
    <m/>
    <m/>
    <n v="0"/>
    <m/>
    <m/>
    <n v="0"/>
    <m/>
    <m/>
    <n v="0"/>
    <m/>
    <m/>
    <n v="0"/>
    <m/>
    <m/>
    <n v="0"/>
    <m/>
    <m/>
    <n v="0"/>
    <m/>
    <m/>
    <n v="0"/>
    <m/>
    <m/>
    <n v="0"/>
    <m/>
    <m/>
    <n v="0"/>
    <m/>
    <m/>
    <n v="0"/>
    <n v="163"/>
    <n v="52676"/>
    <n v="8586188"/>
    <n v="149"/>
    <n v="51189.21"/>
    <n v="7627192.29"/>
    <m/>
    <m/>
    <n v="0"/>
    <m/>
    <m/>
    <n v="0"/>
    <m/>
    <m/>
    <n v="0"/>
    <m/>
    <m/>
    <n v="0"/>
    <m/>
    <m/>
    <n v="0"/>
    <m/>
    <m/>
    <n v="0"/>
    <m/>
    <m/>
    <n v="0"/>
    <m/>
    <m/>
    <n v="0"/>
    <m/>
    <m/>
    <n v="0"/>
    <m/>
    <m/>
    <n v="0"/>
    <m/>
    <m/>
    <n v="0"/>
    <m/>
    <m/>
    <n v="0"/>
  </r>
  <r>
    <x v="9"/>
    <s v="Edgecombe Community College"/>
    <m/>
    <n v="198491"/>
    <x v="7"/>
    <m/>
    <m/>
    <n v="0"/>
    <m/>
    <m/>
    <n v="0"/>
    <m/>
    <m/>
    <n v="0"/>
    <m/>
    <m/>
    <n v="0"/>
    <m/>
    <m/>
    <n v="0"/>
    <m/>
    <m/>
    <n v="0"/>
    <m/>
    <m/>
    <n v="0"/>
    <m/>
    <m/>
    <n v="0"/>
    <m/>
    <m/>
    <n v="0"/>
    <m/>
    <m/>
    <n v="0"/>
    <n v="93"/>
    <n v="44337"/>
    <n v="4123341"/>
    <n v="75"/>
    <n v="45641.97"/>
    <n v="3423147.75"/>
    <m/>
    <m/>
    <n v="0"/>
    <m/>
    <m/>
    <n v="0"/>
    <m/>
    <m/>
    <n v="0"/>
    <m/>
    <m/>
    <n v="0"/>
    <m/>
    <m/>
    <n v="0"/>
    <m/>
    <m/>
    <n v="0"/>
    <m/>
    <m/>
    <n v="0"/>
    <m/>
    <m/>
    <n v="0"/>
    <m/>
    <m/>
    <n v="0"/>
    <m/>
    <m/>
    <n v="0"/>
    <m/>
    <m/>
    <n v="0"/>
    <m/>
    <m/>
    <n v="0"/>
  </r>
  <r>
    <x v="9"/>
    <s v="Haywood Community College"/>
    <s v="Met criteria for Two-Year 3 in 2011-12."/>
    <n v="198668"/>
    <x v="7"/>
    <m/>
    <m/>
    <n v="0"/>
    <m/>
    <m/>
    <n v="0"/>
    <m/>
    <m/>
    <n v="0"/>
    <m/>
    <m/>
    <n v="0"/>
    <m/>
    <m/>
    <n v="0"/>
    <m/>
    <m/>
    <n v="0"/>
    <m/>
    <m/>
    <n v="0"/>
    <m/>
    <m/>
    <n v="0"/>
    <m/>
    <m/>
    <n v="0"/>
    <m/>
    <m/>
    <n v="0"/>
    <n v="79"/>
    <n v="47429"/>
    <n v="3746891"/>
    <n v="81"/>
    <n v="46979.1"/>
    <n v="3805307.1"/>
    <m/>
    <m/>
    <n v="0"/>
    <m/>
    <m/>
    <n v="0"/>
    <m/>
    <m/>
    <n v="0"/>
    <m/>
    <m/>
    <n v="0"/>
    <m/>
    <m/>
    <n v="0"/>
    <m/>
    <m/>
    <n v="0"/>
    <m/>
    <m/>
    <n v="0"/>
    <m/>
    <m/>
    <n v="0"/>
    <m/>
    <m/>
    <n v="0"/>
    <m/>
    <m/>
    <n v="0"/>
    <m/>
    <m/>
    <n v="0"/>
    <m/>
    <m/>
    <n v="0"/>
  </r>
  <r>
    <x v="9"/>
    <s v="Isothermal Community College "/>
    <m/>
    <n v="198710"/>
    <x v="7"/>
    <m/>
    <m/>
    <n v="0"/>
    <m/>
    <m/>
    <n v="0"/>
    <m/>
    <m/>
    <n v="0"/>
    <m/>
    <m/>
    <n v="0"/>
    <m/>
    <m/>
    <n v="0"/>
    <m/>
    <m/>
    <n v="0"/>
    <m/>
    <m/>
    <n v="0"/>
    <m/>
    <m/>
    <n v="0"/>
    <m/>
    <m/>
    <n v="0"/>
    <m/>
    <m/>
    <n v="0"/>
    <n v="68"/>
    <n v="51838"/>
    <n v="3524984"/>
    <n v="68"/>
    <n v="51261.39"/>
    <n v="3485774.52"/>
    <m/>
    <m/>
    <n v="0"/>
    <m/>
    <m/>
    <n v="0"/>
    <m/>
    <m/>
    <n v="0"/>
    <m/>
    <m/>
    <n v="0"/>
    <m/>
    <m/>
    <n v="0"/>
    <m/>
    <m/>
    <n v="0"/>
    <m/>
    <m/>
    <n v="0"/>
    <m/>
    <m/>
    <n v="0"/>
    <m/>
    <m/>
    <n v="0"/>
    <m/>
    <m/>
    <n v="0"/>
    <m/>
    <m/>
    <n v="0"/>
    <m/>
    <m/>
    <n v="0"/>
  </r>
  <r>
    <x v="9"/>
    <s v="Johnston Community College"/>
    <m/>
    <n v="198774"/>
    <x v="7"/>
    <m/>
    <m/>
    <n v="0"/>
    <m/>
    <m/>
    <n v="0"/>
    <m/>
    <m/>
    <n v="0"/>
    <m/>
    <m/>
    <n v="0"/>
    <m/>
    <m/>
    <n v="0"/>
    <m/>
    <m/>
    <n v="0"/>
    <m/>
    <m/>
    <n v="0"/>
    <m/>
    <m/>
    <n v="0"/>
    <m/>
    <m/>
    <n v="0"/>
    <m/>
    <m/>
    <n v="0"/>
    <n v="127"/>
    <n v="60884"/>
    <n v="7732268"/>
    <n v="110"/>
    <n v="54854.01"/>
    <n v="6033941.1000000006"/>
    <m/>
    <m/>
    <n v="0"/>
    <m/>
    <m/>
    <n v="0"/>
    <m/>
    <m/>
    <n v="0"/>
    <m/>
    <m/>
    <n v="0"/>
    <m/>
    <m/>
    <n v="0"/>
    <m/>
    <m/>
    <n v="0"/>
    <m/>
    <m/>
    <n v="0"/>
    <m/>
    <m/>
    <n v="0"/>
    <m/>
    <m/>
    <n v="0"/>
    <m/>
    <m/>
    <n v="0"/>
    <m/>
    <m/>
    <n v="0"/>
    <m/>
    <m/>
    <n v="0"/>
  </r>
  <r>
    <x v="9"/>
    <s v="Lenoir Community College "/>
    <m/>
    <n v="198817"/>
    <x v="7"/>
    <m/>
    <m/>
    <n v="0"/>
    <m/>
    <m/>
    <n v="0"/>
    <m/>
    <m/>
    <n v="0"/>
    <m/>
    <m/>
    <n v="0"/>
    <m/>
    <m/>
    <n v="0"/>
    <m/>
    <m/>
    <n v="0"/>
    <m/>
    <m/>
    <n v="0"/>
    <m/>
    <m/>
    <n v="0"/>
    <m/>
    <m/>
    <n v="0"/>
    <m/>
    <m/>
    <n v="0"/>
    <n v="109"/>
    <n v="44658"/>
    <n v="4867722"/>
    <n v="91"/>
    <n v="44741.430000000008"/>
    <n v="4071470.1300000008"/>
    <m/>
    <m/>
    <n v="0"/>
    <m/>
    <m/>
    <n v="0"/>
    <m/>
    <m/>
    <n v="0"/>
    <m/>
    <m/>
    <n v="0"/>
    <m/>
    <m/>
    <n v="0"/>
    <m/>
    <m/>
    <n v="0"/>
    <m/>
    <m/>
    <n v="0"/>
    <m/>
    <m/>
    <n v="0"/>
    <m/>
    <m/>
    <n v="0"/>
    <m/>
    <m/>
    <n v="0"/>
    <m/>
    <m/>
    <n v="0"/>
    <m/>
    <m/>
    <n v="0"/>
  </r>
  <r>
    <x v="9"/>
    <s v="Mitchell Community College "/>
    <m/>
    <n v="198987"/>
    <x v="7"/>
    <m/>
    <m/>
    <n v="0"/>
    <m/>
    <m/>
    <n v="0"/>
    <m/>
    <m/>
    <n v="0"/>
    <m/>
    <m/>
    <n v="0"/>
    <m/>
    <m/>
    <n v="0"/>
    <m/>
    <m/>
    <n v="0"/>
    <m/>
    <m/>
    <n v="0"/>
    <m/>
    <m/>
    <n v="0"/>
    <m/>
    <m/>
    <n v="0"/>
    <m/>
    <m/>
    <n v="0"/>
    <n v="92"/>
    <n v="48179"/>
    <n v="4432468"/>
    <n v="91"/>
    <n v="45955.98"/>
    <n v="4181994.18"/>
    <m/>
    <m/>
    <n v="0"/>
    <m/>
    <m/>
    <n v="0"/>
    <m/>
    <m/>
    <n v="0"/>
    <m/>
    <m/>
    <n v="0"/>
    <m/>
    <m/>
    <n v="0"/>
    <m/>
    <m/>
    <n v="0"/>
    <m/>
    <m/>
    <n v="0"/>
    <m/>
    <m/>
    <n v="0"/>
    <m/>
    <m/>
    <n v="0"/>
    <m/>
    <m/>
    <n v="0"/>
    <m/>
    <m/>
    <n v="0"/>
    <m/>
    <m/>
    <n v="0"/>
  </r>
  <r>
    <x v="9"/>
    <s v="Nash Community College"/>
    <m/>
    <n v="199087"/>
    <x v="7"/>
    <m/>
    <m/>
    <n v="0"/>
    <m/>
    <m/>
    <n v="0"/>
    <m/>
    <m/>
    <n v="0"/>
    <m/>
    <m/>
    <n v="0"/>
    <m/>
    <m/>
    <n v="0"/>
    <m/>
    <m/>
    <n v="0"/>
    <m/>
    <m/>
    <n v="0"/>
    <m/>
    <m/>
    <n v="0"/>
    <m/>
    <m/>
    <n v="0"/>
    <m/>
    <m/>
    <n v="0"/>
    <n v="103"/>
    <n v="44328"/>
    <n v="4565784"/>
    <n v="88"/>
    <n v="46585.71"/>
    <n v="4099542.48"/>
    <m/>
    <m/>
    <n v="0"/>
    <m/>
    <m/>
    <n v="0"/>
    <m/>
    <m/>
    <n v="0"/>
    <m/>
    <m/>
    <n v="0"/>
    <m/>
    <m/>
    <n v="0"/>
    <m/>
    <m/>
    <n v="0"/>
    <m/>
    <m/>
    <n v="0"/>
    <m/>
    <m/>
    <n v="0"/>
    <m/>
    <m/>
    <n v="0"/>
    <m/>
    <m/>
    <n v="0"/>
    <m/>
    <m/>
    <n v="0"/>
    <m/>
    <m/>
    <n v="0"/>
  </r>
  <r>
    <x v="9"/>
    <s v="Randolph Community College"/>
    <m/>
    <n v="199421"/>
    <x v="7"/>
    <m/>
    <m/>
    <n v="0"/>
    <m/>
    <m/>
    <n v="0"/>
    <m/>
    <m/>
    <n v="0"/>
    <m/>
    <m/>
    <n v="0"/>
    <m/>
    <m/>
    <n v="0"/>
    <m/>
    <m/>
    <n v="0"/>
    <m/>
    <m/>
    <n v="0"/>
    <m/>
    <m/>
    <n v="0"/>
    <m/>
    <m/>
    <n v="0"/>
    <m/>
    <m/>
    <n v="0"/>
    <n v="89"/>
    <n v="42243"/>
    <n v="3759627"/>
    <n v="84"/>
    <n v="51261.569999999992"/>
    <n v="4305971.879999999"/>
    <m/>
    <m/>
    <n v="0"/>
    <m/>
    <m/>
    <n v="0"/>
    <m/>
    <m/>
    <n v="0"/>
    <m/>
    <m/>
    <n v="0"/>
    <m/>
    <m/>
    <n v="0"/>
    <m/>
    <m/>
    <n v="0"/>
    <m/>
    <m/>
    <n v="0"/>
    <m/>
    <m/>
    <n v="0"/>
    <m/>
    <m/>
    <n v="0"/>
    <m/>
    <m/>
    <n v="0"/>
    <m/>
    <m/>
    <n v="0"/>
    <m/>
    <m/>
    <n v="0"/>
  </r>
  <r>
    <x v="9"/>
    <s v="Robeson Community College"/>
    <m/>
    <n v="199476"/>
    <x v="7"/>
    <m/>
    <m/>
    <n v="0"/>
    <m/>
    <m/>
    <n v="0"/>
    <m/>
    <m/>
    <n v="0"/>
    <m/>
    <m/>
    <n v="0"/>
    <m/>
    <m/>
    <n v="0"/>
    <m/>
    <m/>
    <n v="0"/>
    <m/>
    <m/>
    <n v="0"/>
    <m/>
    <m/>
    <n v="0"/>
    <m/>
    <m/>
    <n v="0"/>
    <m/>
    <m/>
    <n v="0"/>
    <n v="96"/>
    <n v="50206"/>
    <n v="4819776"/>
    <n v="74"/>
    <n v="50021.549999999996"/>
    <n v="3701594.6999999997"/>
    <m/>
    <m/>
    <n v="0"/>
    <m/>
    <m/>
    <n v="0"/>
    <m/>
    <m/>
    <n v="0"/>
    <m/>
    <m/>
    <n v="0"/>
    <m/>
    <m/>
    <n v="0"/>
    <m/>
    <m/>
    <n v="0"/>
    <m/>
    <m/>
    <n v="0"/>
    <m/>
    <m/>
    <n v="0"/>
    <m/>
    <m/>
    <n v="0"/>
    <m/>
    <m/>
    <n v="0"/>
    <m/>
    <m/>
    <n v="0"/>
    <m/>
    <m/>
    <n v="0"/>
  </r>
  <r>
    <x v="9"/>
    <s v="Sandhills Community College "/>
    <m/>
    <n v="199634"/>
    <x v="7"/>
    <m/>
    <m/>
    <n v="0"/>
    <m/>
    <m/>
    <n v="0"/>
    <m/>
    <m/>
    <n v="0"/>
    <m/>
    <m/>
    <n v="0"/>
    <m/>
    <m/>
    <n v="0"/>
    <m/>
    <m/>
    <n v="0"/>
    <m/>
    <m/>
    <n v="0"/>
    <m/>
    <m/>
    <n v="0"/>
    <m/>
    <m/>
    <n v="0"/>
    <m/>
    <m/>
    <n v="0"/>
    <n v="145"/>
    <n v="48625"/>
    <n v="7050625"/>
    <n v="116"/>
    <n v="49463.549999999996"/>
    <n v="5737771.7999999998"/>
    <m/>
    <m/>
    <n v="0"/>
    <m/>
    <m/>
    <n v="0"/>
    <m/>
    <m/>
    <n v="0"/>
    <m/>
    <m/>
    <n v="0"/>
    <m/>
    <m/>
    <n v="0"/>
    <m/>
    <m/>
    <n v="0"/>
    <m/>
    <m/>
    <n v="0"/>
    <m/>
    <m/>
    <n v="0"/>
    <m/>
    <m/>
    <n v="0"/>
    <m/>
    <m/>
    <n v="0"/>
    <m/>
    <m/>
    <n v="0"/>
    <m/>
    <m/>
    <n v="0"/>
  </r>
  <r>
    <x v="9"/>
    <s v="Stanly Community College"/>
    <m/>
    <n v="199740"/>
    <x v="7"/>
    <m/>
    <m/>
    <n v="0"/>
    <m/>
    <m/>
    <n v="0"/>
    <m/>
    <m/>
    <n v="0"/>
    <m/>
    <m/>
    <n v="0"/>
    <m/>
    <m/>
    <n v="0"/>
    <m/>
    <m/>
    <n v="0"/>
    <m/>
    <m/>
    <n v="0"/>
    <m/>
    <m/>
    <n v="0"/>
    <m/>
    <m/>
    <n v="0"/>
    <m/>
    <m/>
    <n v="0"/>
    <n v="102"/>
    <n v="43544"/>
    <n v="4441488"/>
    <n v="81"/>
    <n v="44650.799999999996"/>
    <n v="3616714.8"/>
    <m/>
    <m/>
    <n v="0"/>
    <m/>
    <m/>
    <n v="0"/>
    <m/>
    <m/>
    <n v="0"/>
    <m/>
    <m/>
    <n v="0"/>
    <m/>
    <m/>
    <n v="0"/>
    <m/>
    <m/>
    <n v="0"/>
    <m/>
    <m/>
    <n v="0"/>
    <m/>
    <m/>
    <n v="0"/>
    <m/>
    <m/>
    <n v="0"/>
    <m/>
    <m/>
    <n v="0"/>
    <m/>
    <m/>
    <n v="0"/>
    <m/>
    <m/>
    <n v="0"/>
  </r>
  <r>
    <x v="9"/>
    <s v="Surry Community College "/>
    <m/>
    <n v="199768"/>
    <x v="7"/>
    <m/>
    <m/>
    <n v="0"/>
    <m/>
    <m/>
    <n v="0"/>
    <m/>
    <m/>
    <n v="0"/>
    <m/>
    <m/>
    <n v="0"/>
    <m/>
    <m/>
    <n v="0"/>
    <m/>
    <m/>
    <n v="0"/>
    <m/>
    <m/>
    <n v="0"/>
    <m/>
    <m/>
    <n v="0"/>
    <m/>
    <m/>
    <n v="0"/>
    <m/>
    <m/>
    <n v="0"/>
    <n v="104"/>
    <n v="47175"/>
    <n v="4906200"/>
    <n v="92"/>
    <n v="46465.56"/>
    <n v="4274831.5199999996"/>
    <m/>
    <m/>
    <n v="0"/>
    <m/>
    <m/>
    <n v="0"/>
    <m/>
    <m/>
    <n v="0"/>
    <m/>
    <m/>
    <n v="0"/>
    <m/>
    <m/>
    <n v="0"/>
    <m/>
    <m/>
    <n v="0"/>
    <m/>
    <m/>
    <n v="0"/>
    <m/>
    <m/>
    <n v="0"/>
    <m/>
    <m/>
    <n v="0"/>
    <m/>
    <m/>
    <n v="0"/>
    <m/>
    <m/>
    <n v="0"/>
    <m/>
    <m/>
    <n v="0"/>
  </r>
  <r>
    <x v="9"/>
    <s v="Vance-Granville Community College "/>
    <m/>
    <n v="199838"/>
    <x v="7"/>
    <m/>
    <m/>
    <n v="0"/>
    <m/>
    <m/>
    <n v="0"/>
    <m/>
    <m/>
    <n v="0"/>
    <m/>
    <m/>
    <n v="0"/>
    <m/>
    <m/>
    <n v="0"/>
    <m/>
    <m/>
    <n v="0"/>
    <m/>
    <m/>
    <n v="0"/>
    <m/>
    <m/>
    <n v="0"/>
    <m/>
    <m/>
    <n v="0"/>
    <m/>
    <m/>
    <n v="0"/>
    <n v="137"/>
    <n v="43856"/>
    <n v="6008272"/>
    <n v="114"/>
    <n v="44754.930000000008"/>
    <n v="5102062.0200000005"/>
    <m/>
    <m/>
    <n v="0"/>
    <m/>
    <m/>
    <n v="0"/>
    <m/>
    <m/>
    <n v="0"/>
    <m/>
    <m/>
    <n v="0"/>
    <m/>
    <m/>
    <n v="0"/>
    <m/>
    <m/>
    <n v="0"/>
    <m/>
    <m/>
    <n v="0"/>
    <m/>
    <m/>
    <n v="0"/>
    <m/>
    <m/>
    <n v="0"/>
    <m/>
    <m/>
    <n v="0"/>
    <m/>
    <m/>
    <n v="0"/>
    <m/>
    <m/>
    <n v="0"/>
  </r>
  <r>
    <x v="9"/>
    <s v="Wayne Community College"/>
    <m/>
    <n v="199892"/>
    <x v="7"/>
    <m/>
    <m/>
    <n v="0"/>
    <m/>
    <m/>
    <n v="0"/>
    <m/>
    <m/>
    <n v="0"/>
    <m/>
    <m/>
    <n v="0"/>
    <m/>
    <m/>
    <n v="0"/>
    <m/>
    <m/>
    <n v="0"/>
    <m/>
    <m/>
    <n v="0"/>
    <m/>
    <m/>
    <n v="0"/>
    <m/>
    <m/>
    <n v="0"/>
    <m/>
    <m/>
    <n v="0"/>
    <n v="125"/>
    <n v="44540"/>
    <n v="5567500"/>
    <n v="114"/>
    <n v="44374.409999999996"/>
    <n v="5058682.7399999993"/>
    <m/>
    <m/>
    <n v="0"/>
    <m/>
    <m/>
    <n v="0"/>
    <m/>
    <m/>
    <n v="0"/>
    <m/>
    <m/>
    <n v="0"/>
    <m/>
    <m/>
    <n v="0"/>
    <m/>
    <m/>
    <n v="0"/>
    <m/>
    <m/>
    <n v="0"/>
    <m/>
    <m/>
    <n v="0"/>
    <m/>
    <m/>
    <n v="0"/>
    <m/>
    <m/>
    <n v="0"/>
    <m/>
    <m/>
    <n v="0"/>
    <m/>
    <m/>
    <n v="0"/>
  </r>
  <r>
    <x v="9"/>
    <s v="Western Piedmont Community College "/>
    <m/>
    <n v="199908"/>
    <x v="7"/>
    <m/>
    <m/>
    <n v="0"/>
    <m/>
    <m/>
    <n v="0"/>
    <m/>
    <m/>
    <n v="0"/>
    <m/>
    <m/>
    <n v="0"/>
    <m/>
    <m/>
    <n v="0"/>
    <m/>
    <m/>
    <n v="0"/>
    <m/>
    <m/>
    <n v="0"/>
    <m/>
    <m/>
    <n v="0"/>
    <m/>
    <m/>
    <n v="0"/>
    <m/>
    <m/>
    <n v="0"/>
    <n v="78"/>
    <n v="49442"/>
    <n v="3856476"/>
    <n v="85"/>
    <n v="49030.200000000004"/>
    <n v="4167567.0000000005"/>
    <m/>
    <m/>
    <n v="0"/>
    <m/>
    <m/>
    <n v="0"/>
    <m/>
    <m/>
    <n v="0"/>
    <m/>
    <m/>
    <n v="0"/>
    <m/>
    <m/>
    <n v="0"/>
    <m/>
    <m/>
    <n v="0"/>
    <m/>
    <m/>
    <n v="0"/>
    <m/>
    <m/>
    <n v="0"/>
    <m/>
    <m/>
    <n v="0"/>
    <m/>
    <m/>
    <n v="0"/>
    <m/>
    <m/>
    <n v="0"/>
    <m/>
    <m/>
    <n v="0"/>
  </r>
  <r>
    <x v="9"/>
    <s v="Wilkes Community College "/>
    <m/>
    <n v="199926"/>
    <x v="7"/>
    <m/>
    <m/>
    <n v="0"/>
    <m/>
    <m/>
    <n v="0"/>
    <m/>
    <m/>
    <n v="0"/>
    <m/>
    <m/>
    <n v="0"/>
    <m/>
    <m/>
    <n v="0"/>
    <m/>
    <m/>
    <n v="0"/>
    <m/>
    <m/>
    <n v="0"/>
    <m/>
    <m/>
    <n v="0"/>
    <m/>
    <m/>
    <n v="0"/>
    <m/>
    <m/>
    <n v="0"/>
    <n v="84"/>
    <n v="47128"/>
    <n v="3958752"/>
    <n v="78"/>
    <n v="46484.549999999996"/>
    <n v="3625794.8999999994"/>
    <m/>
    <m/>
    <n v="0"/>
    <m/>
    <m/>
    <n v="0"/>
    <m/>
    <m/>
    <n v="0"/>
    <m/>
    <m/>
    <n v="0"/>
    <m/>
    <m/>
    <n v="0"/>
    <m/>
    <m/>
    <n v="0"/>
    <m/>
    <m/>
    <n v="0"/>
    <m/>
    <m/>
    <n v="0"/>
    <m/>
    <m/>
    <n v="0"/>
    <m/>
    <m/>
    <n v="0"/>
    <m/>
    <m/>
    <n v="0"/>
    <m/>
    <m/>
    <n v="0"/>
  </r>
  <r>
    <x v="9"/>
    <s v="Beaufort County Community College "/>
    <m/>
    <n v="197966"/>
    <x v="8"/>
    <m/>
    <m/>
    <n v="0"/>
    <m/>
    <m/>
    <n v="0"/>
    <m/>
    <m/>
    <n v="0"/>
    <m/>
    <m/>
    <n v="0"/>
    <m/>
    <m/>
    <n v="0"/>
    <m/>
    <m/>
    <n v="0"/>
    <m/>
    <m/>
    <n v="0"/>
    <m/>
    <m/>
    <n v="0"/>
    <m/>
    <m/>
    <n v="0"/>
    <m/>
    <m/>
    <n v="0"/>
    <n v="64"/>
    <n v="45007"/>
    <n v="2880448"/>
    <n v="58"/>
    <n v="45731.79"/>
    <n v="2652443.8199999998"/>
    <m/>
    <m/>
    <n v="0"/>
    <m/>
    <m/>
    <n v="0"/>
    <m/>
    <m/>
    <n v="0"/>
    <m/>
    <m/>
    <n v="0"/>
    <m/>
    <m/>
    <n v="0"/>
    <m/>
    <m/>
    <n v="0"/>
    <m/>
    <m/>
    <n v="0"/>
    <m/>
    <m/>
    <n v="0"/>
    <m/>
    <m/>
    <n v="0"/>
    <m/>
    <m/>
    <n v="0"/>
    <m/>
    <m/>
    <n v="0"/>
    <m/>
    <m/>
    <n v="0"/>
  </r>
  <r>
    <x v="9"/>
    <s v="Bladen Community College"/>
    <m/>
    <n v="198011"/>
    <x v="8"/>
    <m/>
    <m/>
    <n v="0"/>
    <m/>
    <m/>
    <n v="0"/>
    <m/>
    <m/>
    <n v="0"/>
    <m/>
    <m/>
    <n v="0"/>
    <m/>
    <m/>
    <n v="0"/>
    <m/>
    <m/>
    <n v="0"/>
    <m/>
    <m/>
    <n v="0"/>
    <m/>
    <m/>
    <n v="0"/>
    <m/>
    <m/>
    <n v="0"/>
    <m/>
    <m/>
    <n v="0"/>
    <n v="46"/>
    <n v="60218"/>
    <n v="2770028"/>
    <n v="54"/>
    <n v="52377.299999999996"/>
    <n v="2828374.1999999997"/>
    <m/>
    <m/>
    <n v="0"/>
    <m/>
    <m/>
    <n v="0"/>
    <m/>
    <m/>
    <n v="0"/>
    <m/>
    <m/>
    <n v="0"/>
    <m/>
    <m/>
    <n v="0"/>
    <m/>
    <m/>
    <n v="0"/>
    <m/>
    <m/>
    <n v="0"/>
    <m/>
    <m/>
    <n v="0"/>
    <m/>
    <m/>
    <n v="0"/>
    <m/>
    <m/>
    <n v="0"/>
    <m/>
    <m/>
    <n v="0"/>
    <m/>
    <m/>
    <n v="0"/>
  </r>
  <r>
    <x v="9"/>
    <s v="Blue Ridge Community College"/>
    <m/>
    <n v="198039"/>
    <x v="8"/>
    <m/>
    <m/>
    <n v="0"/>
    <m/>
    <m/>
    <n v="0"/>
    <m/>
    <m/>
    <n v="0"/>
    <m/>
    <m/>
    <n v="0"/>
    <m/>
    <m/>
    <n v="0"/>
    <m/>
    <m/>
    <n v="0"/>
    <m/>
    <m/>
    <n v="0"/>
    <m/>
    <m/>
    <n v="0"/>
    <m/>
    <m/>
    <n v="0"/>
    <m/>
    <m/>
    <n v="0"/>
    <n v="72"/>
    <n v="41806"/>
    <n v="3010032"/>
    <n v="63"/>
    <n v="44680.409999999996"/>
    <n v="2814865.8299999996"/>
    <m/>
    <m/>
    <n v="0"/>
    <m/>
    <m/>
    <n v="0"/>
    <m/>
    <m/>
    <n v="0"/>
    <m/>
    <m/>
    <n v="0"/>
    <m/>
    <m/>
    <n v="0"/>
    <m/>
    <m/>
    <n v="0"/>
    <m/>
    <m/>
    <n v="0"/>
    <m/>
    <m/>
    <n v="0"/>
    <m/>
    <m/>
    <n v="0"/>
    <m/>
    <m/>
    <n v="0"/>
    <m/>
    <m/>
    <n v="0"/>
    <m/>
    <m/>
    <n v="0"/>
  </r>
  <r>
    <x v="9"/>
    <s v="Brunswick Community College"/>
    <m/>
    <n v="198084"/>
    <x v="8"/>
    <m/>
    <m/>
    <n v="0"/>
    <m/>
    <m/>
    <n v="0"/>
    <m/>
    <m/>
    <n v="0"/>
    <m/>
    <m/>
    <n v="0"/>
    <m/>
    <m/>
    <n v="0"/>
    <m/>
    <m/>
    <n v="0"/>
    <m/>
    <m/>
    <n v="0"/>
    <m/>
    <m/>
    <n v="0"/>
    <m/>
    <m/>
    <n v="0"/>
    <m/>
    <m/>
    <n v="0"/>
    <n v="53"/>
    <n v="35325"/>
    <n v="1872225"/>
    <n v="43"/>
    <n v="43658.19"/>
    <n v="1877302.1700000002"/>
    <m/>
    <m/>
    <n v="0"/>
    <m/>
    <m/>
    <n v="0"/>
    <m/>
    <m/>
    <n v="0"/>
    <m/>
    <m/>
    <n v="0"/>
    <m/>
    <m/>
    <n v="0"/>
    <m/>
    <m/>
    <n v="0"/>
    <m/>
    <m/>
    <n v="0"/>
    <m/>
    <m/>
    <n v="0"/>
    <m/>
    <m/>
    <n v="0"/>
    <m/>
    <m/>
    <n v="0"/>
    <m/>
    <m/>
    <n v="0"/>
    <m/>
    <m/>
    <n v="0"/>
  </r>
  <r>
    <x v="9"/>
    <s v="Carteret Community College"/>
    <m/>
    <n v="198206"/>
    <x v="8"/>
    <m/>
    <m/>
    <n v="0"/>
    <m/>
    <m/>
    <n v="0"/>
    <m/>
    <m/>
    <n v="0"/>
    <m/>
    <m/>
    <n v="0"/>
    <m/>
    <m/>
    <n v="0"/>
    <m/>
    <m/>
    <n v="0"/>
    <m/>
    <m/>
    <n v="0"/>
    <m/>
    <m/>
    <n v="0"/>
    <m/>
    <m/>
    <n v="0"/>
    <m/>
    <m/>
    <n v="0"/>
    <n v="60"/>
    <n v="44773"/>
    <n v="2686380"/>
    <n v="58"/>
    <n v="45726.39"/>
    <n v="2652130.62"/>
    <m/>
    <m/>
    <n v="0"/>
    <m/>
    <m/>
    <n v="0"/>
    <m/>
    <m/>
    <n v="0"/>
    <m/>
    <m/>
    <n v="0"/>
    <m/>
    <m/>
    <n v="0"/>
    <m/>
    <m/>
    <n v="0"/>
    <m/>
    <m/>
    <n v="0"/>
    <m/>
    <m/>
    <n v="0"/>
    <m/>
    <m/>
    <n v="0"/>
    <m/>
    <m/>
    <n v="0"/>
    <m/>
    <m/>
    <n v="0"/>
    <m/>
    <m/>
    <n v="0"/>
  </r>
  <r>
    <x v="9"/>
    <s v="College of the Albemarle"/>
    <m/>
    <n v="197814"/>
    <x v="8"/>
    <m/>
    <m/>
    <n v="0"/>
    <m/>
    <m/>
    <n v="0"/>
    <m/>
    <m/>
    <n v="0"/>
    <m/>
    <m/>
    <n v="0"/>
    <m/>
    <m/>
    <n v="0"/>
    <m/>
    <m/>
    <n v="0"/>
    <m/>
    <m/>
    <n v="0"/>
    <m/>
    <m/>
    <n v="0"/>
    <m/>
    <m/>
    <n v="0"/>
    <m/>
    <m/>
    <n v="0"/>
    <n v="84"/>
    <n v="42517"/>
    <n v="3571428"/>
    <n v="76"/>
    <n v="43839.090000000004"/>
    <n v="3331770.8400000003"/>
    <m/>
    <m/>
    <n v="0"/>
    <m/>
    <m/>
    <n v="0"/>
    <m/>
    <m/>
    <n v="0"/>
    <m/>
    <m/>
    <n v="0"/>
    <m/>
    <m/>
    <n v="0"/>
    <m/>
    <m/>
    <n v="0"/>
    <m/>
    <m/>
    <n v="0"/>
    <m/>
    <m/>
    <n v="0"/>
    <m/>
    <m/>
    <n v="0"/>
    <m/>
    <m/>
    <n v="0"/>
    <m/>
    <m/>
    <n v="0"/>
    <m/>
    <m/>
    <n v="0"/>
  </r>
  <r>
    <x v="9"/>
    <s v="Halifax Community College "/>
    <m/>
    <n v="198640"/>
    <x v="8"/>
    <m/>
    <m/>
    <n v="0"/>
    <m/>
    <m/>
    <n v="0"/>
    <m/>
    <m/>
    <n v="0"/>
    <m/>
    <m/>
    <n v="0"/>
    <m/>
    <m/>
    <n v="0"/>
    <m/>
    <m/>
    <n v="0"/>
    <m/>
    <m/>
    <n v="0"/>
    <m/>
    <m/>
    <n v="0"/>
    <m/>
    <m/>
    <n v="0"/>
    <m/>
    <m/>
    <n v="0"/>
    <n v="64"/>
    <n v="44620"/>
    <n v="2855680"/>
    <n v="55"/>
    <n v="43524.36"/>
    <n v="2393839.7999999998"/>
    <m/>
    <m/>
    <n v="0"/>
    <m/>
    <m/>
    <n v="0"/>
    <m/>
    <m/>
    <n v="0"/>
    <m/>
    <m/>
    <n v="0"/>
    <m/>
    <m/>
    <n v="0"/>
    <m/>
    <m/>
    <n v="0"/>
    <m/>
    <m/>
    <n v="0"/>
    <m/>
    <m/>
    <n v="0"/>
    <m/>
    <m/>
    <n v="0"/>
    <m/>
    <m/>
    <n v="0"/>
    <m/>
    <m/>
    <n v="0"/>
    <m/>
    <m/>
    <n v="0"/>
  </r>
  <r>
    <x v="9"/>
    <s v="James Sprunt Community College"/>
    <m/>
    <n v="198729"/>
    <x v="8"/>
    <m/>
    <m/>
    <n v="0"/>
    <m/>
    <m/>
    <n v="0"/>
    <m/>
    <m/>
    <n v="0"/>
    <m/>
    <m/>
    <n v="0"/>
    <m/>
    <m/>
    <n v="0"/>
    <m/>
    <m/>
    <n v="0"/>
    <m/>
    <m/>
    <n v="0"/>
    <m/>
    <m/>
    <n v="0"/>
    <m/>
    <m/>
    <n v="0"/>
    <m/>
    <m/>
    <n v="0"/>
    <n v="58"/>
    <n v="41645"/>
    <n v="2415410"/>
    <n v="46"/>
    <n v="44308.35"/>
    <n v="2038184.0999999999"/>
    <m/>
    <m/>
    <n v="0"/>
    <m/>
    <m/>
    <n v="0"/>
    <m/>
    <m/>
    <n v="0"/>
    <m/>
    <m/>
    <n v="0"/>
    <m/>
    <m/>
    <n v="0"/>
    <m/>
    <m/>
    <n v="0"/>
    <m/>
    <m/>
    <n v="0"/>
    <m/>
    <m/>
    <n v="0"/>
    <m/>
    <m/>
    <n v="0"/>
    <m/>
    <m/>
    <n v="0"/>
    <m/>
    <m/>
    <n v="0"/>
    <m/>
    <m/>
    <n v="0"/>
  </r>
  <r>
    <x v="9"/>
    <s v="Martin Community College "/>
    <m/>
    <n v="198905"/>
    <x v="8"/>
    <m/>
    <m/>
    <n v="0"/>
    <m/>
    <m/>
    <n v="0"/>
    <m/>
    <m/>
    <n v="0"/>
    <m/>
    <m/>
    <n v="0"/>
    <m/>
    <m/>
    <n v="0"/>
    <m/>
    <m/>
    <n v="0"/>
    <m/>
    <m/>
    <n v="0"/>
    <m/>
    <m/>
    <n v="0"/>
    <m/>
    <m/>
    <n v="0"/>
    <m/>
    <m/>
    <n v="0"/>
    <n v="23"/>
    <n v="42865"/>
    <n v="985895"/>
    <n v="22"/>
    <n v="43880.31"/>
    <n v="965366.82"/>
    <m/>
    <m/>
    <n v="0"/>
    <m/>
    <m/>
    <n v="0"/>
    <m/>
    <m/>
    <n v="0"/>
    <m/>
    <m/>
    <n v="0"/>
    <m/>
    <m/>
    <n v="0"/>
    <m/>
    <m/>
    <n v="0"/>
    <m/>
    <m/>
    <n v="0"/>
    <m/>
    <m/>
    <n v="0"/>
    <m/>
    <m/>
    <n v="0"/>
    <m/>
    <m/>
    <n v="0"/>
    <m/>
    <m/>
    <n v="0"/>
    <m/>
    <m/>
    <n v="0"/>
  </r>
  <r>
    <x v="9"/>
    <s v="Mayland Community College"/>
    <m/>
    <n v="198914"/>
    <x v="8"/>
    <m/>
    <m/>
    <n v="0"/>
    <m/>
    <m/>
    <n v="0"/>
    <m/>
    <m/>
    <n v="0"/>
    <m/>
    <m/>
    <n v="0"/>
    <m/>
    <m/>
    <n v="0"/>
    <m/>
    <m/>
    <n v="0"/>
    <m/>
    <m/>
    <n v="0"/>
    <m/>
    <m/>
    <n v="0"/>
    <m/>
    <m/>
    <n v="0"/>
    <m/>
    <m/>
    <n v="0"/>
    <n v="49"/>
    <n v="50828"/>
    <n v="2490572"/>
    <n v="39"/>
    <n v="43882.83"/>
    <n v="1711430.37"/>
    <m/>
    <m/>
    <n v="0"/>
    <m/>
    <m/>
    <n v="0"/>
    <m/>
    <m/>
    <n v="0"/>
    <m/>
    <m/>
    <n v="0"/>
    <m/>
    <m/>
    <n v="0"/>
    <m/>
    <m/>
    <n v="0"/>
    <m/>
    <m/>
    <n v="0"/>
    <m/>
    <m/>
    <n v="0"/>
    <m/>
    <m/>
    <n v="0"/>
    <m/>
    <m/>
    <n v="0"/>
    <m/>
    <m/>
    <n v="0"/>
    <m/>
    <m/>
    <n v="0"/>
  </r>
  <r>
    <x v="9"/>
    <s v="McDowell Technical Community College"/>
    <m/>
    <n v="198923"/>
    <x v="8"/>
    <m/>
    <m/>
    <n v="0"/>
    <m/>
    <m/>
    <n v="0"/>
    <m/>
    <m/>
    <n v="0"/>
    <m/>
    <m/>
    <n v="0"/>
    <m/>
    <m/>
    <n v="0"/>
    <m/>
    <m/>
    <n v="0"/>
    <m/>
    <m/>
    <n v="0"/>
    <m/>
    <m/>
    <n v="0"/>
    <m/>
    <m/>
    <n v="0"/>
    <m/>
    <m/>
    <n v="0"/>
    <n v="49"/>
    <n v="43210"/>
    <n v="2117290"/>
    <n v="45"/>
    <n v="47012.22"/>
    <n v="2115549.9"/>
    <m/>
    <m/>
    <n v="0"/>
    <m/>
    <m/>
    <n v="0"/>
    <m/>
    <m/>
    <n v="0"/>
    <m/>
    <m/>
    <n v="0"/>
    <m/>
    <m/>
    <n v="0"/>
    <m/>
    <m/>
    <n v="0"/>
    <m/>
    <m/>
    <n v="0"/>
    <m/>
    <m/>
    <n v="0"/>
    <m/>
    <m/>
    <n v="0"/>
    <m/>
    <m/>
    <n v="0"/>
    <m/>
    <m/>
    <n v="0"/>
    <m/>
    <m/>
    <n v="0"/>
  </r>
  <r>
    <x v="9"/>
    <s v="Montgomery Community College"/>
    <m/>
    <n v="199023"/>
    <x v="8"/>
    <m/>
    <m/>
    <n v="0"/>
    <m/>
    <m/>
    <n v="0"/>
    <m/>
    <m/>
    <n v="0"/>
    <m/>
    <m/>
    <n v="0"/>
    <m/>
    <m/>
    <n v="0"/>
    <m/>
    <m/>
    <n v="0"/>
    <m/>
    <m/>
    <n v="0"/>
    <m/>
    <m/>
    <n v="0"/>
    <m/>
    <m/>
    <n v="0"/>
    <m/>
    <m/>
    <n v="0"/>
    <n v="41"/>
    <n v="42373"/>
    <n v="1737293"/>
    <n v="34"/>
    <n v="42165.54"/>
    <n v="1433628.36"/>
    <m/>
    <m/>
    <n v="0"/>
    <m/>
    <m/>
    <n v="0"/>
    <m/>
    <m/>
    <n v="0"/>
    <m/>
    <m/>
    <n v="0"/>
    <m/>
    <m/>
    <n v="0"/>
    <m/>
    <m/>
    <n v="0"/>
    <m/>
    <m/>
    <n v="0"/>
    <m/>
    <m/>
    <n v="0"/>
    <m/>
    <m/>
    <n v="0"/>
    <m/>
    <m/>
    <n v="0"/>
    <m/>
    <m/>
    <n v="0"/>
    <m/>
    <m/>
    <n v="0"/>
  </r>
  <r>
    <x v="9"/>
    <s v="Pamlico Community College"/>
    <m/>
    <n v="199263"/>
    <x v="8"/>
    <m/>
    <m/>
    <n v="0"/>
    <m/>
    <m/>
    <n v="0"/>
    <m/>
    <m/>
    <n v="0"/>
    <m/>
    <m/>
    <n v="0"/>
    <m/>
    <m/>
    <n v="0"/>
    <m/>
    <m/>
    <n v="0"/>
    <m/>
    <m/>
    <n v="0"/>
    <m/>
    <m/>
    <n v="0"/>
    <m/>
    <m/>
    <n v="0"/>
    <m/>
    <m/>
    <n v="0"/>
    <n v="28"/>
    <n v="45879"/>
    <n v="1284612"/>
    <n v="18"/>
    <n v="45392.04"/>
    <n v="817056.72"/>
    <m/>
    <m/>
    <n v="0"/>
    <m/>
    <m/>
    <n v="0"/>
    <m/>
    <m/>
    <n v="0"/>
    <m/>
    <m/>
    <n v="0"/>
    <m/>
    <m/>
    <n v="0"/>
    <m/>
    <m/>
    <n v="0"/>
    <m/>
    <m/>
    <n v="0"/>
    <m/>
    <m/>
    <n v="0"/>
    <m/>
    <m/>
    <n v="0"/>
    <m/>
    <m/>
    <n v="0"/>
    <m/>
    <m/>
    <n v="0"/>
    <m/>
    <m/>
    <n v="0"/>
  </r>
  <r>
    <x v="9"/>
    <s v="Piedmont Community College"/>
    <m/>
    <n v="199324"/>
    <x v="8"/>
    <m/>
    <m/>
    <n v="0"/>
    <m/>
    <m/>
    <n v="0"/>
    <m/>
    <m/>
    <n v="0"/>
    <m/>
    <m/>
    <n v="0"/>
    <m/>
    <m/>
    <n v="0"/>
    <m/>
    <m/>
    <n v="0"/>
    <m/>
    <m/>
    <n v="0"/>
    <m/>
    <m/>
    <n v="0"/>
    <m/>
    <m/>
    <n v="0"/>
    <m/>
    <m/>
    <n v="0"/>
    <n v="93"/>
    <n v="51521"/>
    <n v="4791453"/>
    <n v="71"/>
    <n v="47385.54"/>
    <n v="3364373.34"/>
    <m/>
    <m/>
    <n v="0"/>
    <m/>
    <m/>
    <n v="0"/>
    <m/>
    <m/>
    <n v="0"/>
    <m/>
    <m/>
    <n v="0"/>
    <m/>
    <m/>
    <n v="0"/>
    <m/>
    <m/>
    <n v="0"/>
    <m/>
    <m/>
    <n v="0"/>
    <m/>
    <m/>
    <n v="0"/>
    <m/>
    <m/>
    <n v="0"/>
    <m/>
    <m/>
    <n v="0"/>
    <m/>
    <m/>
    <n v="0"/>
    <m/>
    <m/>
    <n v="0"/>
  </r>
  <r>
    <x v="9"/>
    <s v="Richmond Community College"/>
    <m/>
    <n v="199449"/>
    <x v="8"/>
    <m/>
    <m/>
    <n v="0"/>
    <m/>
    <m/>
    <n v="0"/>
    <m/>
    <m/>
    <n v="0"/>
    <m/>
    <m/>
    <n v="0"/>
    <m/>
    <m/>
    <n v="0"/>
    <m/>
    <m/>
    <n v="0"/>
    <m/>
    <m/>
    <n v="0"/>
    <m/>
    <m/>
    <n v="0"/>
    <m/>
    <m/>
    <n v="0"/>
    <m/>
    <m/>
    <n v="0"/>
    <n v="63"/>
    <n v="56569"/>
    <n v="3563847"/>
    <n v="62"/>
    <n v="52994.879999999997"/>
    <n v="3285682.56"/>
    <m/>
    <m/>
    <n v="0"/>
    <m/>
    <m/>
    <n v="0"/>
    <m/>
    <m/>
    <n v="0"/>
    <m/>
    <m/>
    <n v="0"/>
    <m/>
    <m/>
    <n v="0"/>
    <m/>
    <m/>
    <n v="0"/>
    <m/>
    <m/>
    <n v="0"/>
    <m/>
    <m/>
    <n v="0"/>
    <m/>
    <m/>
    <n v="0"/>
    <m/>
    <m/>
    <n v="0"/>
    <m/>
    <m/>
    <n v="0"/>
    <m/>
    <m/>
    <n v="0"/>
  </r>
  <r>
    <x v="9"/>
    <s v="Roanoke-Chowan Community College"/>
    <m/>
    <n v="199467"/>
    <x v="8"/>
    <m/>
    <m/>
    <n v="0"/>
    <m/>
    <m/>
    <n v="0"/>
    <m/>
    <m/>
    <n v="0"/>
    <m/>
    <m/>
    <n v="0"/>
    <m/>
    <m/>
    <n v="0"/>
    <m/>
    <m/>
    <n v="0"/>
    <m/>
    <m/>
    <n v="0"/>
    <m/>
    <m/>
    <n v="0"/>
    <m/>
    <m/>
    <n v="0"/>
    <m/>
    <m/>
    <n v="0"/>
    <n v="36"/>
    <n v="50003"/>
    <n v="1800108"/>
    <n v="33"/>
    <n v="50731.11"/>
    <n v="1674126.6300000001"/>
    <m/>
    <m/>
    <n v="0"/>
    <m/>
    <m/>
    <n v="0"/>
    <m/>
    <m/>
    <n v="0"/>
    <m/>
    <m/>
    <n v="0"/>
    <m/>
    <m/>
    <n v="0"/>
    <m/>
    <m/>
    <n v="0"/>
    <m/>
    <m/>
    <n v="0"/>
    <m/>
    <m/>
    <n v="0"/>
    <m/>
    <m/>
    <n v="0"/>
    <m/>
    <m/>
    <n v="0"/>
    <m/>
    <m/>
    <n v="0"/>
    <m/>
    <m/>
    <n v="0"/>
  </r>
  <r>
    <x v="9"/>
    <s v="Rockingham Community College "/>
    <m/>
    <n v="199485"/>
    <x v="8"/>
    <m/>
    <m/>
    <n v="0"/>
    <m/>
    <m/>
    <n v="0"/>
    <m/>
    <m/>
    <n v="0"/>
    <m/>
    <m/>
    <n v="0"/>
    <m/>
    <m/>
    <n v="0"/>
    <m/>
    <m/>
    <n v="0"/>
    <m/>
    <m/>
    <n v="0"/>
    <m/>
    <m/>
    <n v="0"/>
    <m/>
    <m/>
    <n v="0"/>
    <m/>
    <m/>
    <n v="0"/>
    <n v="62"/>
    <n v="45895"/>
    <n v="2845490"/>
    <n v="66"/>
    <n v="44922.15"/>
    <n v="2964861.9"/>
    <m/>
    <m/>
    <n v="0"/>
    <m/>
    <m/>
    <n v="0"/>
    <m/>
    <m/>
    <n v="0"/>
    <m/>
    <m/>
    <n v="0"/>
    <m/>
    <m/>
    <n v="0"/>
    <m/>
    <m/>
    <n v="0"/>
    <m/>
    <m/>
    <n v="0"/>
    <m/>
    <m/>
    <n v="0"/>
    <m/>
    <m/>
    <n v="0"/>
    <m/>
    <m/>
    <n v="0"/>
    <m/>
    <m/>
    <n v="0"/>
    <m/>
    <m/>
    <n v="0"/>
  </r>
  <r>
    <x v="9"/>
    <s v="Sampson Community College"/>
    <m/>
    <n v="199625"/>
    <x v="8"/>
    <m/>
    <m/>
    <n v="0"/>
    <m/>
    <m/>
    <n v="0"/>
    <m/>
    <m/>
    <n v="0"/>
    <m/>
    <m/>
    <n v="0"/>
    <m/>
    <m/>
    <n v="0"/>
    <m/>
    <m/>
    <n v="0"/>
    <m/>
    <m/>
    <n v="0"/>
    <m/>
    <m/>
    <n v="0"/>
    <m/>
    <m/>
    <n v="0"/>
    <m/>
    <m/>
    <n v="0"/>
    <n v="65"/>
    <n v="44722"/>
    <n v="2906930"/>
    <n v="52"/>
    <n v="45780.75"/>
    <n v="2380599"/>
    <m/>
    <m/>
    <n v="0"/>
    <m/>
    <m/>
    <n v="0"/>
    <m/>
    <m/>
    <n v="0"/>
    <m/>
    <m/>
    <n v="0"/>
    <m/>
    <m/>
    <n v="0"/>
    <m/>
    <m/>
    <n v="0"/>
    <m/>
    <m/>
    <n v="0"/>
    <m/>
    <m/>
    <n v="0"/>
    <m/>
    <m/>
    <n v="0"/>
    <m/>
    <m/>
    <n v="0"/>
    <m/>
    <m/>
    <n v="0"/>
    <m/>
    <m/>
    <n v="0"/>
  </r>
  <r>
    <x v="9"/>
    <s v="South Piedmont Community College"/>
    <m/>
    <n v="197850"/>
    <x v="8"/>
    <m/>
    <m/>
    <n v="0"/>
    <m/>
    <m/>
    <n v="0"/>
    <m/>
    <m/>
    <n v="0"/>
    <m/>
    <m/>
    <n v="0"/>
    <m/>
    <m/>
    <n v="0"/>
    <m/>
    <m/>
    <n v="0"/>
    <m/>
    <m/>
    <n v="0"/>
    <m/>
    <m/>
    <n v="0"/>
    <m/>
    <m/>
    <n v="0"/>
    <m/>
    <m/>
    <n v="0"/>
    <n v="86"/>
    <n v="45691"/>
    <n v="3929426"/>
    <n v="56"/>
    <n v="53417.430000000008"/>
    <n v="2991376.0800000005"/>
    <m/>
    <m/>
    <n v="0"/>
    <m/>
    <m/>
    <n v="0"/>
    <m/>
    <m/>
    <n v="0"/>
    <m/>
    <m/>
    <n v="0"/>
    <m/>
    <m/>
    <n v="0"/>
    <m/>
    <m/>
    <n v="0"/>
    <m/>
    <m/>
    <n v="0"/>
    <m/>
    <m/>
    <n v="0"/>
    <m/>
    <m/>
    <n v="0"/>
    <m/>
    <m/>
    <n v="0"/>
    <m/>
    <m/>
    <n v="0"/>
    <m/>
    <m/>
    <n v="0"/>
  </r>
  <r>
    <x v="9"/>
    <s v="Southeastern Community College "/>
    <m/>
    <n v="199722"/>
    <x v="8"/>
    <m/>
    <m/>
    <n v="0"/>
    <m/>
    <m/>
    <n v="0"/>
    <m/>
    <m/>
    <n v="0"/>
    <m/>
    <m/>
    <n v="0"/>
    <m/>
    <m/>
    <n v="0"/>
    <m/>
    <m/>
    <n v="0"/>
    <m/>
    <m/>
    <n v="0"/>
    <m/>
    <m/>
    <n v="0"/>
    <m/>
    <m/>
    <n v="0"/>
    <m/>
    <m/>
    <n v="0"/>
    <n v="80"/>
    <n v="46112"/>
    <n v="3688960"/>
    <n v="57"/>
    <n v="44951.22"/>
    <n v="2562219.54"/>
    <m/>
    <m/>
    <n v="0"/>
    <m/>
    <m/>
    <n v="0"/>
    <m/>
    <m/>
    <n v="0"/>
    <m/>
    <m/>
    <n v="0"/>
    <m/>
    <m/>
    <n v="0"/>
    <m/>
    <m/>
    <n v="0"/>
    <m/>
    <m/>
    <n v="0"/>
    <m/>
    <m/>
    <n v="0"/>
    <m/>
    <m/>
    <n v="0"/>
    <m/>
    <m/>
    <n v="0"/>
    <m/>
    <m/>
    <n v="0"/>
    <m/>
    <m/>
    <n v="0"/>
  </r>
  <r>
    <x v="9"/>
    <s v="Southwestern Community College "/>
    <m/>
    <n v="199731"/>
    <x v="8"/>
    <m/>
    <m/>
    <n v="0"/>
    <m/>
    <m/>
    <n v="0"/>
    <m/>
    <m/>
    <n v="0"/>
    <m/>
    <m/>
    <n v="0"/>
    <m/>
    <m/>
    <n v="0"/>
    <m/>
    <m/>
    <n v="0"/>
    <m/>
    <m/>
    <n v="0"/>
    <m/>
    <m/>
    <n v="0"/>
    <m/>
    <m/>
    <n v="0"/>
    <m/>
    <m/>
    <n v="0"/>
    <n v="83"/>
    <n v="44670"/>
    <n v="3707610"/>
    <n v="72"/>
    <n v="46443.96"/>
    <n v="3343965.12"/>
    <m/>
    <m/>
    <n v="0"/>
    <m/>
    <m/>
    <n v="0"/>
    <m/>
    <m/>
    <n v="0"/>
    <m/>
    <m/>
    <n v="0"/>
    <m/>
    <m/>
    <n v="0"/>
    <m/>
    <m/>
    <n v="0"/>
    <m/>
    <m/>
    <n v="0"/>
    <m/>
    <m/>
    <n v="0"/>
    <m/>
    <m/>
    <n v="0"/>
    <m/>
    <m/>
    <n v="0"/>
    <m/>
    <m/>
    <n v="0"/>
    <m/>
    <m/>
    <n v="0"/>
  </r>
  <r>
    <x v="9"/>
    <s v="Tri-County Community College "/>
    <m/>
    <n v="199795"/>
    <x v="8"/>
    <m/>
    <m/>
    <n v="0"/>
    <m/>
    <m/>
    <n v="0"/>
    <m/>
    <m/>
    <n v="0"/>
    <m/>
    <m/>
    <n v="0"/>
    <m/>
    <m/>
    <n v="0"/>
    <m/>
    <m/>
    <n v="0"/>
    <m/>
    <m/>
    <n v="0"/>
    <m/>
    <m/>
    <n v="0"/>
    <m/>
    <m/>
    <n v="0"/>
    <m/>
    <m/>
    <n v="0"/>
    <n v="34"/>
    <n v="44505"/>
    <n v="1513170"/>
    <n v="28"/>
    <n v="45370.89"/>
    <n v="1270384.92"/>
    <m/>
    <m/>
    <n v="0"/>
    <m/>
    <m/>
    <n v="0"/>
    <m/>
    <m/>
    <n v="0"/>
    <m/>
    <m/>
    <n v="0"/>
    <m/>
    <m/>
    <n v="0"/>
    <m/>
    <m/>
    <n v="0"/>
    <m/>
    <m/>
    <n v="0"/>
    <m/>
    <m/>
    <n v="0"/>
    <m/>
    <m/>
    <n v="0"/>
    <m/>
    <m/>
    <n v="0"/>
    <m/>
    <m/>
    <n v="0"/>
    <m/>
    <m/>
    <n v="0"/>
  </r>
  <r>
    <x v="9"/>
    <s v="Wilson Community College"/>
    <m/>
    <n v="199953"/>
    <x v="8"/>
    <m/>
    <m/>
    <n v="0"/>
    <m/>
    <m/>
    <n v="0"/>
    <m/>
    <m/>
    <n v="0"/>
    <m/>
    <m/>
    <n v="0"/>
    <m/>
    <m/>
    <n v="0"/>
    <m/>
    <m/>
    <n v="0"/>
    <m/>
    <m/>
    <n v="0"/>
    <m/>
    <m/>
    <n v="0"/>
    <m/>
    <m/>
    <n v="0"/>
    <m/>
    <m/>
    <n v="0"/>
    <n v="54"/>
    <n v="46670"/>
    <n v="2520180"/>
    <n v="50"/>
    <n v="47452.319999999992"/>
    <n v="2372615.9999999995"/>
    <m/>
    <m/>
    <n v="0"/>
    <m/>
    <m/>
    <n v="0"/>
    <m/>
    <m/>
    <n v="0"/>
    <m/>
    <m/>
    <n v="0"/>
    <m/>
    <m/>
    <n v="0"/>
    <m/>
    <m/>
    <n v="0"/>
    <m/>
    <m/>
    <n v="0"/>
    <m/>
    <m/>
    <n v="0"/>
    <m/>
    <m/>
    <n v="0"/>
    <m/>
    <m/>
    <n v="0"/>
    <m/>
    <m/>
    <n v="0"/>
    <m/>
    <m/>
    <n v="0"/>
  </r>
  <r>
    <x v="10"/>
    <s v="Oklahoma State University Main Campus"/>
    <m/>
    <n v="207388"/>
    <x v="0"/>
    <n v="222"/>
    <n v="108659"/>
    <n v="24122298"/>
    <n v="225"/>
    <n v="110650"/>
    <n v="24896250"/>
    <n v="238"/>
    <n v="73407"/>
    <n v="17470866"/>
    <n v="248"/>
    <n v="75323"/>
    <n v="18680104"/>
    <n v="220"/>
    <n v="65302"/>
    <n v="14366440"/>
    <n v="198"/>
    <n v="68387"/>
    <n v="13540626"/>
    <n v="67"/>
    <n v="45032"/>
    <n v="3017144"/>
    <n v="65"/>
    <n v="45485"/>
    <n v="2956525"/>
    <m/>
    <m/>
    <n v="0"/>
    <m/>
    <m/>
    <n v="0"/>
    <m/>
    <m/>
    <n v="0"/>
    <m/>
    <m/>
    <n v="0"/>
    <n v="60"/>
    <n v="140832"/>
    <n v="6913724.5440000007"/>
    <n v="58"/>
    <n v="132940"/>
    <n v="6308747.4640000006"/>
    <n v="32"/>
    <n v="79641"/>
    <n v="2085192.5184000002"/>
    <n v="31"/>
    <n v="79572"/>
    <n v="2018280.1224"/>
    <n v="27"/>
    <n v="56422"/>
    <n v="1246440.9708"/>
    <n v="26"/>
    <n v="60374"/>
    <n v="1284348.1768"/>
    <n v="64"/>
    <n v="47822"/>
    <n v="2504189.4656000002"/>
    <n v="70"/>
    <n v="48778"/>
    <n v="2793711.1720000003"/>
    <m/>
    <m/>
    <n v="0"/>
    <m/>
    <m/>
    <n v="0"/>
    <m/>
    <m/>
    <n v="0"/>
    <m/>
    <m/>
    <n v="0"/>
  </r>
  <r>
    <x v="10"/>
    <s v="University of Oklahoma Norman Campus"/>
    <m/>
    <n v="207500"/>
    <x v="0"/>
    <n v="331"/>
    <n v="105912"/>
    <n v="35056872"/>
    <n v="341"/>
    <n v="109889"/>
    <n v="37472149"/>
    <n v="256"/>
    <n v="69834"/>
    <n v="17877504"/>
    <n v="269"/>
    <n v="71320"/>
    <n v="19185080"/>
    <n v="238"/>
    <n v="62796"/>
    <n v="14945448"/>
    <n v="249"/>
    <n v="65230"/>
    <n v="16242270"/>
    <n v="157"/>
    <n v="41155"/>
    <n v="6461335"/>
    <n v="143"/>
    <n v="41225"/>
    <n v="5895175"/>
    <m/>
    <m/>
    <n v="0"/>
    <m/>
    <m/>
    <n v="0"/>
    <m/>
    <m/>
    <n v="0"/>
    <m/>
    <m/>
    <n v="0"/>
    <n v="84"/>
    <n v="143744"/>
    <n v="9879352.6272"/>
    <n v="87"/>
    <n v="147481"/>
    <n v="10498199.0154"/>
    <n v="31"/>
    <n v="95632"/>
    <n v="2425629.1743999999"/>
    <n v="27"/>
    <n v="100254"/>
    <n v="2214751.2156000002"/>
    <n v="17"/>
    <n v="78420"/>
    <n v="1090775.148"/>
    <n v="13"/>
    <n v="79934"/>
    <n v="850225.98440000007"/>
    <n v="7"/>
    <n v="56282"/>
    <n v="322349.52679999999"/>
    <n v="10"/>
    <n v="56908"/>
    <n v="465621.25599999999"/>
    <m/>
    <m/>
    <n v="0"/>
    <m/>
    <m/>
    <n v="0"/>
    <m/>
    <m/>
    <n v="0"/>
    <m/>
    <m/>
    <n v="0"/>
  </r>
  <r>
    <x v="10"/>
    <s v="Northeastern State University"/>
    <m/>
    <n v="207263"/>
    <x v="2"/>
    <n v="52"/>
    <n v="69908"/>
    <n v="3635216"/>
    <n v="56"/>
    <n v="69202"/>
    <n v="3875312"/>
    <n v="74"/>
    <n v="56178"/>
    <n v="4157172"/>
    <n v="67"/>
    <n v="55395"/>
    <n v="3711465"/>
    <n v="88"/>
    <n v="48233"/>
    <n v="4244504"/>
    <n v="96"/>
    <n v="49690"/>
    <n v="4770240"/>
    <n v="82"/>
    <n v="38143"/>
    <n v="3127726"/>
    <n v="74"/>
    <n v="37855"/>
    <n v="2801270"/>
    <m/>
    <m/>
    <n v="0"/>
    <m/>
    <m/>
    <n v="0"/>
    <m/>
    <m/>
    <n v="0"/>
    <m/>
    <m/>
    <n v="0"/>
    <n v="10"/>
    <n v="100119"/>
    <n v="819173.65800000005"/>
    <n v="10"/>
    <n v="99067"/>
    <n v="810566.19400000002"/>
    <n v="8"/>
    <n v="82117"/>
    <n v="537505.03520000004"/>
    <n v="5"/>
    <n v="85022"/>
    <n v="347825.00200000004"/>
    <n v="11"/>
    <n v="77327"/>
    <n v="695958.46539999999"/>
    <n v="10"/>
    <n v="77813"/>
    <n v="636665.96600000001"/>
    <n v="8"/>
    <n v="48765"/>
    <n v="319196.18400000001"/>
    <n v="7"/>
    <n v="50808"/>
    <n v="290997.73920000001"/>
    <m/>
    <m/>
    <n v="0"/>
    <m/>
    <m/>
    <n v="0"/>
    <m/>
    <m/>
    <n v="0"/>
    <m/>
    <m/>
    <n v="0"/>
  </r>
  <r>
    <x v="10"/>
    <s v="University of Central Oklahoma"/>
    <m/>
    <n v="206941"/>
    <x v="2"/>
    <n v="170"/>
    <n v="77722"/>
    <n v="13212740"/>
    <n v="157"/>
    <n v="77182"/>
    <n v="12117574"/>
    <n v="70"/>
    <n v="63374"/>
    <n v="4436180"/>
    <n v="81"/>
    <n v="63384"/>
    <n v="5134104"/>
    <n v="116"/>
    <n v="59200"/>
    <n v="6867200"/>
    <n v="114"/>
    <n v="60023"/>
    <n v="6842622"/>
    <n v="92"/>
    <n v="40887"/>
    <n v="3761604"/>
    <n v="98"/>
    <n v="43202"/>
    <n v="4233796"/>
    <m/>
    <m/>
    <n v="0"/>
    <m/>
    <m/>
    <n v="0"/>
    <m/>
    <m/>
    <n v="0"/>
    <m/>
    <m/>
    <n v="0"/>
    <m/>
    <m/>
    <n v="0"/>
    <n v="0"/>
    <n v="0"/>
    <n v="0"/>
    <m/>
    <m/>
    <n v="0"/>
    <n v="0"/>
    <n v="0"/>
    <n v="0"/>
    <m/>
    <m/>
    <n v="0"/>
    <n v="0"/>
    <n v="0"/>
    <n v="0"/>
    <m/>
    <m/>
    <n v="0"/>
    <n v="0"/>
    <n v="0"/>
    <n v="0"/>
    <m/>
    <m/>
    <n v="0"/>
    <m/>
    <m/>
    <n v="0"/>
    <m/>
    <m/>
    <n v="0"/>
    <m/>
    <m/>
    <n v="0"/>
  </r>
  <r>
    <x v="10"/>
    <s v="Cameron University "/>
    <m/>
    <n v="206914"/>
    <x v="4"/>
    <n v="32"/>
    <n v="65202"/>
    <n v="2086464"/>
    <n v="34"/>
    <n v="68891"/>
    <n v="2342294"/>
    <n v="42"/>
    <n v="57959"/>
    <n v="2434278"/>
    <n v="39"/>
    <n v="61259"/>
    <n v="2389101"/>
    <n v="56"/>
    <n v="49512"/>
    <n v="2772672"/>
    <n v="56"/>
    <n v="52641"/>
    <n v="2947896"/>
    <n v="43"/>
    <n v="38012"/>
    <n v="1634516"/>
    <n v="45"/>
    <n v="38527"/>
    <n v="1733715"/>
    <m/>
    <m/>
    <n v="0"/>
    <m/>
    <m/>
    <n v="0"/>
    <m/>
    <m/>
    <n v="0"/>
    <m/>
    <m/>
    <n v="0"/>
    <m/>
    <m/>
    <n v="0"/>
    <n v="0"/>
    <n v="0"/>
    <n v="0"/>
    <n v="2"/>
    <n v="51000"/>
    <n v="83456.400000000009"/>
    <n v="2"/>
    <n v="53039"/>
    <n v="86793.0196"/>
    <n v="1"/>
    <n v="45679"/>
    <n v="37374.557800000002"/>
    <n v="1"/>
    <n v="47506"/>
    <n v="38869.409200000002"/>
    <n v="3"/>
    <n v="41667"/>
    <n v="102275.81820000001"/>
    <n v="2"/>
    <n v="43680"/>
    <n v="71477.952000000005"/>
    <m/>
    <m/>
    <n v="0"/>
    <m/>
    <m/>
    <n v="0"/>
    <m/>
    <m/>
    <n v="0"/>
    <m/>
    <m/>
    <n v="0"/>
  </r>
  <r>
    <x v="10"/>
    <s v="East Central University "/>
    <m/>
    <n v="207041"/>
    <x v="4"/>
    <n v="50"/>
    <n v="65905"/>
    <n v="3295250"/>
    <n v="53"/>
    <n v="67524"/>
    <n v="3578772"/>
    <n v="22"/>
    <n v="53713"/>
    <n v="1181686"/>
    <n v="18"/>
    <n v="55245"/>
    <n v="994410"/>
    <n v="42"/>
    <n v="47879"/>
    <n v="2010918"/>
    <n v="45"/>
    <n v="45258"/>
    <n v="2036610"/>
    <n v="43"/>
    <n v="41391"/>
    <n v="1779813"/>
    <n v="44"/>
    <n v="43145"/>
    <n v="1898380"/>
    <m/>
    <m/>
    <n v="0"/>
    <m/>
    <m/>
    <n v="0"/>
    <m/>
    <m/>
    <n v="0"/>
    <m/>
    <m/>
    <n v="0"/>
    <n v="3"/>
    <n v="82537"/>
    <n v="202595.32020000002"/>
    <n v="3"/>
    <n v="84464"/>
    <n v="207325.33440000002"/>
    <n v="1"/>
    <n v="72911"/>
    <n v="59655.780200000001"/>
    <n v="1"/>
    <n v="74788"/>
    <n v="61191.541600000004"/>
    <m/>
    <m/>
    <n v="0"/>
    <n v="1"/>
    <n v="66067"/>
    <n v="54056.019400000005"/>
    <n v="6"/>
    <n v="52068"/>
    <n v="255612.22560000001"/>
    <n v="5"/>
    <n v="57870"/>
    <n v="236746.17"/>
    <m/>
    <m/>
    <n v="0"/>
    <m/>
    <m/>
    <n v="0"/>
    <m/>
    <m/>
    <n v="0"/>
    <m/>
    <m/>
    <n v="0"/>
  </r>
  <r>
    <x v="10"/>
    <s v="Langston University"/>
    <m/>
    <n v="207209"/>
    <x v="4"/>
    <n v="4"/>
    <n v="56728"/>
    <n v="226912"/>
    <n v="4"/>
    <n v="58980"/>
    <n v="235920"/>
    <n v="23"/>
    <n v="57163"/>
    <n v="1314749"/>
    <n v="22"/>
    <n v="57967"/>
    <n v="1275274"/>
    <n v="35"/>
    <n v="49217"/>
    <n v="1722595"/>
    <n v="36"/>
    <n v="51424"/>
    <n v="1851264"/>
    <n v="27"/>
    <n v="44656"/>
    <n v="1205712"/>
    <n v="32"/>
    <n v="45192"/>
    <n v="1446144"/>
    <m/>
    <m/>
    <n v="0"/>
    <m/>
    <m/>
    <n v="0"/>
    <m/>
    <m/>
    <n v="0"/>
    <m/>
    <m/>
    <n v="0"/>
    <n v="2"/>
    <n v="95002"/>
    <n v="155461.27280000001"/>
    <n v="3"/>
    <n v="101668"/>
    <n v="249554.27280000001"/>
    <n v="17"/>
    <n v="70242"/>
    <n v="977024.07480000006"/>
    <n v="17"/>
    <n v="68613"/>
    <n v="954365.66220000002"/>
    <n v="17"/>
    <n v="59730"/>
    <n v="830808.46200000006"/>
    <n v="16"/>
    <n v="56314"/>
    <n v="737217.83680000005"/>
    <n v="11"/>
    <n v="48354"/>
    <n v="435195.67080000002"/>
    <n v="10"/>
    <n v="43665"/>
    <n v="357267.03"/>
    <m/>
    <m/>
    <n v="0"/>
    <m/>
    <m/>
    <n v="0"/>
    <m/>
    <m/>
    <n v="0"/>
    <m/>
    <m/>
    <n v="0"/>
  </r>
  <r>
    <x v="10"/>
    <s v="Northwestern Oklahoma State University "/>
    <m/>
    <n v="207306"/>
    <x v="4"/>
    <n v="18"/>
    <n v="63623"/>
    <n v="1145214"/>
    <n v="15"/>
    <n v="65575"/>
    <n v="983625"/>
    <n v="14"/>
    <n v="55443"/>
    <n v="776202"/>
    <n v="15"/>
    <n v="55451"/>
    <n v="831765"/>
    <n v="13"/>
    <n v="47978"/>
    <n v="623714"/>
    <n v="17"/>
    <n v="48622"/>
    <n v="826574"/>
    <n v="37"/>
    <n v="40126"/>
    <n v="1484662"/>
    <n v="31"/>
    <n v="40879"/>
    <n v="1267249"/>
    <m/>
    <m/>
    <n v="0"/>
    <m/>
    <m/>
    <n v="0"/>
    <m/>
    <m/>
    <n v="0"/>
    <m/>
    <m/>
    <n v="0"/>
    <n v="1"/>
    <n v="75000"/>
    <n v="61365"/>
    <n v="0"/>
    <n v="0"/>
    <n v="0"/>
    <n v="2"/>
    <n v="93850"/>
    <n v="153576.14000000001"/>
    <n v="2"/>
    <n v="93850"/>
    <n v="153576.14000000001"/>
    <m/>
    <m/>
    <n v="0"/>
    <n v="1"/>
    <n v="82000"/>
    <n v="67092.400000000009"/>
    <n v="4"/>
    <n v="60000"/>
    <n v="196368"/>
    <n v="4"/>
    <n v="57704"/>
    <n v="188853.65120000002"/>
    <m/>
    <m/>
    <n v="0"/>
    <m/>
    <m/>
    <n v="0"/>
    <m/>
    <m/>
    <n v="0"/>
    <m/>
    <m/>
    <n v="0"/>
  </r>
  <r>
    <x v="10"/>
    <s v="Southeastern Oklahoma State University "/>
    <s v="Met the criteria for Four-Year 4 in 2010-11 and 2011-12."/>
    <n v="207847"/>
    <x v="4"/>
    <n v="43"/>
    <n v="69232"/>
    <n v="2976976"/>
    <n v="43"/>
    <n v="69745"/>
    <n v="2999035"/>
    <n v="31"/>
    <n v="61193"/>
    <n v="1896983"/>
    <n v="35"/>
    <n v="61328"/>
    <n v="2146480"/>
    <n v="32"/>
    <n v="52799"/>
    <n v="1689568"/>
    <n v="28"/>
    <n v="52932"/>
    <n v="1482096"/>
    <n v="22"/>
    <n v="40870"/>
    <n v="899140"/>
    <n v="12"/>
    <n v="41398"/>
    <n v="496776"/>
    <m/>
    <m/>
    <n v="0"/>
    <m/>
    <m/>
    <n v="0"/>
    <m/>
    <m/>
    <n v="0"/>
    <m/>
    <m/>
    <n v="0"/>
    <n v="6"/>
    <n v="110140"/>
    <n v="540699.28800000006"/>
    <n v="4"/>
    <n v="118630"/>
    <n v="388252.26400000002"/>
    <n v="1"/>
    <n v="71792"/>
    <n v="58740.214400000004"/>
    <n v="0"/>
    <n v="0"/>
    <n v="0"/>
    <n v="5"/>
    <n v="53104"/>
    <n v="217248.46400000001"/>
    <n v="1"/>
    <n v="71192"/>
    <n v="58249.294400000006"/>
    <m/>
    <m/>
    <n v="0"/>
    <n v="5"/>
    <n v="53432"/>
    <n v="218590.31200000001"/>
    <m/>
    <m/>
    <n v="0"/>
    <m/>
    <m/>
    <n v="0"/>
    <m/>
    <m/>
    <n v="0"/>
    <m/>
    <m/>
    <n v="0"/>
  </r>
  <r>
    <x v="10"/>
    <s v="Southwestern Oklahoma State University"/>
    <m/>
    <n v="207865"/>
    <x v="4"/>
    <n v="35"/>
    <n v="76177"/>
    <n v="2666195"/>
    <n v="34"/>
    <n v="74660"/>
    <n v="2538440"/>
    <n v="26"/>
    <n v="60759"/>
    <n v="1579734"/>
    <n v="28"/>
    <n v="58220"/>
    <n v="1630160"/>
    <n v="56"/>
    <n v="49054"/>
    <n v="2747024"/>
    <n v="49"/>
    <n v="47130"/>
    <n v="2309370"/>
    <n v="76"/>
    <n v="45972"/>
    <n v="3493872"/>
    <n v="74"/>
    <n v="45926"/>
    <n v="3398524"/>
    <m/>
    <m/>
    <n v="0"/>
    <m/>
    <m/>
    <n v="0"/>
    <m/>
    <m/>
    <n v="0"/>
    <m/>
    <m/>
    <n v="0"/>
    <n v="3"/>
    <n v="111683"/>
    <n v="274137.09179999999"/>
    <n v="4"/>
    <n v="116733"/>
    <n v="382043.76240000001"/>
    <n v="8"/>
    <n v="98787"/>
    <n v="646620.18720000004"/>
    <n v="10"/>
    <n v="98812"/>
    <n v="808479.78399999999"/>
    <n v="7"/>
    <n v="91093"/>
    <n v="521726.04820000002"/>
    <n v="9"/>
    <n v="90810"/>
    <n v="668706.67800000007"/>
    <n v="3"/>
    <n v="50269"/>
    <n v="123390.2874"/>
    <n v="3"/>
    <n v="50510"/>
    <n v="123981.84600000001"/>
    <m/>
    <m/>
    <n v="0"/>
    <m/>
    <m/>
    <n v="0"/>
    <m/>
    <m/>
    <n v="0"/>
    <m/>
    <m/>
    <n v="0"/>
  </r>
  <r>
    <x v="10"/>
    <s v="Oklahoma Panhandle State University "/>
    <m/>
    <n v="207351"/>
    <x v="5"/>
    <n v="3"/>
    <n v="47347"/>
    <n v="142041"/>
    <n v="6"/>
    <n v="44482"/>
    <n v="266892"/>
    <n v="11"/>
    <n v="49967"/>
    <n v="549637"/>
    <n v="12"/>
    <n v="49743"/>
    <n v="596916"/>
    <n v="18"/>
    <n v="42303"/>
    <n v="761454"/>
    <n v="14"/>
    <n v="44469"/>
    <n v="622566"/>
    <n v="13"/>
    <n v="30589"/>
    <n v="397657"/>
    <n v="12"/>
    <n v="34489"/>
    <n v="413868"/>
    <m/>
    <m/>
    <n v="0"/>
    <m/>
    <m/>
    <n v="0"/>
    <m/>
    <m/>
    <n v="0"/>
    <m/>
    <m/>
    <n v="0"/>
    <m/>
    <m/>
    <n v="0"/>
    <n v="0"/>
    <n v="0"/>
    <n v="0"/>
    <n v="1"/>
    <n v="55230"/>
    <n v="45189.186000000002"/>
    <n v="0"/>
    <n v="0"/>
    <n v="0"/>
    <n v="3"/>
    <n v="49442"/>
    <n v="121360.33320000001"/>
    <n v="4"/>
    <n v="55773"/>
    <n v="182533.8744"/>
    <n v="5"/>
    <n v="35883"/>
    <n v="146797.353"/>
    <n v="4"/>
    <n v="34919"/>
    <n v="114282.9032"/>
    <m/>
    <m/>
    <n v="0"/>
    <m/>
    <m/>
    <n v="0"/>
    <m/>
    <m/>
    <n v="0"/>
    <m/>
    <m/>
    <n v="0"/>
  </r>
  <r>
    <x v="10"/>
    <s v="Rogers State University"/>
    <m/>
    <n v="207661"/>
    <x v="5"/>
    <n v="8"/>
    <n v="68627"/>
    <n v="549016"/>
    <n v="12"/>
    <n v="69075"/>
    <n v="828900"/>
    <n v="30"/>
    <n v="58566"/>
    <n v="1756980"/>
    <n v="27"/>
    <n v="56701"/>
    <n v="1530927"/>
    <n v="27"/>
    <n v="48122"/>
    <n v="1299294"/>
    <n v="26"/>
    <n v="49134"/>
    <n v="1277484"/>
    <n v="27"/>
    <n v="35530"/>
    <n v="959310"/>
    <n v="25"/>
    <n v="43026"/>
    <n v="1075650"/>
    <m/>
    <m/>
    <n v="0"/>
    <m/>
    <m/>
    <n v="0"/>
    <m/>
    <m/>
    <n v="0"/>
    <m/>
    <m/>
    <n v="0"/>
    <n v="4"/>
    <n v="75915"/>
    <n v="248454.61200000002"/>
    <n v="4"/>
    <n v="78192"/>
    <n v="255906.7776"/>
    <n v="1"/>
    <n v="48400"/>
    <n v="39600.880000000005"/>
    <n v="4"/>
    <n v="78100"/>
    <n v="255605.68000000002"/>
    <n v="3"/>
    <n v="61315"/>
    <n v="150503.799"/>
    <n v="3"/>
    <n v="63154"/>
    <n v="155017.80840000001"/>
    <n v="4"/>
    <n v="45908"/>
    <n v="150247.70240000001"/>
    <n v="1"/>
    <n v="31500"/>
    <n v="25773.300000000003"/>
    <m/>
    <m/>
    <n v="0"/>
    <m/>
    <m/>
    <n v="0"/>
    <m/>
    <m/>
    <n v="0"/>
    <m/>
    <m/>
    <n v="0"/>
  </r>
  <r>
    <x v="10"/>
    <s v="University of Science and Arts of Oklahoma"/>
    <m/>
    <n v="207722"/>
    <x v="5"/>
    <n v="14"/>
    <n v="60589"/>
    <n v="848246"/>
    <n v="13"/>
    <n v="60665"/>
    <n v="788645"/>
    <n v="11"/>
    <n v="50390"/>
    <n v="554290"/>
    <n v="13"/>
    <n v="49968"/>
    <n v="649584"/>
    <n v="15"/>
    <n v="44982"/>
    <n v="674730"/>
    <n v="14"/>
    <n v="44579"/>
    <n v="624106"/>
    <n v="7"/>
    <n v="41303"/>
    <n v="289121"/>
    <n v="8"/>
    <n v="40890"/>
    <n v="327120"/>
    <m/>
    <m/>
    <n v="0"/>
    <m/>
    <m/>
    <n v="0"/>
    <m/>
    <m/>
    <n v="0"/>
    <m/>
    <m/>
    <n v="0"/>
    <n v="3"/>
    <n v="78265"/>
    <n v="192109.269"/>
    <n v="3"/>
    <n v="78407"/>
    <n v="192457.8222"/>
    <n v="2"/>
    <n v="67338"/>
    <n v="110191.9032"/>
    <n v="2"/>
    <n v="67338"/>
    <n v="110191.9032"/>
    <m/>
    <m/>
    <n v="0"/>
    <n v="0"/>
    <n v="0"/>
    <n v="0"/>
    <n v="4"/>
    <n v="50751"/>
    <n v="166097.87280000001"/>
    <n v="0"/>
    <n v="0"/>
    <n v="0"/>
    <m/>
    <m/>
    <n v="0"/>
    <m/>
    <m/>
    <n v="0"/>
    <m/>
    <m/>
    <n v="0"/>
    <m/>
    <m/>
    <n v="0"/>
  </r>
  <r>
    <x v="10"/>
    <s v="Oklahoma State University Technical Branch-Okmulgee "/>
    <m/>
    <n v="207564"/>
    <x v="11"/>
    <m/>
    <m/>
    <n v="0"/>
    <m/>
    <m/>
    <n v="0"/>
    <m/>
    <m/>
    <n v="0"/>
    <m/>
    <m/>
    <n v="0"/>
    <m/>
    <m/>
    <n v="0"/>
    <m/>
    <m/>
    <n v="0"/>
    <m/>
    <m/>
    <n v="0"/>
    <m/>
    <m/>
    <n v="0"/>
    <m/>
    <m/>
    <n v="0"/>
    <m/>
    <m/>
    <n v="0"/>
    <n v="122"/>
    <n v="52064"/>
    <n v="6351808"/>
    <n v="128"/>
    <n v="58843"/>
    <n v="7531904"/>
    <m/>
    <m/>
    <n v="0"/>
    <m/>
    <m/>
    <n v="0"/>
    <m/>
    <m/>
    <n v="0"/>
    <m/>
    <m/>
    <n v="0"/>
    <m/>
    <m/>
    <n v="0"/>
    <m/>
    <m/>
    <n v="0"/>
    <m/>
    <m/>
    <n v="0"/>
    <m/>
    <m/>
    <n v="0"/>
    <m/>
    <m/>
    <n v="0"/>
    <m/>
    <m/>
    <n v="0"/>
    <m/>
    <m/>
    <n v="0"/>
    <m/>
    <m/>
    <n v="0"/>
  </r>
  <r>
    <x v="10"/>
    <s v="Oklahoma State University-Oklahoma City "/>
    <s v="Reclassified: Met criteria for Two-Year with Bachelor's in 2009-10, 2010-11, and 2011-12."/>
    <n v="207397"/>
    <x v="11"/>
    <m/>
    <m/>
    <n v="0"/>
    <m/>
    <m/>
    <n v="0"/>
    <m/>
    <m/>
    <n v="0"/>
    <m/>
    <m/>
    <n v="0"/>
    <m/>
    <m/>
    <n v="0"/>
    <m/>
    <m/>
    <n v="0"/>
    <m/>
    <m/>
    <n v="0"/>
    <m/>
    <m/>
    <n v="0"/>
    <m/>
    <m/>
    <n v="0"/>
    <m/>
    <m/>
    <n v="0"/>
    <n v="82"/>
    <n v="49128"/>
    <n v="4028496"/>
    <n v="84"/>
    <n v="51209"/>
    <n v="4301556"/>
    <m/>
    <m/>
    <n v="0"/>
    <m/>
    <m/>
    <n v="0"/>
    <m/>
    <m/>
    <n v="0"/>
    <m/>
    <m/>
    <n v="0"/>
    <m/>
    <m/>
    <n v="0"/>
    <m/>
    <m/>
    <n v="0"/>
    <m/>
    <m/>
    <n v="0"/>
    <m/>
    <m/>
    <n v="0"/>
    <m/>
    <m/>
    <n v="0"/>
    <m/>
    <m/>
    <n v="0"/>
    <m/>
    <m/>
    <n v="0"/>
    <n v="0"/>
    <n v="0"/>
    <n v="0"/>
  </r>
  <r>
    <x v="10"/>
    <s v="Oklahoma City Community College "/>
    <m/>
    <n v="207449"/>
    <x v="6"/>
    <m/>
    <m/>
    <n v="0"/>
    <m/>
    <m/>
    <n v="0"/>
    <m/>
    <m/>
    <n v="0"/>
    <m/>
    <m/>
    <n v="0"/>
    <m/>
    <m/>
    <n v="0"/>
    <m/>
    <m/>
    <n v="0"/>
    <m/>
    <m/>
    <n v="0"/>
    <m/>
    <m/>
    <n v="0"/>
    <m/>
    <m/>
    <n v="0"/>
    <m/>
    <m/>
    <n v="0"/>
    <n v="146"/>
    <n v="48335"/>
    <n v="7056910"/>
    <n v="144"/>
    <n v="48381"/>
    <n v="6966864"/>
    <m/>
    <m/>
    <n v="0"/>
    <m/>
    <m/>
    <n v="0"/>
    <m/>
    <m/>
    <n v="0"/>
    <m/>
    <m/>
    <n v="0"/>
    <m/>
    <m/>
    <n v="0"/>
    <m/>
    <m/>
    <n v="0"/>
    <m/>
    <m/>
    <n v="0"/>
    <m/>
    <m/>
    <n v="0"/>
    <m/>
    <m/>
    <n v="0"/>
    <m/>
    <m/>
    <n v="0"/>
    <m/>
    <m/>
    <n v="0"/>
    <n v="1"/>
    <n v="89824"/>
    <n v="73493.996800000008"/>
  </r>
  <r>
    <x v="10"/>
    <s v="Rose State College "/>
    <s v="Reclassified: Met the criteria for Two-Year 1 institution in 2009-10, 2010-11, and 2011-12."/>
    <n v="207670"/>
    <x v="6"/>
    <m/>
    <m/>
    <n v="0"/>
    <m/>
    <m/>
    <n v="0"/>
    <m/>
    <m/>
    <n v="0"/>
    <m/>
    <m/>
    <n v="0"/>
    <m/>
    <m/>
    <n v="0"/>
    <m/>
    <m/>
    <n v="0"/>
    <m/>
    <m/>
    <n v="0"/>
    <m/>
    <m/>
    <n v="0"/>
    <m/>
    <m/>
    <n v="0"/>
    <m/>
    <m/>
    <n v="0"/>
    <n v="100"/>
    <n v="46254"/>
    <n v="4625400"/>
    <n v="102"/>
    <n v="46028"/>
    <n v="4694856"/>
    <m/>
    <m/>
    <n v="0"/>
    <m/>
    <m/>
    <n v="0"/>
    <m/>
    <m/>
    <n v="0"/>
    <m/>
    <m/>
    <n v="0"/>
    <m/>
    <m/>
    <n v="0"/>
    <m/>
    <m/>
    <n v="0"/>
    <m/>
    <m/>
    <n v="0"/>
    <m/>
    <m/>
    <n v="0"/>
    <m/>
    <m/>
    <n v="0"/>
    <m/>
    <m/>
    <n v="0"/>
    <n v="17"/>
    <n v="60655"/>
    <n v="843674.65700000001"/>
    <n v="16"/>
    <n v="59244"/>
    <n v="775575.05280000006"/>
  </r>
  <r>
    <x v="10"/>
    <s v="Tulsa Community College "/>
    <m/>
    <n v="207935"/>
    <x v="6"/>
    <m/>
    <m/>
    <n v="0"/>
    <m/>
    <m/>
    <n v="0"/>
    <m/>
    <m/>
    <n v="0"/>
    <m/>
    <m/>
    <n v="0"/>
    <m/>
    <m/>
    <n v="0"/>
    <m/>
    <m/>
    <n v="0"/>
    <m/>
    <m/>
    <n v="0"/>
    <m/>
    <m/>
    <n v="0"/>
    <m/>
    <m/>
    <n v="0"/>
    <m/>
    <m/>
    <n v="0"/>
    <n v="256"/>
    <n v="55806"/>
    <n v="14286336"/>
    <n v="262"/>
    <n v="55065"/>
    <n v="14427030"/>
    <m/>
    <m/>
    <n v="0"/>
    <m/>
    <m/>
    <n v="0"/>
    <m/>
    <m/>
    <n v="0"/>
    <m/>
    <m/>
    <n v="0"/>
    <m/>
    <m/>
    <n v="0"/>
    <m/>
    <m/>
    <n v="0"/>
    <m/>
    <m/>
    <n v="0"/>
    <m/>
    <m/>
    <n v="0"/>
    <m/>
    <m/>
    <n v="0"/>
    <m/>
    <m/>
    <n v="0"/>
    <n v="42"/>
    <n v="62679"/>
    <n v="2153926.2276000003"/>
    <n v="45"/>
    <n v="62293"/>
    <n v="2293565.9670000002"/>
  </r>
  <r>
    <x v="10"/>
    <s v="Northern Oklahoma College "/>
    <m/>
    <n v="207281"/>
    <x v="7"/>
    <m/>
    <m/>
    <n v="0"/>
    <m/>
    <m/>
    <n v="0"/>
    <m/>
    <m/>
    <n v="0"/>
    <m/>
    <m/>
    <n v="0"/>
    <m/>
    <m/>
    <n v="0"/>
    <m/>
    <m/>
    <n v="0"/>
    <m/>
    <m/>
    <n v="0"/>
    <m/>
    <m/>
    <n v="0"/>
    <m/>
    <m/>
    <n v="0"/>
    <m/>
    <m/>
    <n v="0"/>
    <n v="92"/>
    <n v="46234"/>
    <n v="4253528"/>
    <n v="92"/>
    <n v="45631"/>
    <n v="4198052"/>
    <m/>
    <m/>
    <n v="0"/>
    <m/>
    <m/>
    <n v="0"/>
    <m/>
    <m/>
    <n v="0"/>
    <m/>
    <m/>
    <n v="0"/>
    <m/>
    <m/>
    <n v="0"/>
    <m/>
    <m/>
    <n v="0"/>
    <m/>
    <m/>
    <n v="0"/>
    <m/>
    <m/>
    <n v="0"/>
    <m/>
    <m/>
    <n v="0"/>
    <m/>
    <m/>
    <n v="0"/>
    <n v="3"/>
    <n v="53887"/>
    <n v="132271.03020000001"/>
    <n v="3"/>
    <n v="53887"/>
    <n v="132271.03020000001"/>
  </r>
  <r>
    <x v="10"/>
    <s v="Carl Albert State College"/>
    <s v="Met the criteria for Two-Year 2 institution in 2010-11 and 2011-12."/>
    <n v="206923"/>
    <x v="8"/>
    <m/>
    <m/>
    <n v="0"/>
    <m/>
    <m/>
    <n v="0"/>
    <m/>
    <m/>
    <n v="0"/>
    <m/>
    <m/>
    <n v="0"/>
    <m/>
    <m/>
    <n v="0"/>
    <m/>
    <m/>
    <n v="0"/>
    <m/>
    <m/>
    <n v="0"/>
    <m/>
    <m/>
    <n v="0"/>
    <m/>
    <m/>
    <n v="0"/>
    <m/>
    <m/>
    <n v="0"/>
    <n v="47"/>
    <n v="47166"/>
    <n v="2216802"/>
    <n v="51"/>
    <n v="40885"/>
    <n v="2085135"/>
    <m/>
    <m/>
    <n v="0"/>
    <m/>
    <m/>
    <n v="0"/>
    <m/>
    <m/>
    <n v="0"/>
    <m/>
    <m/>
    <n v="0"/>
    <m/>
    <m/>
    <n v="0"/>
    <m/>
    <m/>
    <n v="0"/>
    <m/>
    <m/>
    <n v="0"/>
    <m/>
    <m/>
    <n v="0"/>
    <m/>
    <m/>
    <n v="0"/>
    <m/>
    <m/>
    <n v="0"/>
    <n v="6"/>
    <n v="36910"/>
    <n v="181198.57200000001"/>
    <n v="5"/>
    <n v="56933"/>
    <n v="232912.90300000002"/>
  </r>
  <r>
    <x v="10"/>
    <s v="Connors State College "/>
    <m/>
    <n v="206996"/>
    <x v="8"/>
    <m/>
    <m/>
    <n v="0"/>
    <m/>
    <m/>
    <n v="0"/>
    <m/>
    <m/>
    <n v="0"/>
    <m/>
    <m/>
    <n v="0"/>
    <m/>
    <m/>
    <n v="0"/>
    <m/>
    <m/>
    <n v="0"/>
    <m/>
    <m/>
    <n v="0"/>
    <m/>
    <m/>
    <n v="0"/>
    <m/>
    <m/>
    <n v="0"/>
    <m/>
    <m/>
    <n v="0"/>
    <n v="46"/>
    <n v="43853"/>
    <n v="2017238"/>
    <n v="47"/>
    <n v="46024"/>
    <n v="2163128"/>
    <m/>
    <m/>
    <n v="0"/>
    <m/>
    <m/>
    <n v="0"/>
    <m/>
    <m/>
    <n v="0"/>
    <m/>
    <m/>
    <n v="0"/>
    <m/>
    <m/>
    <n v="0"/>
    <m/>
    <m/>
    <n v="0"/>
    <m/>
    <m/>
    <n v="0"/>
    <m/>
    <m/>
    <n v="0"/>
    <m/>
    <m/>
    <n v="0"/>
    <m/>
    <m/>
    <n v="0"/>
    <n v="3"/>
    <n v="51465"/>
    <n v="126325.989"/>
    <n v="3"/>
    <n v="54328"/>
    <n v="133353.50880000001"/>
  </r>
  <r>
    <x v="10"/>
    <s v="Eastern Oklahoma State College "/>
    <m/>
    <n v="207050"/>
    <x v="8"/>
    <m/>
    <m/>
    <n v="0"/>
    <m/>
    <m/>
    <n v="0"/>
    <m/>
    <m/>
    <n v="0"/>
    <m/>
    <m/>
    <n v="0"/>
    <m/>
    <m/>
    <n v="0"/>
    <m/>
    <m/>
    <n v="0"/>
    <m/>
    <m/>
    <n v="0"/>
    <m/>
    <m/>
    <n v="0"/>
    <m/>
    <m/>
    <n v="0"/>
    <m/>
    <m/>
    <n v="0"/>
    <n v="46"/>
    <n v="45356"/>
    <n v="2086376"/>
    <n v="44"/>
    <n v="50633"/>
    <n v="2227852"/>
    <m/>
    <m/>
    <n v="0"/>
    <m/>
    <m/>
    <n v="0"/>
    <m/>
    <m/>
    <n v="0"/>
    <m/>
    <m/>
    <n v="0"/>
    <m/>
    <m/>
    <n v="0"/>
    <m/>
    <m/>
    <n v="0"/>
    <m/>
    <m/>
    <n v="0"/>
    <m/>
    <m/>
    <n v="0"/>
    <m/>
    <m/>
    <n v="0"/>
    <m/>
    <m/>
    <n v="0"/>
    <m/>
    <m/>
    <n v="0"/>
    <n v="3"/>
    <n v="56175"/>
    <n v="137887.155"/>
  </r>
  <r>
    <x v="10"/>
    <s v="Murray State College "/>
    <m/>
    <n v="207236"/>
    <x v="8"/>
    <m/>
    <m/>
    <n v="0"/>
    <m/>
    <m/>
    <n v="0"/>
    <m/>
    <m/>
    <n v="0"/>
    <m/>
    <m/>
    <n v="0"/>
    <m/>
    <m/>
    <n v="0"/>
    <m/>
    <m/>
    <n v="0"/>
    <m/>
    <m/>
    <n v="0"/>
    <m/>
    <m/>
    <n v="0"/>
    <m/>
    <m/>
    <n v="0"/>
    <m/>
    <m/>
    <n v="0"/>
    <n v="36"/>
    <n v="40596"/>
    <n v="1461456"/>
    <n v="33"/>
    <n v="41150"/>
    <n v="1357950"/>
    <m/>
    <m/>
    <n v="0"/>
    <m/>
    <m/>
    <n v="0"/>
    <m/>
    <m/>
    <n v="0"/>
    <m/>
    <m/>
    <n v="0"/>
    <m/>
    <m/>
    <n v="0"/>
    <m/>
    <m/>
    <n v="0"/>
    <m/>
    <m/>
    <n v="0"/>
    <m/>
    <m/>
    <n v="0"/>
    <m/>
    <m/>
    <n v="0"/>
    <m/>
    <m/>
    <n v="0"/>
    <n v="9"/>
    <n v="56013"/>
    <n v="412468.5294"/>
    <n v="12"/>
    <n v="54825"/>
    <n v="538293.78"/>
  </r>
  <r>
    <x v="10"/>
    <s v="Northeastern Oklahoma A &amp; M College "/>
    <s v="Met the criteria for Two-Year 2 institution in 2010-11 and 2011-12."/>
    <n v="207290"/>
    <x v="8"/>
    <m/>
    <m/>
    <n v="0"/>
    <m/>
    <m/>
    <n v="0"/>
    <m/>
    <m/>
    <n v="0"/>
    <m/>
    <m/>
    <n v="0"/>
    <m/>
    <m/>
    <n v="0"/>
    <m/>
    <m/>
    <n v="0"/>
    <m/>
    <m/>
    <n v="0"/>
    <m/>
    <m/>
    <n v="0"/>
    <m/>
    <m/>
    <n v="0"/>
    <m/>
    <m/>
    <n v="0"/>
    <n v="56"/>
    <n v="40971"/>
    <n v="2294376"/>
    <n v="59"/>
    <n v="42935"/>
    <n v="2533165"/>
    <m/>
    <m/>
    <n v="0"/>
    <m/>
    <m/>
    <n v="0"/>
    <m/>
    <m/>
    <n v="0"/>
    <m/>
    <m/>
    <n v="0"/>
    <m/>
    <m/>
    <n v="0"/>
    <m/>
    <m/>
    <n v="0"/>
    <m/>
    <m/>
    <n v="0"/>
    <m/>
    <m/>
    <n v="0"/>
    <m/>
    <m/>
    <n v="0"/>
    <m/>
    <m/>
    <n v="0"/>
    <n v="10"/>
    <n v="55776"/>
    <n v="456359.23200000002"/>
    <n v="2"/>
    <n v="60086"/>
    <n v="98324.7304"/>
  </r>
  <r>
    <x v="10"/>
    <s v="Redlands Community College"/>
    <m/>
    <n v="207069"/>
    <x v="8"/>
    <m/>
    <m/>
    <n v="0"/>
    <m/>
    <m/>
    <n v="0"/>
    <m/>
    <m/>
    <n v="0"/>
    <m/>
    <m/>
    <n v="0"/>
    <m/>
    <m/>
    <n v="0"/>
    <m/>
    <m/>
    <n v="0"/>
    <m/>
    <m/>
    <n v="0"/>
    <m/>
    <m/>
    <n v="0"/>
    <m/>
    <m/>
    <n v="0"/>
    <m/>
    <m/>
    <n v="0"/>
    <n v="23"/>
    <n v="39478"/>
    <n v="907994"/>
    <n v="26"/>
    <n v="40236"/>
    <n v="1046136"/>
    <m/>
    <m/>
    <n v="0"/>
    <m/>
    <m/>
    <n v="0"/>
    <m/>
    <m/>
    <n v="0"/>
    <m/>
    <m/>
    <n v="0"/>
    <m/>
    <m/>
    <n v="0"/>
    <m/>
    <m/>
    <n v="0"/>
    <m/>
    <m/>
    <n v="0"/>
    <m/>
    <m/>
    <n v="0"/>
    <m/>
    <m/>
    <n v="0"/>
    <m/>
    <m/>
    <n v="0"/>
    <n v="6"/>
    <n v="47299"/>
    <n v="232200.25080000001"/>
    <n v="10"/>
    <n v="44704"/>
    <n v="365768.12800000003"/>
  </r>
  <r>
    <x v="10"/>
    <s v="Seminole State College "/>
    <m/>
    <n v="207740"/>
    <x v="8"/>
    <m/>
    <m/>
    <n v="0"/>
    <m/>
    <m/>
    <n v="0"/>
    <m/>
    <m/>
    <n v="0"/>
    <m/>
    <m/>
    <n v="0"/>
    <m/>
    <m/>
    <n v="0"/>
    <m/>
    <m/>
    <n v="0"/>
    <m/>
    <m/>
    <n v="0"/>
    <m/>
    <m/>
    <n v="0"/>
    <m/>
    <m/>
    <n v="0"/>
    <m/>
    <m/>
    <n v="0"/>
    <n v="40"/>
    <n v="42515"/>
    <n v="1700600"/>
    <n v="39"/>
    <n v="44025"/>
    <n v="1716975"/>
    <m/>
    <m/>
    <n v="0"/>
    <m/>
    <m/>
    <n v="0"/>
    <m/>
    <m/>
    <n v="0"/>
    <m/>
    <m/>
    <n v="0"/>
    <m/>
    <m/>
    <n v="0"/>
    <m/>
    <m/>
    <n v="0"/>
    <m/>
    <m/>
    <n v="0"/>
    <m/>
    <m/>
    <n v="0"/>
    <m/>
    <m/>
    <n v="0"/>
    <m/>
    <m/>
    <n v="0"/>
    <n v="7"/>
    <n v="45916"/>
    <n v="262979.29840000003"/>
    <n v="10"/>
    <n v="47335"/>
    <n v="387294.97000000003"/>
  </r>
  <r>
    <x v="10"/>
    <s v="Western Oklahoma State College "/>
    <s v="Met the criteria for Two-Year 2 institution in 2011-12."/>
    <n v="208035"/>
    <x v="8"/>
    <m/>
    <m/>
    <n v="0"/>
    <m/>
    <m/>
    <n v="0"/>
    <m/>
    <m/>
    <n v="0"/>
    <m/>
    <m/>
    <n v="0"/>
    <m/>
    <m/>
    <n v="0"/>
    <m/>
    <m/>
    <n v="0"/>
    <m/>
    <m/>
    <n v="0"/>
    <m/>
    <m/>
    <n v="0"/>
    <m/>
    <m/>
    <n v="0"/>
    <m/>
    <m/>
    <n v="0"/>
    <n v="37"/>
    <n v="44564"/>
    <n v="1648868"/>
    <n v="37"/>
    <n v="43864"/>
    <n v="1622968"/>
    <m/>
    <m/>
    <n v="0"/>
    <m/>
    <m/>
    <n v="0"/>
    <m/>
    <m/>
    <n v="0"/>
    <m/>
    <m/>
    <n v="0"/>
    <m/>
    <m/>
    <n v="0"/>
    <m/>
    <m/>
    <n v="0"/>
    <m/>
    <m/>
    <n v="0"/>
    <m/>
    <m/>
    <n v="0"/>
    <m/>
    <m/>
    <n v="0"/>
    <m/>
    <m/>
    <n v="0"/>
    <n v="4"/>
    <n v="53814"/>
    <n v="176122.45920000001"/>
    <n v="3"/>
    <n v="54119"/>
    <n v="132840.49739999999"/>
  </r>
  <r>
    <x v="10"/>
    <s v="Canadian Valley Technology Center                 "/>
    <m/>
    <n v="365374"/>
    <x v="9"/>
    <m/>
    <m/>
    <n v="0"/>
    <m/>
    <m/>
    <n v="0"/>
    <m/>
    <m/>
    <n v="0"/>
    <m/>
    <m/>
    <n v="0"/>
    <m/>
    <m/>
    <n v="0"/>
    <m/>
    <m/>
    <n v="0"/>
    <m/>
    <m/>
    <n v="0"/>
    <m/>
    <m/>
    <n v="0"/>
    <m/>
    <m/>
    <n v="0"/>
    <m/>
    <m/>
    <n v="0"/>
    <n v="39"/>
    <n v="51344"/>
    <n v="2002416"/>
    <n v="40"/>
    <n v="56704"/>
    <n v="2268160"/>
    <m/>
    <m/>
    <n v="0"/>
    <m/>
    <m/>
    <n v="0"/>
    <m/>
    <m/>
    <n v="0"/>
    <m/>
    <m/>
    <n v="0"/>
    <m/>
    <m/>
    <n v="0"/>
    <m/>
    <m/>
    <n v="0"/>
    <m/>
    <m/>
    <n v="0"/>
    <m/>
    <m/>
    <n v="0"/>
    <m/>
    <m/>
    <n v="0"/>
    <m/>
    <m/>
    <n v="0"/>
    <n v="15"/>
    <n v="63029"/>
    <n v="773554.91700000002"/>
    <n v="15"/>
    <n v="68318"/>
    <n v="838466.81400000001"/>
  </r>
  <r>
    <x v="10"/>
    <s v="Francis Tuttle Technology Center                  "/>
    <m/>
    <n v="245999"/>
    <x v="9"/>
    <m/>
    <m/>
    <n v="0"/>
    <m/>
    <m/>
    <n v="0"/>
    <m/>
    <m/>
    <n v="0"/>
    <m/>
    <m/>
    <n v="0"/>
    <m/>
    <m/>
    <n v="0"/>
    <m/>
    <m/>
    <n v="0"/>
    <m/>
    <m/>
    <n v="0"/>
    <m/>
    <m/>
    <n v="0"/>
    <m/>
    <m/>
    <n v="0"/>
    <m/>
    <m/>
    <n v="0"/>
    <n v="76"/>
    <n v="59866"/>
    <n v="4549816"/>
    <n v="77"/>
    <n v="60948"/>
    <n v="4692996"/>
    <m/>
    <m/>
    <n v="0"/>
    <m/>
    <m/>
    <n v="0"/>
    <m/>
    <m/>
    <n v="0"/>
    <m/>
    <m/>
    <n v="0"/>
    <m/>
    <m/>
    <n v="0"/>
    <m/>
    <m/>
    <n v="0"/>
    <m/>
    <m/>
    <n v="0"/>
    <m/>
    <m/>
    <n v="0"/>
    <m/>
    <m/>
    <n v="0"/>
    <m/>
    <m/>
    <n v="0"/>
    <n v="22"/>
    <n v="67732"/>
    <n v="1219203.0928"/>
    <n v="21"/>
    <n v="69489"/>
    <n v="1193973.8958000001"/>
  </r>
  <r>
    <x v="10"/>
    <s v="Metro Technology Centers                          "/>
    <m/>
    <n v="363165"/>
    <x v="9"/>
    <m/>
    <m/>
    <n v="0"/>
    <m/>
    <m/>
    <n v="0"/>
    <m/>
    <m/>
    <n v="0"/>
    <m/>
    <m/>
    <n v="0"/>
    <m/>
    <m/>
    <n v="0"/>
    <m/>
    <m/>
    <n v="0"/>
    <m/>
    <m/>
    <n v="0"/>
    <m/>
    <m/>
    <n v="0"/>
    <m/>
    <m/>
    <n v="0"/>
    <m/>
    <m/>
    <n v="0"/>
    <n v="32"/>
    <n v="50085"/>
    <n v="1602720"/>
    <n v="31"/>
    <n v="51832"/>
    <n v="1606792"/>
    <m/>
    <m/>
    <n v="0"/>
    <m/>
    <m/>
    <n v="0"/>
    <m/>
    <m/>
    <n v="0"/>
    <m/>
    <m/>
    <n v="0"/>
    <m/>
    <m/>
    <n v="0"/>
    <m/>
    <m/>
    <n v="0"/>
    <m/>
    <m/>
    <n v="0"/>
    <m/>
    <m/>
    <n v="0"/>
    <m/>
    <m/>
    <n v="0"/>
    <m/>
    <m/>
    <n v="0"/>
    <n v="34"/>
    <n v="55525"/>
    <n v="1544638.87"/>
    <n v="31"/>
    <n v="55901"/>
    <n v="1417884.1442"/>
  </r>
  <r>
    <x v="10"/>
    <s v="Autry Technology Center                           "/>
    <m/>
    <n v="365213"/>
    <x v="10"/>
    <m/>
    <m/>
    <n v="0"/>
    <m/>
    <m/>
    <n v="0"/>
    <m/>
    <m/>
    <n v="0"/>
    <m/>
    <m/>
    <n v="0"/>
    <m/>
    <m/>
    <n v="0"/>
    <m/>
    <m/>
    <n v="0"/>
    <m/>
    <m/>
    <n v="0"/>
    <m/>
    <m/>
    <n v="0"/>
    <m/>
    <m/>
    <n v="0"/>
    <m/>
    <m/>
    <n v="0"/>
    <n v="18"/>
    <n v="49369"/>
    <n v="888642"/>
    <n v="19"/>
    <n v="50662"/>
    <n v="962578"/>
    <m/>
    <m/>
    <n v="0"/>
    <m/>
    <m/>
    <n v="0"/>
    <m/>
    <m/>
    <n v="0"/>
    <m/>
    <m/>
    <n v="0"/>
    <m/>
    <m/>
    <n v="0"/>
    <m/>
    <m/>
    <n v="0"/>
    <m/>
    <m/>
    <n v="0"/>
    <m/>
    <m/>
    <n v="0"/>
    <m/>
    <m/>
    <n v="0"/>
    <m/>
    <m/>
    <n v="0"/>
    <n v="13"/>
    <n v="62054"/>
    <n v="660043.57640000002"/>
    <n v="13"/>
    <n v="64464"/>
    <n v="685677.78240000003"/>
  </r>
  <r>
    <x v="10"/>
    <s v="Caddo Kiowa Technology Center                     "/>
    <m/>
    <n v="364946"/>
    <x v="10"/>
    <m/>
    <m/>
    <n v="0"/>
    <m/>
    <m/>
    <n v="0"/>
    <m/>
    <m/>
    <n v="0"/>
    <m/>
    <m/>
    <n v="0"/>
    <m/>
    <m/>
    <n v="0"/>
    <m/>
    <m/>
    <n v="0"/>
    <m/>
    <m/>
    <n v="0"/>
    <m/>
    <m/>
    <n v="0"/>
    <m/>
    <m/>
    <n v="0"/>
    <m/>
    <m/>
    <n v="0"/>
    <n v="22"/>
    <n v="47201"/>
    <n v="1038422"/>
    <n v="22"/>
    <n v="46998"/>
    <n v="1033956"/>
    <m/>
    <m/>
    <n v="0"/>
    <m/>
    <m/>
    <n v="0"/>
    <m/>
    <m/>
    <n v="0"/>
    <m/>
    <m/>
    <n v="0"/>
    <m/>
    <m/>
    <n v="0"/>
    <m/>
    <m/>
    <n v="0"/>
    <m/>
    <m/>
    <n v="0"/>
    <m/>
    <m/>
    <n v="0"/>
    <m/>
    <m/>
    <n v="0"/>
    <m/>
    <m/>
    <n v="0"/>
    <n v="12"/>
    <n v="52061"/>
    <n v="511155.72240000003"/>
    <n v="9"/>
    <n v="53366"/>
    <n v="392976.55080000003"/>
  </r>
  <r>
    <x v="10"/>
    <s v="Central Technology Center                         "/>
    <m/>
    <n v="246017"/>
    <x v="10"/>
    <m/>
    <m/>
    <n v="0"/>
    <m/>
    <m/>
    <n v="0"/>
    <m/>
    <m/>
    <n v="0"/>
    <m/>
    <m/>
    <n v="0"/>
    <m/>
    <m/>
    <n v="0"/>
    <m/>
    <m/>
    <n v="0"/>
    <m/>
    <m/>
    <n v="0"/>
    <m/>
    <m/>
    <n v="0"/>
    <m/>
    <m/>
    <n v="0"/>
    <m/>
    <m/>
    <n v="0"/>
    <n v="30"/>
    <n v="46964"/>
    <n v="1408920"/>
    <n v="30"/>
    <n v="49535"/>
    <n v="1486050"/>
    <m/>
    <m/>
    <n v="0"/>
    <m/>
    <m/>
    <n v="0"/>
    <m/>
    <m/>
    <n v="0"/>
    <m/>
    <m/>
    <n v="0"/>
    <m/>
    <m/>
    <n v="0"/>
    <m/>
    <m/>
    <n v="0"/>
    <m/>
    <m/>
    <n v="0"/>
    <m/>
    <m/>
    <n v="0"/>
    <m/>
    <m/>
    <n v="0"/>
    <m/>
    <m/>
    <n v="0"/>
    <n v="17"/>
    <n v="59084"/>
    <n v="821822.98960000009"/>
    <n v="19"/>
    <n v="59689"/>
    <n v="927913.25620000006"/>
  </r>
  <r>
    <x v="10"/>
    <s v="Chisholm Trail Technology Center                  "/>
    <m/>
    <n v="375656"/>
    <x v="10"/>
    <m/>
    <m/>
    <n v="0"/>
    <m/>
    <m/>
    <n v="0"/>
    <m/>
    <m/>
    <n v="0"/>
    <m/>
    <m/>
    <n v="0"/>
    <m/>
    <m/>
    <n v="0"/>
    <m/>
    <m/>
    <n v="0"/>
    <m/>
    <m/>
    <n v="0"/>
    <m/>
    <m/>
    <n v="0"/>
    <m/>
    <m/>
    <n v="0"/>
    <m/>
    <m/>
    <n v="0"/>
    <n v="5"/>
    <n v="43970"/>
    <n v="219850"/>
    <n v="5"/>
    <n v="43070"/>
    <n v="215350"/>
    <m/>
    <m/>
    <n v="0"/>
    <m/>
    <m/>
    <n v="0"/>
    <m/>
    <m/>
    <n v="0"/>
    <m/>
    <m/>
    <n v="0"/>
    <m/>
    <m/>
    <n v="0"/>
    <m/>
    <m/>
    <n v="0"/>
    <m/>
    <m/>
    <n v="0"/>
    <m/>
    <m/>
    <n v="0"/>
    <m/>
    <m/>
    <n v="0"/>
    <m/>
    <m/>
    <n v="0"/>
    <n v="2"/>
    <n v="54215"/>
    <n v="88717.426000000007"/>
    <n v="2"/>
    <n v="51700"/>
    <n v="84601.88"/>
  </r>
  <r>
    <x v="10"/>
    <s v="Eastern Oklahoma County Technology Center         "/>
    <m/>
    <n v="418348"/>
    <x v="10"/>
    <m/>
    <m/>
    <n v="0"/>
    <m/>
    <m/>
    <n v="0"/>
    <m/>
    <m/>
    <n v="0"/>
    <m/>
    <m/>
    <n v="0"/>
    <m/>
    <m/>
    <n v="0"/>
    <m/>
    <m/>
    <n v="0"/>
    <m/>
    <m/>
    <n v="0"/>
    <m/>
    <m/>
    <n v="0"/>
    <m/>
    <m/>
    <n v="0"/>
    <m/>
    <m/>
    <n v="0"/>
    <n v="17"/>
    <n v="49314"/>
    <n v="838338"/>
    <n v="17"/>
    <n v="49314"/>
    <n v="838338"/>
    <m/>
    <m/>
    <n v="0"/>
    <m/>
    <m/>
    <n v="0"/>
    <m/>
    <m/>
    <n v="0"/>
    <m/>
    <m/>
    <n v="0"/>
    <m/>
    <m/>
    <n v="0"/>
    <m/>
    <m/>
    <n v="0"/>
    <m/>
    <m/>
    <n v="0"/>
    <m/>
    <m/>
    <n v="0"/>
    <m/>
    <m/>
    <n v="0"/>
    <m/>
    <m/>
    <n v="0"/>
    <n v="2"/>
    <n v="62253"/>
    <n v="101870.8092"/>
    <n v="2"/>
    <n v="62253"/>
    <n v="101870.8092"/>
  </r>
  <r>
    <x v="10"/>
    <s v="Gordon Cooper Technology Center                   "/>
    <m/>
    <n v="375683"/>
    <x v="10"/>
    <m/>
    <m/>
    <n v="0"/>
    <m/>
    <m/>
    <n v="0"/>
    <m/>
    <m/>
    <n v="0"/>
    <m/>
    <m/>
    <n v="0"/>
    <m/>
    <m/>
    <n v="0"/>
    <m/>
    <m/>
    <n v="0"/>
    <m/>
    <m/>
    <n v="0"/>
    <m/>
    <m/>
    <n v="0"/>
    <m/>
    <m/>
    <n v="0"/>
    <m/>
    <m/>
    <n v="0"/>
    <n v="32"/>
    <n v="50032"/>
    <n v="1601024"/>
    <n v="32"/>
    <n v="51348"/>
    <n v="1643136"/>
    <m/>
    <m/>
    <n v="0"/>
    <m/>
    <m/>
    <n v="0"/>
    <m/>
    <m/>
    <n v="0"/>
    <m/>
    <m/>
    <n v="0"/>
    <m/>
    <m/>
    <n v="0"/>
    <m/>
    <m/>
    <n v="0"/>
    <m/>
    <m/>
    <n v="0"/>
    <m/>
    <m/>
    <n v="0"/>
    <m/>
    <m/>
    <n v="0"/>
    <m/>
    <m/>
    <n v="0"/>
    <n v="7"/>
    <n v="57122"/>
    <n v="327160.5428"/>
    <n v="7"/>
    <n v="58525"/>
    <n v="335196.08500000002"/>
  </r>
  <r>
    <x v="10"/>
    <s v="Great Plains Technology Center                    "/>
    <s v="Reclassified: met criteria for Technical Institute or College 2 in 2009-10, 2010-11 and 2011-12."/>
    <n v="364548"/>
    <x v="10"/>
    <m/>
    <m/>
    <n v="0"/>
    <m/>
    <m/>
    <n v="0"/>
    <m/>
    <m/>
    <n v="0"/>
    <m/>
    <m/>
    <n v="0"/>
    <m/>
    <m/>
    <n v="0"/>
    <m/>
    <m/>
    <n v="0"/>
    <m/>
    <m/>
    <n v="0"/>
    <m/>
    <m/>
    <n v="0"/>
    <m/>
    <m/>
    <n v="0"/>
    <m/>
    <m/>
    <n v="0"/>
    <n v="31"/>
    <n v="45866"/>
    <n v="1421846"/>
    <n v="30"/>
    <n v="46376"/>
    <n v="1391280"/>
    <m/>
    <m/>
    <n v="0"/>
    <m/>
    <m/>
    <n v="0"/>
    <m/>
    <m/>
    <n v="0"/>
    <m/>
    <m/>
    <n v="0"/>
    <m/>
    <m/>
    <n v="0"/>
    <m/>
    <m/>
    <n v="0"/>
    <m/>
    <m/>
    <n v="0"/>
    <m/>
    <m/>
    <n v="0"/>
    <m/>
    <m/>
    <n v="0"/>
    <m/>
    <m/>
    <n v="0"/>
    <n v="23"/>
    <n v="51583"/>
    <n v="970719.84380000003"/>
    <n v="24"/>
    <n v="50303"/>
    <n v="987789.95040000009"/>
  </r>
  <r>
    <x v="10"/>
    <s v="Green Country Technology Center                   "/>
    <m/>
    <n v="428019"/>
    <x v="10"/>
    <m/>
    <m/>
    <n v="0"/>
    <m/>
    <m/>
    <n v="0"/>
    <m/>
    <m/>
    <n v="0"/>
    <m/>
    <m/>
    <n v="0"/>
    <m/>
    <m/>
    <n v="0"/>
    <m/>
    <m/>
    <n v="0"/>
    <m/>
    <m/>
    <n v="0"/>
    <m/>
    <m/>
    <n v="0"/>
    <m/>
    <m/>
    <n v="0"/>
    <m/>
    <m/>
    <n v="0"/>
    <n v="6"/>
    <n v="45724"/>
    <n v="274344"/>
    <n v="7"/>
    <n v="45132"/>
    <n v="315924"/>
    <m/>
    <m/>
    <n v="0"/>
    <m/>
    <m/>
    <n v="0"/>
    <m/>
    <m/>
    <n v="0"/>
    <m/>
    <m/>
    <n v="0"/>
    <m/>
    <m/>
    <n v="0"/>
    <m/>
    <m/>
    <n v="0"/>
    <m/>
    <m/>
    <n v="0"/>
    <m/>
    <m/>
    <n v="0"/>
    <m/>
    <m/>
    <n v="0"/>
    <m/>
    <m/>
    <n v="0"/>
    <n v="6"/>
    <n v="54068"/>
    <n v="265430.62560000003"/>
    <n v="5"/>
    <n v="56348"/>
    <n v="230519.66800000001"/>
  </r>
  <r>
    <x v="10"/>
    <s v="High Plains Technology Center                     "/>
    <m/>
    <n v="208053"/>
    <x v="10"/>
    <m/>
    <m/>
    <n v="0"/>
    <m/>
    <m/>
    <n v="0"/>
    <m/>
    <m/>
    <n v="0"/>
    <m/>
    <m/>
    <n v="0"/>
    <m/>
    <m/>
    <n v="0"/>
    <m/>
    <m/>
    <n v="0"/>
    <m/>
    <m/>
    <n v="0"/>
    <m/>
    <m/>
    <n v="0"/>
    <m/>
    <m/>
    <n v="0"/>
    <m/>
    <m/>
    <n v="0"/>
    <n v="9"/>
    <n v="51022"/>
    <n v="459198"/>
    <n v="9"/>
    <n v="52298"/>
    <n v="470682"/>
    <m/>
    <m/>
    <n v="0"/>
    <m/>
    <m/>
    <n v="0"/>
    <m/>
    <m/>
    <n v="0"/>
    <m/>
    <m/>
    <n v="0"/>
    <m/>
    <m/>
    <n v="0"/>
    <m/>
    <m/>
    <n v="0"/>
    <m/>
    <m/>
    <n v="0"/>
    <m/>
    <m/>
    <n v="0"/>
    <m/>
    <m/>
    <n v="0"/>
    <m/>
    <m/>
    <n v="0"/>
    <n v="5"/>
    <n v="54525"/>
    <n v="223061.77500000002"/>
    <n v="5"/>
    <n v="55888"/>
    <n v="228637.80800000002"/>
  </r>
  <r>
    <x v="10"/>
    <s v="Indian Capital Technology Center-Muskogee         "/>
    <m/>
    <n v="418296"/>
    <x v="10"/>
    <m/>
    <m/>
    <n v="0"/>
    <m/>
    <m/>
    <n v="0"/>
    <m/>
    <m/>
    <n v="0"/>
    <m/>
    <m/>
    <n v="0"/>
    <m/>
    <m/>
    <n v="0"/>
    <m/>
    <m/>
    <n v="0"/>
    <m/>
    <m/>
    <n v="0"/>
    <m/>
    <m/>
    <n v="0"/>
    <m/>
    <m/>
    <n v="0"/>
    <m/>
    <m/>
    <n v="0"/>
    <n v="19"/>
    <n v="49963"/>
    <n v="949297"/>
    <n v="20"/>
    <n v="49288"/>
    <n v="985760"/>
    <m/>
    <m/>
    <n v="0"/>
    <m/>
    <m/>
    <n v="0"/>
    <m/>
    <m/>
    <n v="0"/>
    <m/>
    <m/>
    <n v="0"/>
    <m/>
    <m/>
    <n v="0"/>
    <m/>
    <m/>
    <n v="0"/>
    <m/>
    <m/>
    <n v="0"/>
    <m/>
    <m/>
    <n v="0"/>
    <m/>
    <m/>
    <n v="0"/>
    <m/>
    <m/>
    <n v="0"/>
    <n v="6"/>
    <n v="59180"/>
    <n v="290526.45600000001"/>
    <n v="7"/>
    <n v="59920"/>
    <n v="343185.80800000002"/>
  </r>
  <r>
    <x v="10"/>
    <s v="Indian Capital Technology Center-Sallisaw         "/>
    <m/>
    <n v="421540"/>
    <x v="10"/>
    <m/>
    <m/>
    <n v="0"/>
    <m/>
    <m/>
    <n v="0"/>
    <m/>
    <m/>
    <n v="0"/>
    <m/>
    <m/>
    <n v="0"/>
    <m/>
    <m/>
    <n v="0"/>
    <m/>
    <m/>
    <n v="0"/>
    <m/>
    <m/>
    <n v="0"/>
    <m/>
    <m/>
    <n v="0"/>
    <m/>
    <m/>
    <n v="0"/>
    <m/>
    <m/>
    <n v="0"/>
    <n v="9"/>
    <n v="49998"/>
    <n v="449982"/>
    <n v="9"/>
    <n v="50498"/>
    <n v="454482"/>
    <m/>
    <m/>
    <n v="0"/>
    <m/>
    <m/>
    <n v="0"/>
    <m/>
    <m/>
    <n v="0"/>
    <m/>
    <m/>
    <n v="0"/>
    <m/>
    <m/>
    <n v="0"/>
    <m/>
    <m/>
    <n v="0"/>
    <m/>
    <m/>
    <n v="0"/>
    <m/>
    <m/>
    <n v="0"/>
    <m/>
    <m/>
    <n v="0"/>
    <m/>
    <m/>
    <n v="0"/>
    <n v="2"/>
    <n v="52657"/>
    <n v="86167.914799999999"/>
    <n v="2"/>
    <n v="53196"/>
    <n v="87049.934399999998"/>
  </r>
  <r>
    <x v="10"/>
    <s v="Indian Capital Technology Center-Stilwell         "/>
    <m/>
    <n v="421559"/>
    <x v="10"/>
    <m/>
    <m/>
    <n v="0"/>
    <m/>
    <m/>
    <n v="0"/>
    <m/>
    <m/>
    <n v="0"/>
    <m/>
    <m/>
    <n v="0"/>
    <m/>
    <m/>
    <n v="0"/>
    <m/>
    <m/>
    <n v="0"/>
    <m/>
    <m/>
    <n v="0"/>
    <m/>
    <m/>
    <n v="0"/>
    <m/>
    <m/>
    <n v="0"/>
    <m/>
    <m/>
    <n v="0"/>
    <n v="6"/>
    <n v="50718"/>
    <n v="304308"/>
    <n v="6"/>
    <n v="48653"/>
    <n v="291918"/>
    <m/>
    <m/>
    <n v="0"/>
    <m/>
    <m/>
    <n v="0"/>
    <m/>
    <m/>
    <n v="0"/>
    <m/>
    <m/>
    <n v="0"/>
    <m/>
    <m/>
    <n v="0"/>
    <m/>
    <m/>
    <n v="0"/>
    <m/>
    <m/>
    <n v="0"/>
    <m/>
    <m/>
    <n v="0"/>
    <m/>
    <m/>
    <n v="0"/>
    <m/>
    <m/>
    <n v="0"/>
    <n v="2"/>
    <n v="57464"/>
    <n v="94034.089600000007"/>
    <n v="2"/>
    <n v="58054"/>
    <n v="94999.565600000002"/>
  </r>
  <r>
    <x v="10"/>
    <s v="Indian Capital Technology Center-Tahlequah        "/>
    <m/>
    <n v="208026"/>
    <x v="10"/>
    <m/>
    <m/>
    <n v="0"/>
    <m/>
    <m/>
    <n v="0"/>
    <m/>
    <m/>
    <n v="0"/>
    <m/>
    <m/>
    <n v="0"/>
    <m/>
    <m/>
    <n v="0"/>
    <m/>
    <m/>
    <n v="0"/>
    <m/>
    <m/>
    <n v="0"/>
    <m/>
    <m/>
    <n v="0"/>
    <m/>
    <m/>
    <n v="0"/>
    <m/>
    <m/>
    <n v="0"/>
    <n v="12"/>
    <n v="49247"/>
    <n v="590964"/>
    <n v="11"/>
    <n v="49432"/>
    <n v="543752"/>
    <m/>
    <m/>
    <n v="0"/>
    <m/>
    <m/>
    <n v="0"/>
    <m/>
    <m/>
    <n v="0"/>
    <m/>
    <m/>
    <n v="0"/>
    <m/>
    <m/>
    <n v="0"/>
    <m/>
    <m/>
    <n v="0"/>
    <m/>
    <m/>
    <n v="0"/>
    <m/>
    <m/>
    <n v="0"/>
    <m/>
    <m/>
    <n v="0"/>
    <m/>
    <m/>
    <n v="0"/>
    <n v="3"/>
    <n v="55193"/>
    <n v="135476.7378"/>
    <n v="3"/>
    <n v="53183"/>
    <n v="130542.9918"/>
  </r>
  <r>
    <x v="10"/>
    <s v="Kiamichi Technology Center-Atoka                  "/>
    <m/>
    <n v="375692"/>
    <x v="10"/>
    <m/>
    <m/>
    <n v="0"/>
    <m/>
    <m/>
    <n v="0"/>
    <m/>
    <m/>
    <n v="0"/>
    <m/>
    <m/>
    <n v="0"/>
    <m/>
    <m/>
    <n v="0"/>
    <m/>
    <m/>
    <n v="0"/>
    <m/>
    <m/>
    <n v="0"/>
    <m/>
    <m/>
    <n v="0"/>
    <m/>
    <m/>
    <n v="0"/>
    <m/>
    <m/>
    <n v="0"/>
    <n v="7"/>
    <n v="48601"/>
    <n v="340207"/>
    <n v="6"/>
    <n v="51823"/>
    <n v="310938"/>
    <m/>
    <m/>
    <n v="0"/>
    <m/>
    <m/>
    <n v="0"/>
    <m/>
    <m/>
    <n v="0"/>
    <m/>
    <m/>
    <n v="0"/>
    <m/>
    <m/>
    <n v="0"/>
    <m/>
    <m/>
    <n v="0"/>
    <m/>
    <m/>
    <n v="0"/>
    <m/>
    <m/>
    <n v="0"/>
    <m/>
    <m/>
    <n v="0"/>
    <m/>
    <m/>
    <n v="0"/>
    <n v="1"/>
    <n v="46465"/>
    <n v="38017.663"/>
    <n v="1"/>
    <n v="49890"/>
    <n v="40819.998"/>
  </r>
  <r>
    <x v="10"/>
    <s v="Kiamichi Technology Center-Durant                 "/>
    <m/>
    <n v="375708"/>
    <x v="10"/>
    <m/>
    <m/>
    <n v="0"/>
    <m/>
    <m/>
    <n v="0"/>
    <m/>
    <m/>
    <n v="0"/>
    <m/>
    <m/>
    <n v="0"/>
    <m/>
    <m/>
    <n v="0"/>
    <m/>
    <m/>
    <n v="0"/>
    <m/>
    <m/>
    <n v="0"/>
    <m/>
    <m/>
    <n v="0"/>
    <m/>
    <m/>
    <n v="0"/>
    <m/>
    <m/>
    <n v="0"/>
    <n v="7"/>
    <n v="53023"/>
    <n v="371161"/>
    <n v="7"/>
    <n v="54723"/>
    <n v="383061"/>
    <m/>
    <m/>
    <n v="0"/>
    <m/>
    <m/>
    <n v="0"/>
    <m/>
    <m/>
    <n v="0"/>
    <m/>
    <m/>
    <n v="0"/>
    <m/>
    <m/>
    <n v="0"/>
    <m/>
    <m/>
    <n v="0"/>
    <m/>
    <m/>
    <n v="0"/>
    <m/>
    <m/>
    <n v="0"/>
    <m/>
    <m/>
    <n v="0"/>
    <m/>
    <m/>
    <n v="0"/>
    <n v="2"/>
    <n v="56718"/>
    <n v="92813.335200000001"/>
    <n v="2"/>
    <n v="58968"/>
    <n v="96495.23520000001"/>
  </r>
  <r>
    <x v="10"/>
    <s v="Kiamichi Technology Center-Hugo                   "/>
    <m/>
    <n v="375717"/>
    <x v="10"/>
    <m/>
    <m/>
    <n v="0"/>
    <m/>
    <m/>
    <n v="0"/>
    <m/>
    <m/>
    <n v="0"/>
    <m/>
    <m/>
    <n v="0"/>
    <m/>
    <m/>
    <n v="0"/>
    <m/>
    <m/>
    <n v="0"/>
    <m/>
    <m/>
    <n v="0"/>
    <m/>
    <m/>
    <n v="0"/>
    <m/>
    <m/>
    <n v="0"/>
    <m/>
    <m/>
    <n v="0"/>
    <n v="9"/>
    <n v="53032"/>
    <n v="477288"/>
    <n v="9"/>
    <n v="54677"/>
    <n v="492093"/>
    <m/>
    <m/>
    <n v="0"/>
    <m/>
    <m/>
    <n v="0"/>
    <m/>
    <m/>
    <n v="0"/>
    <m/>
    <m/>
    <n v="0"/>
    <m/>
    <m/>
    <n v="0"/>
    <m/>
    <m/>
    <n v="0"/>
    <m/>
    <m/>
    <n v="0"/>
    <m/>
    <m/>
    <n v="0"/>
    <m/>
    <m/>
    <n v="0"/>
    <m/>
    <m/>
    <n v="0"/>
    <n v="3"/>
    <n v="53990"/>
    <n v="132523.85399999999"/>
    <n v="2"/>
    <n v="61593"/>
    <n v="100790.7852"/>
  </r>
  <r>
    <x v="10"/>
    <s v="Kiamichi Technology Center-Idabel                 "/>
    <m/>
    <n v="375735"/>
    <x v="10"/>
    <m/>
    <m/>
    <n v="0"/>
    <m/>
    <m/>
    <n v="0"/>
    <m/>
    <m/>
    <n v="0"/>
    <m/>
    <m/>
    <n v="0"/>
    <m/>
    <m/>
    <n v="0"/>
    <m/>
    <m/>
    <n v="0"/>
    <m/>
    <m/>
    <n v="0"/>
    <m/>
    <m/>
    <n v="0"/>
    <m/>
    <m/>
    <n v="0"/>
    <m/>
    <m/>
    <n v="0"/>
    <n v="9"/>
    <n v="52238"/>
    <n v="470142"/>
    <n v="9"/>
    <n v="52349"/>
    <n v="471141"/>
    <m/>
    <m/>
    <n v="0"/>
    <m/>
    <m/>
    <n v="0"/>
    <m/>
    <m/>
    <n v="0"/>
    <m/>
    <m/>
    <n v="0"/>
    <m/>
    <m/>
    <n v="0"/>
    <m/>
    <m/>
    <n v="0"/>
    <m/>
    <m/>
    <n v="0"/>
    <m/>
    <m/>
    <n v="0"/>
    <m/>
    <m/>
    <n v="0"/>
    <m/>
    <m/>
    <n v="0"/>
    <n v="3"/>
    <n v="59173"/>
    <n v="145246.04579999999"/>
    <n v="3"/>
    <n v="60433"/>
    <n v="148338.84179999999"/>
  </r>
  <r>
    <x v="10"/>
    <s v="Kiamichi Technology Center-McAlester              "/>
    <m/>
    <n v="375726"/>
    <x v="10"/>
    <m/>
    <m/>
    <n v="0"/>
    <m/>
    <m/>
    <n v="0"/>
    <m/>
    <m/>
    <n v="0"/>
    <m/>
    <m/>
    <n v="0"/>
    <m/>
    <m/>
    <n v="0"/>
    <m/>
    <m/>
    <n v="0"/>
    <m/>
    <m/>
    <n v="0"/>
    <m/>
    <m/>
    <n v="0"/>
    <m/>
    <m/>
    <n v="0"/>
    <m/>
    <m/>
    <n v="0"/>
    <n v="16"/>
    <n v="50538"/>
    <n v="808608"/>
    <n v="16"/>
    <n v="52082"/>
    <n v="833312"/>
    <m/>
    <m/>
    <n v="0"/>
    <m/>
    <m/>
    <n v="0"/>
    <m/>
    <m/>
    <n v="0"/>
    <m/>
    <m/>
    <n v="0"/>
    <m/>
    <m/>
    <n v="0"/>
    <m/>
    <m/>
    <n v="0"/>
    <m/>
    <m/>
    <n v="0"/>
    <m/>
    <m/>
    <n v="0"/>
    <m/>
    <m/>
    <n v="0"/>
    <m/>
    <m/>
    <n v="0"/>
    <n v="4"/>
    <n v="59754"/>
    <n v="195562.89120000001"/>
    <n v="4"/>
    <n v="61644"/>
    <n v="201748.48320000002"/>
  </r>
  <r>
    <x v="10"/>
    <s v="Kiamichi Technology Center-Poteau                 "/>
    <m/>
    <n v="375744"/>
    <x v="10"/>
    <m/>
    <m/>
    <n v="0"/>
    <m/>
    <m/>
    <n v="0"/>
    <m/>
    <m/>
    <n v="0"/>
    <m/>
    <m/>
    <n v="0"/>
    <m/>
    <m/>
    <n v="0"/>
    <m/>
    <m/>
    <n v="0"/>
    <m/>
    <m/>
    <n v="0"/>
    <m/>
    <m/>
    <n v="0"/>
    <m/>
    <m/>
    <n v="0"/>
    <m/>
    <m/>
    <n v="0"/>
    <n v="10"/>
    <n v="50781"/>
    <n v="507810"/>
    <n v="10"/>
    <n v="52155"/>
    <n v="521550"/>
    <m/>
    <m/>
    <n v="0"/>
    <m/>
    <m/>
    <n v="0"/>
    <m/>
    <m/>
    <n v="0"/>
    <m/>
    <m/>
    <n v="0"/>
    <m/>
    <m/>
    <n v="0"/>
    <m/>
    <m/>
    <n v="0"/>
    <m/>
    <m/>
    <n v="0"/>
    <m/>
    <m/>
    <n v="0"/>
    <m/>
    <m/>
    <n v="0"/>
    <m/>
    <m/>
    <n v="0"/>
    <n v="3"/>
    <n v="53738"/>
    <n v="131905.2948"/>
    <n v="3"/>
    <n v="55778"/>
    <n v="136912.67879999999"/>
  </r>
  <r>
    <x v="10"/>
    <s v="Kiamichi Technology Center-Spiro                  "/>
    <m/>
    <n v="375753"/>
    <x v="10"/>
    <m/>
    <m/>
    <n v="0"/>
    <m/>
    <m/>
    <n v="0"/>
    <m/>
    <m/>
    <n v="0"/>
    <m/>
    <m/>
    <n v="0"/>
    <m/>
    <m/>
    <n v="0"/>
    <m/>
    <m/>
    <n v="0"/>
    <m/>
    <m/>
    <n v="0"/>
    <m/>
    <m/>
    <n v="0"/>
    <m/>
    <m/>
    <n v="0"/>
    <m/>
    <m/>
    <n v="0"/>
    <n v="2"/>
    <n v="47925"/>
    <n v="95850"/>
    <n v="2"/>
    <n v="49625"/>
    <n v="99250"/>
    <m/>
    <m/>
    <n v="0"/>
    <m/>
    <m/>
    <n v="0"/>
    <m/>
    <m/>
    <n v="0"/>
    <m/>
    <m/>
    <n v="0"/>
    <m/>
    <m/>
    <n v="0"/>
    <m/>
    <m/>
    <n v="0"/>
    <m/>
    <m/>
    <n v="0"/>
    <m/>
    <m/>
    <n v="0"/>
    <m/>
    <m/>
    <n v="0"/>
    <m/>
    <m/>
    <n v="0"/>
    <m/>
    <m/>
    <n v="0"/>
    <m/>
    <m/>
    <n v="0"/>
  </r>
  <r>
    <x v="10"/>
    <s v="Kiamichi Technology Center-Stigler                "/>
    <m/>
    <n v="405748"/>
    <x v="10"/>
    <m/>
    <m/>
    <n v="0"/>
    <m/>
    <m/>
    <n v="0"/>
    <m/>
    <m/>
    <n v="0"/>
    <m/>
    <m/>
    <n v="0"/>
    <m/>
    <m/>
    <n v="0"/>
    <m/>
    <m/>
    <n v="0"/>
    <m/>
    <m/>
    <n v="0"/>
    <m/>
    <m/>
    <n v="0"/>
    <m/>
    <m/>
    <n v="0"/>
    <m/>
    <m/>
    <n v="0"/>
    <n v="6"/>
    <n v="48369"/>
    <n v="290214"/>
    <n v="6"/>
    <n v="48432"/>
    <n v="290592"/>
    <m/>
    <m/>
    <n v="0"/>
    <m/>
    <m/>
    <n v="0"/>
    <m/>
    <m/>
    <n v="0"/>
    <m/>
    <m/>
    <n v="0"/>
    <m/>
    <m/>
    <n v="0"/>
    <m/>
    <m/>
    <n v="0"/>
    <m/>
    <m/>
    <n v="0"/>
    <m/>
    <m/>
    <n v="0"/>
    <m/>
    <m/>
    <n v="0"/>
    <m/>
    <m/>
    <n v="0"/>
    <m/>
    <m/>
    <n v="0"/>
    <m/>
    <m/>
    <n v="0"/>
  </r>
  <r>
    <x v="10"/>
    <s v="Kiamichi Technology Center-Talihina               "/>
    <m/>
    <n v="375762"/>
    <x v="10"/>
    <m/>
    <m/>
    <n v="0"/>
    <m/>
    <m/>
    <n v="0"/>
    <m/>
    <m/>
    <n v="0"/>
    <m/>
    <m/>
    <n v="0"/>
    <m/>
    <m/>
    <n v="0"/>
    <m/>
    <m/>
    <n v="0"/>
    <m/>
    <m/>
    <n v="0"/>
    <m/>
    <m/>
    <n v="0"/>
    <m/>
    <m/>
    <n v="0"/>
    <m/>
    <m/>
    <n v="0"/>
    <n v="4"/>
    <n v="50096"/>
    <n v="200384"/>
    <n v="5"/>
    <n v="52690"/>
    <n v="263450"/>
    <m/>
    <m/>
    <n v="0"/>
    <m/>
    <m/>
    <n v="0"/>
    <m/>
    <m/>
    <n v="0"/>
    <m/>
    <m/>
    <n v="0"/>
    <m/>
    <m/>
    <n v="0"/>
    <m/>
    <m/>
    <n v="0"/>
    <m/>
    <m/>
    <n v="0"/>
    <m/>
    <m/>
    <n v="0"/>
    <m/>
    <m/>
    <n v="0"/>
    <m/>
    <m/>
    <n v="0"/>
    <m/>
    <m/>
    <n v="0"/>
    <m/>
    <m/>
    <n v="0"/>
  </r>
  <r>
    <x v="10"/>
    <s v="Meridian Technology Center                        "/>
    <m/>
    <n v="365480"/>
    <x v="10"/>
    <m/>
    <m/>
    <n v="0"/>
    <m/>
    <m/>
    <n v="0"/>
    <m/>
    <m/>
    <n v="0"/>
    <m/>
    <m/>
    <n v="0"/>
    <m/>
    <m/>
    <n v="0"/>
    <m/>
    <m/>
    <n v="0"/>
    <m/>
    <m/>
    <n v="0"/>
    <m/>
    <m/>
    <n v="0"/>
    <m/>
    <m/>
    <n v="0"/>
    <m/>
    <m/>
    <n v="0"/>
    <n v="24"/>
    <n v="49029"/>
    <n v="1176696"/>
    <n v="27"/>
    <n v="50001"/>
    <n v="1350027"/>
    <m/>
    <m/>
    <n v="0"/>
    <m/>
    <m/>
    <n v="0"/>
    <m/>
    <m/>
    <n v="0"/>
    <m/>
    <m/>
    <n v="0"/>
    <m/>
    <m/>
    <n v="0"/>
    <m/>
    <m/>
    <n v="0"/>
    <m/>
    <m/>
    <n v="0"/>
    <m/>
    <m/>
    <n v="0"/>
    <m/>
    <m/>
    <n v="0"/>
    <m/>
    <m/>
    <n v="0"/>
    <n v="11"/>
    <n v="58497"/>
    <n v="526484.69940000004"/>
    <n v="10"/>
    <n v="58896"/>
    <n v="481887.07200000004"/>
  </r>
  <r>
    <x v="10"/>
    <s v="Mid-America Technology Center                     "/>
    <m/>
    <n v="418320"/>
    <x v="10"/>
    <m/>
    <m/>
    <n v="0"/>
    <m/>
    <m/>
    <n v="0"/>
    <m/>
    <m/>
    <n v="0"/>
    <m/>
    <m/>
    <n v="0"/>
    <m/>
    <m/>
    <n v="0"/>
    <m/>
    <m/>
    <n v="0"/>
    <m/>
    <m/>
    <n v="0"/>
    <m/>
    <m/>
    <n v="0"/>
    <m/>
    <m/>
    <n v="0"/>
    <m/>
    <m/>
    <n v="0"/>
    <n v="20"/>
    <n v="49124"/>
    <n v="982480"/>
    <n v="22"/>
    <n v="50137"/>
    <n v="1103014"/>
    <m/>
    <m/>
    <n v="0"/>
    <m/>
    <m/>
    <n v="0"/>
    <m/>
    <m/>
    <n v="0"/>
    <m/>
    <m/>
    <n v="0"/>
    <m/>
    <m/>
    <n v="0"/>
    <m/>
    <m/>
    <n v="0"/>
    <m/>
    <m/>
    <n v="0"/>
    <m/>
    <m/>
    <n v="0"/>
    <m/>
    <m/>
    <n v="0"/>
    <m/>
    <m/>
    <n v="0"/>
    <n v="7"/>
    <n v="62308"/>
    <n v="356862.83920000005"/>
    <n v="5"/>
    <n v="61440"/>
    <n v="251351.04000000001"/>
  </r>
  <r>
    <x v="10"/>
    <s v="Mid-Del Technology Center                         "/>
    <m/>
    <n v="431017"/>
    <x v="10"/>
    <m/>
    <m/>
    <n v="0"/>
    <m/>
    <m/>
    <n v="0"/>
    <m/>
    <m/>
    <n v="0"/>
    <m/>
    <m/>
    <n v="0"/>
    <m/>
    <m/>
    <n v="0"/>
    <m/>
    <m/>
    <n v="0"/>
    <m/>
    <m/>
    <n v="0"/>
    <m/>
    <m/>
    <n v="0"/>
    <m/>
    <m/>
    <n v="0"/>
    <m/>
    <m/>
    <n v="0"/>
    <n v="19"/>
    <n v="52087"/>
    <n v="989653"/>
    <n v="20"/>
    <n v="48537"/>
    <n v="970740"/>
    <m/>
    <m/>
    <n v="0"/>
    <m/>
    <m/>
    <n v="0"/>
    <m/>
    <m/>
    <n v="0"/>
    <m/>
    <m/>
    <n v="0"/>
    <m/>
    <m/>
    <n v="0"/>
    <m/>
    <m/>
    <n v="0"/>
    <m/>
    <m/>
    <n v="0"/>
    <m/>
    <m/>
    <n v="0"/>
    <m/>
    <m/>
    <n v="0"/>
    <m/>
    <m/>
    <n v="0"/>
    <n v="6"/>
    <n v="62447"/>
    <n v="306564.8124"/>
    <n v="4"/>
    <n v="58897"/>
    <n v="192758.10159999999"/>
  </r>
  <r>
    <x v="10"/>
    <s v="Moore Norman Technology Center                    "/>
    <m/>
    <n v="248606"/>
    <x v="10"/>
    <m/>
    <m/>
    <n v="0"/>
    <m/>
    <m/>
    <n v="0"/>
    <m/>
    <m/>
    <n v="0"/>
    <m/>
    <m/>
    <n v="0"/>
    <m/>
    <m/>
    <n v="0"/>
    <m/>
    <m/>
    <n v="0"/>
    <m/>
    <m/>
    <n v="0"/>
    <m/>
    <m/>
    <n v="0"/>
    <m/>
    <m/>
    <n v="0"/>
    <m/>
    <m/>
    <n v="0"/>
    <n v="45"/>
    <n v="56781"/>
    <n v="2555145"/>
    <n v="47"/>
    <n v="57931"/>
    <n v="2722757"/>
    <m/>
    <m/>
    <n v="0"/>
    <m/>
    <m/>
    <n v="0"/>
    <m/>
    <m/>
    <n v="0"/>
    <m/>
    <m/>
    <n v="0"/>
    <m/>
    <m/>
    <n v="0"/>
    <m/>
    <m/>
    <n v="0"/>
    <m/>
    <m/>
    <n v="0"/>
    <m/>
    <m/>
    <n v="0"/>
    <m/>
    <m/>
    <n v="0"/>
    <m/>
    <m/>
    <n v="0"/>
    <n v="1"/>
    <n v="48628"/>
    <n v="39787.429600000003"/>
    <n v="1"/>
    <n v="49307"/>
    <n v="40342.987400000005"/>
  </r>
  <r>
    <x v="10"/>
    <s v="Northeast Technology Center-Afton                 "/>
    <m/>
    <n v="420459"/>
    <x v="10"/>
    <m/>
    <m/>
    <n v="0"/>
    <m/>
    <m/>
    <n v="0"/>
    <m/>
    <m/>
    <n v="0"/>
    <m/>
    <m/>
    <n v="0"/>
    <m/>
    <m/>
    <n v="0"/>
    <m/>
    <m/>
    <n v="0"/>
    <m/>
    <m/>
    <n v="0"/>
    <m/>
    <m/>
    <n v="0"/>
    <m/>
    <m/>
    <n v="0"/>
    <m/>
    <m/>
    <n v="0"/>
    <n v="15"/>
    <n v="54746"/>
    <n v="821190"/>
    <n v="15"/>
    <n v="54539"/>
    <n v="818085"/>
    <m/>
    <m/>
    <n v="0"/>
    <m/>
    <m/>
    <n v="0"/>
    <m/>
    <m/>
    <n v="0"/>
    <m/>
    <m/>
    <n v="0"/>
    <m/>
    <m/>
    <n v="0"/>
    <m/>
    <m/>
    <n v="0"/>
    <m/>
    <m/>
    <n v="0"/>
    <m/>
    <m/>
    <n v="0"/>
    <m/>
    <m/>
    <n v="0"/>
    <m/>
    <m/>
    <n v="0"/>
    <n v="4"/>
    <n v="64766"/>
    <n v="211966.1648"/>
    <n v="4"/>
    <n v="65885"/>
    <n v="215628.42800000001"/>
  </r>
  <r>
    <x v="10"/>
    <s v="Northeast Technology Center-Claremore"/>
    <s v="New institution no longer in start up phase. "/>
    <n v="456560"/>
    <x v="10"/>
    <m/>
    <m/>
    <n v="0"/>
    <m/>
    <m/>
    <n v="0"/>
    <m/>
    <m/>
    <n v="0"/>
    <m/>
    <m/>
    <n v="0"/>
    <m/>
    <m/>
    <n v="0"/>
    <m/>
    <m/>
    <n v="0"/>
    <m/>
    <m/>
    <n v="0"/>
    <m/>
    <m/>
    <n v="0"/>
    <m/>
    <m/>
    <n v="0"/>
    <m/>
    <m/>
    <n v="0"/>
    <n v="4"/>
    <n v="49487"/>
    <n v="197948"/>
    <n v="4"/>
    <n v="50036"/>
    <n v="200144"/>
    <m/>
    <m/>
    <n v="0"/>
    <m/>
    <m/>
    <n v="0"/>
    <m/>
    <m/>
    <n v="0"/>
    <m/>
    <m/>
    <n v="0"/>
    <m/>
    <m/>
    <n v="0"/>
    <m/>
    <m/>
    <n v="0"/>
    <m/>
    <m/>
    <n v="0"/>
    <m/>
    <m/>
    <n v="0"/>
    <m/>
    <m/>
    <n v="0"/>
    <m/>
    <m/>
    <n v="0"/>
    <n v="2"/>
    <n v="59010"/>
    <n v="96563.964000000007"/>
    <n v="2"/>
    <n v="59956"/>
    <n v="98111.998400000011"/>
  </r>
  <r>
    <x v="10"/>
    <s v="Northeast Technology Center-Kansas                "/>
    <m/>
    <n v="432074"/>
    <x v="10"/>
    <m/>
    <m/>
    <n v="0"/>
    <m/>
    <m/>
    <n v="0"/>
    <m/>
    <m/>
    <n v="0"/>
    <m/>
    <m/>
    <n v="0"/>
    <m/>
    <m/>
    <n v="0"/>
    <m/>
    <m/>
    <n v="0"/>
    <m/>
    <m/>
    <n v="0"/>
    <m/>
    <m/>
    <n v="0"/>
    <m/>
    <m/>
    <n v="0"/>
    <m/>
    <m/>
    <n v="0"/>
    <n v="6"/>
    <n v="50328"/>
    <n v="301968"/>
    <n v="6"/>
    <n v="50871"/>
    <n v="305226"/>
    <m/>
    <m/>
    <n v="0"/>
    <m/>
    <m/>
    <n v="0"/>
    <m/>
    <m/>
    <n v="0"/>
    <m/>
    <m/>
    <n v="0"/>
    <m/>
    <m/>
    <n v="0"/>
    <m/>
    <m/>
    <n v="0"/>
    <m/>
    <m/>
    <n v="0"/>
    <m/>
    <m/>
    <n v="0"/>
    <m/>
    <m/>
    <n v="0"/>
    <m/>
    <m/>
    <n v="0"/>
    <n v="3"/>
    <n v="64983"/>
    <n v="159507.27180000002"/>
    <n v="3"/>
    <n v="65660"/>
    <n v="161169.03600000002"/>
  </r>
  <r>
    <x v="10"/>
    <s v="Northeast Technology Center-Pryor                 "/>
    <m/>
    <n v="418339"/>
    <x v="10"/>
    <m/>
    <m/>
    <n v="0"/>
    <m/>
    <m/>
    <n v="0"/>
    <m/>
    <m/>
    <n v="0"/>
    <m/>
    <m/>
    <n v="0"/>
    <m/>
    <m/>
    <n v="0"/>
    <m/>
    <m/>
    <n v="0"/>
    <m/>
    <m/>
    <n v="0"/>
    <m/>
    <m/>
    <n v="0"/>
    <m/>
    <m/>
    <n v="0"/>
    <m/>
    <m/>
    <n v="0"/>
    <n v="14"/>
    <n v="55037"/>
    <n v="770518"/>
    <n v="13"/>
    <n v="53187"/>
    <n v="691431"/>
    <m/>
    <m/>
    <n v="0"/>
    <m/>
    <m/>
    <n v="0"/>
    <m/>
    <m/>
    <n v="0"/>
    <m/>
    <m/>
    <n v="0"/>
    <m/>
    <m/>
    <n v="0"/>
    <m/>
    <m/>
    <n v="0"/>
    <m/>
    <m/>
    <n v="0"/>
    <m/>
    <m/>
    <n v="0"/>
    <m/>
    <m/>
    <n v="0"/>
    <m/>
    <m/>
    <n v="0"/>
    <n v="3"/>
    <n v="62244"/>
    <n v="152784.12239999999"/>
    <n v="3"/>
    <n v="62917"/>
    <n v="154436.06820000001"/>
  </r>
  <r>
    <x v="10"/>
    <s v="Northwest Technology Center-Alva                  "/>
    <m/>
    <n v="366623"/>
    <x v="10"/>
    <m/>
    <m/>
    <n v="0"/>
    <m/>
    <m/>
    <n v="0"/>
    <m/>
    <m/>
    <n v="0"/>
    <m/>
    <m/>
    <n v="0"/>
    <m/>
    <m/>
    <n v="0"/>
    <m/>
    <m/>
    <n v="0"/>
    <m/>
    <m/>
    <n v="0"/>
    <m/>
    <m/>
    <n v="0"/>
    <m/>
    <m/>
    <n v="0"/>
    <m/>
    <m/>
    <n v="0"/>
    <n v="5"/>
    <n v="50580"/>
    <n v="252900"/>
    <n v="6"/>
    <n v="51471"/>
    <n v="308826"/>
    <m/>
    <m/>
    <n v="0"/>
    <m/>
    <m/>
    <n v="0"/>
    <m/>
    <m/>
    <n v="0"/>
    <m/>
    <m/>
    <n v="0"/>
    <m/>
    <m/>
    <n v="0"/>
    <m/>
    <m/>
    <n v="0"/>
    <m/>
    <m/>
    <n v="0"/>
    <m/>
    <m/>
    <n v="0"/>
    <m/>
    <m/>
    <n v="0"/>
    <m/>
    <m/>
    <n v="0"/>
    <n v="1"/>
    <n v="60552"/>
    <n v="49543.646400000005"/>
    <n v="1"/>
    <n v="61000"/>
    <n v="49910.200000000004"/>
  </r>
  <r>
    <x v="10"/>
    <s v="Northwest Technology Center-Fairview              "/>
    <m/>
    <n v="407601"/>
    <x v="10"/>
    <m/>
    <m/>
    <n v="0"/>
    <m/>
    <m/>
    <n v="0"/>
    <m/>
    <m/>
    <n v="0"/>
    <m/>
    <m/>
    <n v="0"/>
    <m/>
    <m/>
    <n v="0"/>
    <m/>
    <m/>
    <n v="0"/>
    <m/>
    <m/>
    <n v="0"/>
    <m/>
    <m/>
    <n v="0"/>
    <m/>
    <m/>
    <n v="0"/>
    <m/>
    <m/>
    <n v="0"/>
    <n v="6"/>
    <n v="50260"/>
    <n v="301560"/>
    <n v="6"/>
    <n v="51803"/>
    <n v="310818"/>
    <m/>
    <m/>
    <n v="0"/>
    <m/>
    <m/>
    <n v="0"/>
    <m/>
    <m/>
    <n v="0"/>
    <m/>
    <m/>
    <n v="0"/>
    <m/>
    <m/>
    <n v="0"/>
    <m/>
    <m/>
    <n v="0"/>
    <m/>
    <m/>
    <n v="0"/>
    <m/>
    <m/>
    <n v="0"/>
    <m/>
    <m/>
    <n v="0"/>
    <m/>
    <m/>
    <n v="0"/>
    <m/>
    <m/>
    <n v="0"/>
    <m/>
    <m/>
    <n v="0"/>
  </r>
  <r>
    <x v="10"/>
    <s v="Pioneer Technology Center                         "/>
    <m/>
    <n v="364627"/>
    <x v="10"/>
    <m/>
    <m/>
    <n v="0"/>
    <m/>
    <m/>
    <n v="0"/>
    <m/>
    <m/>
    <n v="0"/>
    <m/>
    <m/>
    <n v="0"/>
    <m/>
    <m/>
    <n v="0"/>
    <m/>
    <m/>
    <n v="0"/>
    <m/>
    <m/>
    <n v="0"/>
    <m/>
    <m/>
    <n v="0"/>
    <m/>
    <m/>
    <n v="0"/>
    <m/>
    <m/>
    <n v="0"/>
    <n v="12"/>
    <n v="49405"/>
    <n v="592860"/>
    <n v="11"/>
    <n v="49308"/>
    <n v="542388"/>
    <m/>
    <m/>
    <n v="0"/>
    <m/>
    <m/>
    <n v="0"/>
    <m/>
    <m/>
    <n v="0"/>
    <m/>
    <m/>
    <n v="0"/>
    <m/>
    <m/>
    <n v="0"/>
    <m/>
    <m/>
    <n v="0"/>
    <m/>
    <m/>
    <n v="0"/>
    <m/>
    <m/>
    <n v="0"/>
    <m/>
    <m/>
    <n v="0"/>
    <m/>
    <m/>
    <n v="0"/>
    <n v="13"/>
    <n v="54695"/>
    <n v="581768.83700000006"/>
    <n v="12"/>
    <n v="55022"/>
    <n v="540228.0048"/>
  </r>
  <r>
    <x v="10"/>
    <s v="Pontotoc Technology Center                        "/>
    <m/>
    <n v="206905"/>
    <x v="10"/>
    <m/>
    <m/>
    <n v="0"/>
    <m/>
    <m/>
    <n v="0"/>
    <m/>
    <m/>
    <n v="0"/>
    <m/>
    <m/>
    <n v="0"/>
    <m/>
    <m/>
    <n v="0"/>
    <m/>
    <m/>
    <n v="0"/>
    <m/>
    <m/>
    <n v="0"/>
    <m/>
    <m/>
    <n v="0"/>
    <m/>
    <m/>
    <n v="0"/>
    <m/>
    <m/>
    <n v="0"/>
    <n v="6"/>
    <n v="43420"/>
    <n v="260520"/>
    <n v="6"/>
    <n v="42295"/>
    <n v="253770"/>
    <m/>
    <m/>
    <n v="0"/>
    <m/>
    <m/>
    <n v="0"/>
    <m/>
    <m/>
    <n v="0"/>
    <m/>
    <m/>
    <n v="0"/>
    <m/>
    <m/>
    <n v="0"/>
    <m/>
    <m/>
    <n v="0"/>
    <m/>
    <m/>
    <n v="0"/>
    <m/>
    <m/>
    <n v="0"/>
    <m/>
    <m/>
    <n v="0"/>
    <m/>
    <m/>
    <n v="0"/>
    <n v="7"/>
    <n v="51915"/>
    <n v="297337.97100000002"/>
    <n v="7"/>
    <n v="53074"/>
    <n v="303976.02760000003"/>
  </r>
  <r>
    <x v="10"/>
    <s v="Red River Technology Center                       "/>
    <m/>
    <n v="250993"/>
    <x v="10"/>
    <m/>
    <m/>
    <n v="0"/>
    <m/>
    <m/>
    <n v="0"/>
    <m/>
    <m/>
    <n v="0"/>
    <m/>
    <m/>
    <n v="0"/>
    <m/>
    <m/>
    <n v="0"/>
    <m/>
    <m/>
    <n v="0"/>
    <m/>
    <m/>
    <n v="0"/>
    <m/>
    <m/>
    <n v="0"/>
    <m/>
    <m/>
    <n v="0"/>
    <m/>
    <m/>
    <n v="0"/>
    <n v="16"/>
    <n v="49092"/>
    <n v="785472"/>
    <n v="16"/>
    <n v="50032"/>
    <n v="800512"/>
    <m/>
    <m/>
    <n v="0"/>
    <m/>
    <m/>
    <n v="0"/>
    <m/>
    <m/>
    <n v="0"/>
    <m/>
    <m/>
    <n v="0"/>
    <m/>
    <m/>
    <n v="0"/>
    <m/>
    <m/>
    <n v="0"/>
    <m/>
    <m/>
    <n v="0"/>
    <m/>
    <m/>
    <n v="0"/>
    <m/>
    <m/>
    <n v="0"/>
    <m/>
    <m/>
    <n v="0"/>
    <n v="6"/>
    <n v="51662"/>
    <n v="253619.09040000002"/>
    <n v="6"/>
    <n v="51552"/>
    <n v="253079.0784"/>
  </r>
  <r>
    <x v="10"/>
    <s v="Southern Oklahoma Technology Center               "/>
    <m/>
    <n v="365198"/>
    <x v="10"/>
    <m/>
    <m/>
    <n v="0"/>
    <m/>
    <m/>
    <n v="0"/>
    <m/>
    <m/>
    <n v="0"/>
    <m/>
    <m/>
    <n v="0"/>
    <m/>
    <m/>
    <n v="0"/>
    <m/>
    <m/>
    <n v="0"/>
    <m/>
    <m/>
    <n v="0"/>
    <m/>
    <m/>
    <n v="0"/>
    <m/>
    <m/>
    <n v="0"/>
    <m/>
    <m/>
    <n v="0"/>
    <n v="1"/>
    <n v="46020"/>
    <n v="46020"/>
    <n v="1"/>
    <n v="47171"/>
    <n v="47171"/>
    <m/>
    <m/>
    <n v="0"/>
    <m/>
    <m/>
    <n v="0"/>
    <m/>
    <m/>
    <n v="0"/>
    <m/>
    <m/>
    <n v="0"/>
    <m/>
    <m/>
    <n v="0"/>
    <m/>
    <m/>
    <n v="0"/>
    <m/>
    <m/>
    <n v="0"/>
    <m/>
    <m/>
    <n v="0"/>
    <m/>
    <m/>
    <n v="0"/>
    <m/>
    <m/>
    <n v="0"/>
    <n v="23"/>
    <n v="50209"/>
    <n v="944863.08740000008"/>
    <n v="25"/>
    <n v="50620"/>
    <n v="1035432.1000000001"/>
  </r>
  <r>
    <x v="10"/>
    <s v="Southwest Technology Center                       "/>
    <m/>
    <n v="368364"/>
    <x v="10"/>
    <m/>
    <m/>
    <n v="0"/>
    <m/>
    <m/>
    <n v="0"/>
    <m/>
    <m/>
    <n v="0"/>
    <m/>
    <m/>
    <n v="0"/>
    <m/>
    <m/>
    <n v="0"/>
    <m/>
    <m/>
    <n v="0"/>
    <m/>
    <m/>
    <n v="0"/>
    <m/>
    <m/>
    <n v="0"/>
    <m/>
    <m/>
    <n v="0"/>
    <m/>
    <m/>
    <n v="0"/>
    <n v="8"/>
    <n v="42362"/>
    <n v="338896"/>
    <n v="8"/>
    <n v="43459"/>
    <n v="347672"/>
    <m/>
    <m/>
    <n v="0"/>
    <m/>
    <m/>
    <n v="0"/>
    <m/>
    <m/>
    <n v="0"/>
    <m/>
    <m/>
    <n v="0"/>
    <m/>
    <m/>
    <n v="0"/>
    <m/>
    <m/>
    <n v="0"/>
    <m/>
    <m/>
    <n v="0"/>
    <m/>
    <m/>
    <n v="0"/>
    <m/>
    <m/>
    <n v="0"/>
    <m/>
    <m/>
    <n v="0"/>
    <n v="8"/>
    <n v="48913"/>
    <n v="320164.93280000001"/>
    <n v="9"/>
    <n v="50493"/>
    <n v="371820.35340000002"/>
  </r>
  <r>
    <x v="10"/>
    <s v="Tri County Technology Center                      "/>
    <m/>
    <n v="418287"/>
    <x v="10"/>
    <m/>
    <m/>
    <n v="0"/>
    <m/>
    <m/>
    <n v="0"/>
    <m/>
    <m/>
    <n v="0"/>
    <m/>
    <m/>
    <n v="0"/>
    <m/>
    <m/>
    <n v="0"/>
    <m/>
    <m/>
    <n v="0"/>
    <m/>
    <m/>
    <n v="0"/>
    <m/>
    <m/>
    <n v="0"/>
    <m/>
    <m/>
    <n v="0"/>
    <m/>
    <m/>
    <n v="0"/>
    <n v="13"/>
    <n v="47317"/>
    <n v="615121"/>
    <n v="14"/>
    <n v="49784"/>
    <n v="696976"/>
    <m/>
    <m/>
    <n v="0"/>
    <m/>
    <m/>
    <n v="0"/>
    <m/>
    <m/>
    <n v="0"/>
    <m/>
    <m/>
    <n v="0"/>
    <m/>
    <m/>
    <n v="0"/>
    <m/>
    <m/>
    <n v="0"/>
    <m/>
    <m/>
    <n v="0"/>
    <m/>
    <m/>
    <n v="0"/>
    <m/>
    <m/>
    <n v="0"/>
    <m/>
    <m/>
    <n v="0"/>
    <n v="15"/>
    <n v="53190"/>
    <n v="652800.87"/>
    <n v="15"/>
    <n v="54684"/>
    <n v="671136.73200000008"/>
  </r>
  <r>
    <x v="10"/>
    <s v="Tulsa County Area Voc Tech School Dist 18-Peoria  "/>
    <m/>
    <n v="207607"/>
    <x v="10"/>
    <m/>
    <m/>
    <n v="0"/>
    <m/>
    <m/>
    <n v="0"/>
    <m/>
    <m/>
    <n v="0"/>
    <m/>
    <m/>
    <n v="0"/>
    <m/>
    <m/>
    <n v="0"/>
    <m/>
    <m/>
    <n v="0"/>
    <m/>
    <m/>
    <n v="0"/>
    <m/>
    <m/>
    <n v="0"/>
    <m/>
    <m/>
    <n v="0"/>
    <m/>
    <m/>
    <n v="0"/>
    <m/>
    <m/>
    <n v="0"/>
    <m/>
    <m/>
    <n v="0"/>
    <m/>
    <m/>
    <n v="0"/>
    <m/>
    <m/>
    <n v="0"/>
    <m/>
    <m/>
    <n v="0"/>
    <m/>
    <m/>
    <n v="0"/>
    <m/>
    <m/>
    <n v="0"/>
    <m/>
    <m/>
    <n v="0"/>
    <m/>
    <m/>
    <n v="0"/>
    <m/>
    <m/>
    <n v="0"/>
    <m/>
    <m/>
    <n v="0"/>
    <m/>
    <m/>
    <n v="0"/>
    <n v="27"/>
    <n v="51516"/>
    <n v="1138060.5623999999"/>
    <n v="23"/>
    <n v="53569"/>
    <n v="1008093.5834"/>
  </r>
  <r>
    <x v="10"/>
    <s v="Tulsa Technology Center-Broken Arrow Campus       "/>
    <s v="Reclassified: met criteria for Technical Institute or College 2 in 2009-10, 2010-11 and 2011-12."/>
    <n v="261393"/>
    <x v="10"/>
    <m/>
    <m/>
    <n v="0"/>
    <m/>
    <m/>
    <n v="0"/>
    <m/>
    <m/>
    <n v="0"/>
    <m/>
    <m/>
    <n v="0"/>
    <m/>
    <m/>
    <n v="0"/>
    <m/>
    <m/>
    <n v="0"/>
    <m/>
    <m/>
    <n v="0"/>
    <m/>
    <m/>
    <n v="0"/>
    <m/>
    <m/>
    <n v="0"/>
    <m/>
    <m/>
    <n v="0"/>
    <m/>
    <m/>
    <n v="0"/>
    <m/>
    <m/>
    <n v="0"/>
    <m/>
    <m/>
    <n v="0"/>
    <m/>
    <m/>
    <n v="0"/>
    <m/>
    <m/>
    <n v="0"/>
    <m/>
    <m/>
    <n v="0"/>
    <m/>
    <m/>
    <n v="0"/>
    <m/>
    <m/>
    <n v="0"/>
    <m/>
    <m/>
    <n v="0"/>
    <m/>
    <m/>
    <n v="0"/>
    <m/>
    <m/>
    <n v="0"/>
    <m/>
    <m/>
    <n v="0"/>
    <n v="37"/>
    <n v="55364"/>
    <n v="1676056.5176000001"/>
    <n v="41"/>
    <n v="54536"/>
    <n v="1829475.5632"/>
  </r>
  <r>
    <x v="10"/>
    <s v="Tulsa Technology Center-Lemley Campus             "/>
    <m/>
    <n v="261375"/>
    <x v="10"/>
    <m/>
    <m/>
    <n v="0"/>
    <m/>
    <m/>
    <n v="0"/>
    <m/>
    <m/>
    <n v="0"/>
    <m/>
    <m/>
    <n v="0"/>
    <m/>
    <m/>
    <n v="0"/>
    <m/>
    <m/>
    <n v="0"/>
    <m/>
    <m/>
    <n v="0"/>
    <m/>
    <m/>
    <n v="0"/>
    <m/>
    <m/>
    <n v="0"/>
    <m/>
    <m/>
    <n v="0"/>
    <n v="1"/>
    <n v="52750"/>
    <n v="52750"/>
    <n v="1"/>
    <n v="50690"/>
    <n v="50690"/>
    <m/>
    <m/>
    <n v="0"/>
    <m/>
    <m/>
    <n v="0"/>
    <m/>
    <m/>
    <n v="0"/>
    <m/>
    <m/>
    <n v="0"/>
    <m/>
    <m/>
    <n v="0"/>
    <m/>
    <m/>
    <n v="0"/>
    <m/>
    <m/>
    <n v="0"/>
    <m/>
    <m/>
    <n v="0"/>
    <m/>
    <m/>
    <n v="0"/>
    <m/>
    <m/>
    <n v="0"/>
    <n v="58"/>
    <n v="54799"/>
    <n v="2600519.4243999999"/>
    <n v="54"/>
    <n v="56575"/>
    <n v="2499641.91"/>
  </r>
  <r>
    <x v="10"/>
    <s v="Tulsa Technology Center-Riverside Campus          "/>
    <m/>
    <n v="261384"/>
    <x v="10"/>
    <m/>
    <m/>
    <n v="0"/>
    <m/>
    <m/>
    <n v="0"/>
    <m/>
    <m/>
    <n v="0"/>
    <m/>
    <m/>
    <n v="0"/>
    <m/>
    <m/>
    <n v="0"/>
    <m/>
    <m/>
    <n v="0"/>
    <m/>
    <m/>
    <n v="0"/>
    <m/>
    <m/>
    <n v="0"/>
    <m/>
    <m/>
    <n v="0"/>
    <m/>
    <m/>
    <n v="0"/>
    <m/>
    <m/>
    <n v="0"/>
    <m/>
    <m/>
    <n v="0"/>
    <m/>
    <m/>
    <n v="0"/>
    <m/>
    <m/>
    <n v="0"/>
    <m/>
    <m/>
    <n v="0"/>
    <m/>
    <m/>
    <n v="0"/>
    <m/>
    <m/>
    <n v="0"/>
    <m/>
    <m/>
    <n v="0"/>
    <m/>
    <m/>
    <n v="0"/>
    <m/>
    <m/>
    <n v="0"/>
    <m/>
    <m/>
    <n v="0"/>
    <m/>
    <m/>
    <n v="0"/>
    <n v="23"/>
    <n v="55122"/>
    <n v="1037318.8692000001"/>
    <n v="28"/>
    <n v="58269"/>
    <n v="1334919.4824000001"/>
  </r>
  <r>
    <x v="10"/>
    <s v="Wes Watkins Technology Center                     "/>
    <m/>
    <n v="418357"/>
    <x v="10"/>
    <m/>
    <m/>
    <n v="0"/>
    <m/>
    <m/>
    <n v="0"/>
    <m/>
    <m/>
    <n v="0"/>
    <m/>
    <m/>
    <n v="0"/>
    <m/>
    <m/>
    <n v="0"/>
    <m/>
    <m/>
    <n v="0"/>
    <m/>
    <m/>
    <n v="0"/>
    <m/>
    <m/>
    <n v="0"/>
    <m/>
    <m/>
    <n v="0"/>
    <m/>
    <m/>
    <n v="0"/>
    <n v="10"/>
    <n v="42490"/>
    <n v="424900"/>
    <n v="10"/>
    <n v="43916"/>
    <n v="439160"/>
    <m/>
    <m/>
    <n v="0"/>
    <m/>
    <m/>
    <n v="0"/>
    <m/>
    <m/>
    <n v="0"/>
    <m/>
    <m/>
    <n v="0"/>
    <m/>
    <m/>
    <n v="0"/>
    <m/>
    <m/>
    <n v="0"/>
    <m/>
    <m/>
    <n v="0"/>
    <m/>
    <m/>
    <n v="0"/>
    <m/>
    <m/>
    <n v="0"/>
    <m/>
    <m/>
    <n v="0"/>
    <n v="4"/>
    <n v="52505"/>
    <n v="171838.364"/>
    <n v="3"/>
    <n v="55501"/>
    <n v="136232.75460000001"/>
  </r>
  <r>
    <x v="10"/>
    <s v="Western Technology Center                         "/>
    <m/>
    <n v="418302"/>
    <x v="10"/>
    <m/>
    <m/>
    <n v="0"/>
    <m/>
    <m/>
    <n v="0"/>
    <m/>
    <m/>
    <n v="0"/>
    <m/>
    <m/>
    <n v="0"/>
    <m/>
    <m/>
    <n v="0"/>
    <m/>
    <m/>
    <n v="0"/>
    <m/>
    <m/>
    <n v="0"/>
    <m/>
    <m/>
    <n v="0"/>
    <m/>
    <m/>
    <n v="0"/>
    <m/>
    <m/>
    <n v="0"/>
    <n v="20"/>
    <n v="46020"/>
    <n v="920400"/>
    <n v="21"/>
    <n v="45961"/>
    <n v="965181"/>
    <m/>
    <m/>
    <n v="0"/>
    <m/>
    <m/>
    <n v="0"/>
    <m/>
    <m/>
    <n v="0"/>
    <m/>
    <m/>
    <n v="0"/>
    <m/>
    <m/>
    <n v="0"/>
    <m/>
    <m/>
    <n v="0"/>
    <m/>
    <m/>
    <n v="0"/>
    <m/>
    <m/>
    <n v="0"/>
    <m/>
    <m/>
    <n v="0"/>
    <m/>
    <m/>
    <n v="0"/>
    <n v="5"/>
    <n v="52763"/>
    <n v="215853.43300000002"/>
    <n v="4"/>
    <n v="56541"/>
    <n v="185047.3848"/>
  </r>
  <r>
    <x v="11"/>
    <s v="Clemson University"/>
    <m/>
    <n v="217882"/>
    <x v="0"/>
    <n v="298"/>
    <n v="108668.20805369127"/>
    <n v="32383126"/>
    <n v="297"/>
    <n v="109821"/>
    <n v="32616837"/>
    <n v="230"/>
    <n v="76880.373913043484"/>
    <n v="17682486"/>
    <n v="227"/>
    <n v="79481"/>
    <n v="18042187"/>
    <n v="249"/>
    <n v="68180.630522088351"/>
    <n v="16976977"/>
    <n v="227"/>
    <n v="70794"/>
    <n v="16070238"/>
    <n v="3"/>
    <n v="49074.666666666664"/>
    <n v="147224"/>
    <n v="3"/>
    <n v="54305"/>
    <n v="162915"/>
    <n v="175"/>
    <n v="44522.588571428569"/>
    <n v="7791452.9999999991"/>
    <n v="184"/>
    <n v="46092"/>
    <n v="8480928"/>
    <m/>
    <m/>
    <n v="0"/>
    <m/>
    <m/>
    <n v="0"/>
    <n v="45"/>
    <n v="109452.44444444444"/>
    <n v="4029929.5520000001"/>
    <n v="37"/>
    <n v="113878"/>
    <n v="3447474.2452000002"/>
    <n v="18"/>
    <n v="85644.388888888891"/>
    <n v="1261336.3018"/>
    <n v="15"/>
    <n v="89169"/>
    <n v="1094371.1370000001"/>
    <n v="13"/>
    <n v="71208.38461538461"/>
    <n v="757415.10379999992"/>
    <n v="13"/>
    <n v="74214"/>
    <n v="789384.6324"/>
    <m/>
    <m/>
    <n v="0"/>
    <m/>
    <m/>
    <n v="0"/>
    <n v="12"/>
    <n v="60325.166666666664"/>
    <n v="592296.61640000006"/>
    <n v="10"/>
    <n v="65760"/>
    <n v="538048.32000000007"/>
    <m/>
    <m/>
    <n v="0"/>
    <m/>
    <m/>
    <n v="0"/>
  </r>
  <r>
    <x v="11"/>
    <s v="University of South Carolina-Columbia"/>
    <m/>
    <n v="218663"/>
    <x v="0"/>
    <n v="264"/>
    <n v="109042.57196969698"/>
    <n v="28787239"/>
    <n v="279"/>
    <n v="113019"/>
    <n v="31532301"/>
    <n v="329"/>
    <n v="79229.787234042553"/>
    <n v="26066600"/>
    <n v="335"/>
    <n v="80308"/>
    <n v="26903180"/>
    <n v="308"/>
    <n v="71319.766233766233"/>
    <n v="21966488"/>
    <n v="293"/>
    <n v="71844"/>
    <n v="21050292"/>
    <n v="101"/>
    <n v="43387.019801980197"/>
    <n v="4382089"/>
    <n v="106"/>
    <n v="45291"/>
    <n v="4800846"/>
    <n v="20"/>
    <n v="59502.85"/>
    <n v="1190057"/>
    <n v="27"/>
    <n v="60468"/>
    <n v="1632636"/>
    <m/>
    <m/>
    <n v="0"/>
    <m/>
    <m/>
    <n v="0"/>
    <n v="59"/>
    <n v="151395.74576271186"/>
    <n v="7308447.9517999999"/>
    <n v="65"/>
    <n v="160206"/>
    <n v="8520235.6980000008"/>
    <n v="21"/>
    <n v="90702.761904761908"/>
    <n v="1558472.9956"/>
    <n v="29"/>
    <n v="100004"/>
    <n v="2372874.9112"/>
    <n v="31"/>
    <n v="86268.774193548394"/>
    <n v="2188138.4424000001"/>
    <n v="41"/>
    <n v="89867"/>
    <n v="3014696.3554000002"/>
    <n v="41"/>
    <n v="55498.951219512193"/>
    <n v="1861778.9174000002"/>
    <n v="48"/>
    <n v="55284"/>
    <n v="2171201.7024000003"/>
    <n v="4"/>
    <n v="72090.25"/>
    <n v="235936.97020000001"/>
    <n v="7"/>
    <n v="67085"/>
    <n v="384222.62900000002"/>
    <m/>
    <m/>
    <n v="0"/>
    <m/>
    <m/>
    <n v="0"/>
  </r>
  <r>
    <x v="11"/>
    <s v="College of Charleston"/>
    <m/>
    <n v="217819"/>
    <x v="2"/>
    <n v="127"/>
    <n v="81074.275590551188"/>
    <n v="10296433"/>
    <n v="140"/>
    <n v="82328"/>
    <n v="11525920"/>
    <n v="151"/>
    <n v="63926.708609271525"/>
    <n v="9652933"/>
    <n v="156"/>
    <n v="65022"/>
    <n v="10143432"/>
    <n v="171"/>
    <n v="59189.807017543862"/>
    <n v="10121457"/>
    <n v="165"/>
    <n v="59060"/>
    <n v="9744900"/>
    <n v="61"/>
    <n v="47795.442622950817"/>
    <n v="2915522"/>
    <n v="60"/>
    <n v="49223"/>
    <n v="2953380"/>
    <m/>
    <m/>
    <n v="0"/>
    <m/>
    <m/>
    <n v="0"/>
    <m/>
    <m/>
    <n v="0"/>
    <m/>
    <m/>
    <n v="0"/>
    <m/>
    <m/>
    <n v="0"/>
    <m/>
    <m/>
    <n v="0"/>
    <m/>
    <m/>
    <n v="0"/>
    <m/>
    <m/>
    <n v="0"/>
    <m/>
    <m/>
    <n v="0"/>
    <m/>
    <m/>
    <n v="0"/>
    <m/>
    <m/>
    <n v="0"/>
    <m/>
    <m/>
    <n v="0"/>
    <m/>
    <m/>
    <n v="0"/>
    <m/>
    <m/>
    <n v="0"/>
    <m/>
    <m/>
    <n v="0"/>
    <m/>
    <m/>
    <n v="0"/>
  </r>
  <r>
    <x v="11"/>
    <s v="Winthrop University "/>
    <m/>
    <n v="218964"/>
    <x v="2"/>
    <n v="70"/>
    <n v="75122"/>
    <n v="5258540"/>
    <n v="76"/>
    <n v="76297"/>
    <n v="5798572"/>
    <n v="98"/>
    <n v="65382.602040816324"/>
    <n v="6407495"/>
    <n v="96"/>
    <n v="64604"/>
    <n v="6201984"/>
    <n v="85"/>
    <n v="54559"/>
    <n v="4637515"/>
    <n v="78"/>
    <n v="54680"/>
    <n v="4265040"/>
    <n v="28"/>
    <n v="43445"/>
    <n v="1216460"/>
    <n v="28"/>
    <n v="43810"/>
    <n v="1226680"/>
    <m/>
    <m/>
    <n v="0"/>
    <n v="1"/>
    <n v="30000"/>
    <n v="30000"/>
    <m/>
    <m/>
    <n v="0"/>
    <m/>
    <m/>
    <n v="0"/>
    <n v="1"/>
    <n v="96000"/>
    <n v="78547.199999999997"/>
    <n v="1"/>
    <n v="96000"/>
    <n v="78547.199999999997"/>
    <m/>
    <m/>
    <n v="0"/>
    <n v="3"/>
    <n v="79542"/>
    <n v="195243.79320000001"/>
    <n v="2"/>
    <n v="66563"/>
    <n v="108923.69320000001"/>
    <n v="1"/>
    <n v="53126"/>
    <n v="43467.693200000002"/>
    <n v="2"/>
    <n v="58709"/>
    <n v="96071.407600000006"/>
    <n v="2"/>
    <n v="58709"/>
    <n v="96071.407600000006"/>
    <m/>
    <m/>
    <n v="0"/>
    <m/>
    <m/>
    <n v="0"/>
    <m/>
    <m/>
    <n v="0"/>
    <m/>
    <m/>
    <n v="0"/>
  </r>
  <r>
    <x v="11"/>
    <s v="The Citadel, the Military College of South Carolina "/>
    <s v="Met the criteria for Four-Year 3 in 2011-12."/>
    <n v="217864"/>
    <x v="3"/>
    <n v="53"/>
    <n v="84252.528301886792"/>
    <n v="4465384"/>
    <n v="58"/>
    <n v="86419"/>
    <n v="5012302"/>
    <n v="50"/>
    <n v="68140.039999999994"/>
    <n v="3407001.9999999995"/>
    <n v="52"/>
    <n v="70080"/>
    <n v="3644160"/>
    <n v="64"/>
    <n v="56117.015625"/>
    <n v="3591489"/>
    <n v="64"/>
    <n v="57535"/>
    <n v="3682240"/>
    <n v="2"/>
    <n v="49000"/>
    <n v="98000"/>
    <n v="3"/>
    <n v="44993"/>
    <n v="134979"/>
    <m/>
    <m/>
    <n v="0"/>
    <m/>
    <m/>
    <n v="0"/>
    <m/>
    <m/>
    <n v="0"/>
    <m/>
    <m/>
    <n v="0"/>
    <m/>
    <m/>
    <n v="0"/>
    <m/>
    <m/>
    <n v="0"/>
    <n v="1"/>
    <n v="67000"/>
    <n v="54819.4"/>
    <n v="1"/>
    <n v="67670"/>
    <n v="55367.594000000005"/>
    <m/>
    <m/>
    <n v="0"/>
    <m/>
    <m/>
    <n v="0"/>
    <m/>
    <m/>
    <n v="0"/>
    <m/>
    <m/>
    <n v="0"/>
    <m/>
    <m/>
    <n v="0"/>
    <m/>
    <m/>
    <n v="0"/>
    <m/>
    <m/>
    <n v="0"/>
    <m/>
    <m/>
    <n v="0"/>
  </r>
  <r>
    <x v="11"/>
    <s v="Coastal Carolina University"/>
    <m/>
    <n v="218724"/>
    <x v="4"/>
    <n v="43"/>
    <n v="80331.395348837206"/>
    <n v="3454250"/>
    <n v="59"/>
    <n v="83433"/>
    <n v="4922547"/>
    <n v="69"/>
    <n v="68902.985507246383"/>
    <n v="4754306"/>
    <n v="89"/>
    <n v="70025"/>
    <n v="6232225"/>
    <n v="113"/>
    <n v="56319.115044247788"/>
    <n v="6364060"/>
    <n v="104"/>
    <n v="58234"/>
    <n v="6056336"/>
    <n v="14"/>
    <n v="44510.785714285717"/>
    <n v="623151"/>
    <n v="11"/>
    <n v="44539"/>
    <n v="489929"/>
    <n v="62"/>
    <n v="38867.112903225803"/>
    <n v="2409761"/>
    <n v="75"/>
    <n v="40583"/>
    <n v="3043725"/>
    <m/>
    <m/>
    <n v="0"/>
    <m/>
    <m/>
    <n v="0"/>
    <n v="15"/>
    <n v="109091.8"/>
    <n v="1338883.6614000001"/>
    <n v="4"/>
    <n v="116117"/>
    <n v="380027.71760000003"/>
    <n v="15"/>
    <n v="84038.133333333331"/>
    <n v="1031400.0104"/>
    <n v="4"/>
    <n v="100095"/>
    <n v="327590.91600000003"/>
    <n v="2"/>
    <n v="62706"/>
    <n v="102612.0984"/>
    <m/>
    <m/>
    <n v="0"/>
    <n v="2"/>
    <n v="64985"/>
    <n v="106341.454"/>
    <n v="2"/>
    <n v="66935"/>
    <n v="109532.43400000001"/>
    <n v="11"/>
    <n v="59048.909090909088"/>
    <n v="531451.99160000007"/>
    <n v="7"/>
    <n v="60180"/>
    <n v="344674.93200000003"/>
    <m/>
    <m/>
    <n v="0"/>
    <m/>
    <m/>
    <n v="0"/>
  </r>
  <r>
    <x v="11"/>
    <s v="Francis Marion University "/>
    <m/>
    <n v="218061"/>
    <x v="4"/>
    <n v="55"/>
    <n v="74701.490909090906"/>
    <n v="4108582"/>
    <n v="52"/>
    <n v="76581"/>
    <n v="3982212"/>
    <n v="48"/>
    <n v="59881.166666666664"/>
    <n v="2874296"/>
    <n v="50"/>
    <n v="60894"/>
    <n v="3044700"/>
    <n v="78"/>
    <n v="53129.628205128203"/>
    <n v="4144111"/>
    <n v="72"/>
    <n v="54124"/>
    <n v="3896928"/>
    <n v="14"/>
    <n v="47499"/>
    <n v="664986"/>
    <n v="15"/>
    <n v="48427"/>
    <n v="726405"/>
    <m/>
    <m/>
    <n v="0"/>
    <m/>
    <m/>
    <n v="0"/>
    <m/>
    <m/>
    <n v="0"/>
    <m/>
    <m/>
    <n v="0"/>
    <n v="7"/>
    <n v="92678.571428571435"/>
    <n v="530807.25"/>
    <n v="6"/>
    <n v="96295"/>
    <n v="472731.41400000005"/>
    <m/>
    <m/>
    <n v="0"/>
    <n v="1"/>
    <n v="74160"/>
    <n v="60677.712"/>
    <m/>
    <m/>
    <n v="0"/>
    <m/>
    <m/>
    <n v="0"/>
    <m/>
    <m/>
    <n v="0"/>
    <m/>
    <m/>
    <n v="0"/>
    <m/>
    <m/>
    <n v="0"/>
    <m/>
    <m/>
    <n v="0"/>
    <m/>
    <m/>
    <n v="0"/>
    <m/>
    <m/>
    <n v="0"/>
  </r>
  <r>
    <x v="11"/>
    <s v="South Carolina State University "/>
    <m/>
    <n v="218733"/>
    <x v="4"/>
    <n v="37"/>
    <n v="72789.459459459453"/>
    <n v="2693209.9999999995"/>
    <n v="36"/>
    <n v="71164"/>
    <n v="2561904"/>
    <n v="36"/>
    <n v="61272.361111111109"/>
    <n v="2205805"/>
    <n v="49"/>
    <n v="62946"/>
    <n v="3084354"/>
    <n v="84"/>
    <n v="57489.154761904763"/>
    <n v="4829089"/>
    <n v="69"/>
    <n v="56152"/>
    <n v="3874488"/>
    <n v="27"/>
    <n v="43430.333333333336"/>
    <n v="1172619"/>
    <n v="25"/>
    <n v="44054"/>
    <n v="1101350"/>
    <m/>
    <m/>
    <n v="0"/>
    <m/>
    <m/>
    <n v="0"/>
    <m/>
    <m/>
    <n v="0"/>
    <m/>
    <m/>
    <n v="0"/>
    <n v="8"/>
    <n v="94860"/>
    <n v="620915.61600000004"/>
    <n v="9"/>
    <n v="100119"/>
    <n v="737256.29220000003"/>
    <n v="13"/>
    <n v="81946.461538461532"/>
    <n v="871631.7328"/>
    <n v="10"/>
    <n v="82178"/>
    <n v="672380.39600000007"/>
    <n v="6"/>
    <n v="72356.5"/>
    <n v="355212.52980000002"/>
    <n v="7"/>
    <n v="64134"/>
    <n v="367321.07160000002"/>
    <n v="5"/>
    <n v="60951.199999999997"/>
    <n v="249351.35920000001"/>
    <n v="8"/>
    <n v="57808"/>
    <n v="378388.04480000003"/>
    <m/>
    <m/>
    <n v="0"/>
    <n v="3"/>
    <n v="45382"/>
    <n v="111394.6572"/>
    <m/>
    <m/>
    <n v="0"/>
    <m/>
    <m/>
    <n v="0"/>
  </r>
  <r>
    <x v="11"/>
    <s v="Lander University"/>
    <m/>
    <n v="218229"/>
    <x v="5"/>
    <n v="12"/>
    <n v="69449.666666666672"/>
    <n v="833396"/>
    <n v="14"/>
    <n v="67308"/>
    <n v="942312"/>
    <n v="30"/>
    <n v="53889.866666666669"/>
    <n v="1616696"/>
    <n v="33"/>
    <n v="53670"/>
    <n v="1771110"/>
    <n v="42"/>
    <n v="50541.214285714283"/>
    <n v="2122731"/>
    <n v="50"/>
    <n v="49431"/>
    <n v="2471550"/>
    <n v="16"/>
    <n v="42755.9375"/>
    <n v="684095"/>
    <n v="32"/>
    <n v="40458"/>
    <n v="1294656"/>
    <n v="2"/>
    <n v="29631"/>
    <n v="59262"/>
    <n v="2"/>
    <n v="29631"/>
    <n v="59262"/>
    <m/>
    <m/>
    <n v="0"/>
    <m/>
    <m/>
    <n v="0"/>
    <n v="2"/>
    <n v="92168"/>
    <n v="150823.71520000001"/>
    <n v="1"/>
    <n v="99961"/>
    <n v="81788.090200000006"/>
    <n v="3"/>
    <n v="53652"/>
    <n v="131694.1992"/>
    <n v="3"/>
    <n v="61265"/>
    <n v="150381.06900000002"/>
    <n v="8"/>
    <n v="47875"/>
    <n v="313370.60000000003"/>
    <m/>
    <m/>
    <n v="0"/>
    <n v="7"/>
    <n v="39286"/>
    <n v="225006.63640000002"/>
    <m/>
    <m/>
    <n v="0"/>
    <n v="4"/>
    <n v="44298"/>
    <n v="144978.4944"/>
    <n v="3"/>
    <n v="54230"/>
    <n v="133112.95800000001"/>
    <m/>
    <m/>
    <n v="0"/>
    <m/>
    <m/>
    <n v="0"/>
  </r>
  <r>
    <x v="11"/>
    <s v="University of South Carolina-Aiken"/>
    <m/>
    <n v="218645"/>
    <x v="5"/>
    <n v="21"/>
    <n v="73421.71428571429"/>
    <n v="1541856"/>
    <n v="23"/>
    <n v="73636"/>
    <n v="1693628"/>
    <n v="29"/>
    <n v="59420.793103448275"/>
    <n v="1723203"/>
    <n v="31"/>
    <n v="58054"/>
    <n v="1799674"/>
    <n v="43"/>
    <n v="52349.279069767443"/>
    <n v="2251019"/>
    <n v="36"/>
    <n v="53178"/>
    <n v="1914408"/>
    <n v="37"/>
    <n v="42839.24324324324"/>
    <n v="1585051.9999999998"/>
    <n v="40"/>
    <n v="42456"/>
    <n v="1698240"/>
    <m/>
    <m/>
    <n v="0"/>
    <m/>
    <m/>
    <n v="0"/>
    <m/>
    <m/>
    <n v="0"/>
    <m/>
    <m/>
    <n v="0"/>
    <n v="8"/>
    <n v="90208"/>
    <n v="590465.48479999998"/>
    <n v="7"/>
    <n v="91234"/>
    <n v="522533.6116"/>
    <n v="7"/>
    <n v="76049.571428571435"/>
    <n v="435566.31540000002"/>
    <n v="8"/>
    <n v="73900"/>
    <n v="483719.84"/>
    <n v="3"/>
    <n v="46823.333333333336"/>
    <n v="114932.554"/>
    <n v="3"/>
    <n v="46823"/>
    <n v="114931.73580000001"/>
    <n v="2"/>
    <n v="38160.5"/>
    <n v="62445.842200000006"/>
    <n v="3"/>
    <n v="39107"/>
    <n v="95992.042200000011"/>
    <m/>
    <m/>
    <n v="0"/>
    <m/>
    <m/>
    <n v="0"/>
    <m/>
    <m/>
    <n v="0"/>
    <m/>
    <m/>
    <n v="0"/>
  </r>
  <r>
    <x v="11"/>
    <s v="University of South Carolina-Beaufort"/>
    <m/>
    <n v="218742"/>
    <x v="5"/>
    <n v="6"/>
    <n v="74243.333333333328"/>
    <n v="445460"/>
    <n v="6"/>
    <n v="71292"/>
    <n v="427752"/>
    <n v="13"/>
    <n v="59696.384615384617"/>
    <n v="776053"/>
    <n v="14"/>
    <n v="58102"/>
    <n v="813428"/>
    <n v="15"/>
    <n v="50466.866666666669"/>
    <n v="757003"/>
    <n v="17"/>
    <n v="54118"/>
    <n v="920006"/>
    <n v="16"/>
    <n v="46316.3125"/>
    <n v="741061"/>
    <n v="18"/>
    <n v="47324"/>
    <n v="851832"/>
    <m/>
    <m/>
    <n v="0"/>
    <m/>
    <m/>
    <n v="0"/>
    <m/>
    <m/>
    <n v="0"/>
    <m/>
    <m/>
    <n v="0"/>
    <n v="5"/>
    <n v="88143.4"/>
    <n v="360594.64939999999"/>
    <n v="5"/>
    <n v="90432"/>
    <n v="369957.31200000003"/>
    <n v="3"/>
    <n v="83965.666666666672"/>
    <n v="206102.12540000002"/>
    <n v="2"/>
    <n v="85555"/>
    <n v="140002.20200000002"/>
    <m/>
    <m/>
    <n v="0"/>
    <m/>
    <m/>
    <n v="0"/>
    <n v="1"/>
    <n v="50000"/>
    <n v="40910"/>
    <n v="1"/>
    <n v="50000"/>
    <n v="40910"/>
    <m/>
    <m/>
    <n v="0"/>
    <m/>
    <m/>
    <n v="0"/>
    <m/>
    <m/>
    <n v="0"/>
    <m/>
    <m/>
    <n v="0"/>
  </r>
  <r>
    <x v="11"/>
    <s v="University of South Carolina-Upstate"/>
    <m/>
    <n v="218654"/>
    <x v="5"/>
    <n v="25"/>
    <n v="73156"/>
    <n v="1828900"/>
    <n v="22"/>
    <n v="71484"/>
    <n v="1572648"/>
    <n v="34"/>
    <n v="60762.352941176468"/>
    <n v="2065920"/>
    <n v="36"/>
    <n v="60975"/>
    <n v="2195100"/>
    <n v="63"/>
    <n v="51908.730158730155"/>
    <n v="3270250"/>
    <n v="67"/>
    <n v="51640"/>
    <n v="3459880"/>
    <n v="66"/>
    <n v="46178.696969696968"/>
    <n v="3047794"/>
    <n v="60"/>
    <n v="46781"/>
    <n v="2806860"/>
    <m/>
    <m/>
    <n v="0"/>
    <m/>
    <m/>
    <n v="0"/>
    <m/>
    <m/>
    <n v="0"/>
    <m/>
    <m/>
    <n v="0"/>
    <n v="6"/>
    <n v="95219.666666666672"/>
    <n v="467452.38760000002"/>
    <n v="7"/>
    <n v="93839"/>
    <n v="537453.48860000004"/>
    <n v="8"/>
    <n v="80608.75"/>
    <n v="527632.63400000008"/>
    <n v="7"/>
    <n v="76496"/>
    <n v="438123.19040000002"/>
    <n v="2"/>
    <n v="70350"/>
    <n v="115120.74"/>
    <n v="2"/>
    <n v="73350"/>
    <n v="120029.94"/>
    <n v="2"/>
    <n v="57556.5"/>
    <n v="94185.456600000005"/>
    <n v="2"/>
    <n v="57557"/>
    <n v="94186.274799999999"/>
    <m/>
    <m/>
    <n v="0"/>
    <m/>
    <m/>
    <n v="0"/>
    <m/>
    <m/>
    <n v="0"/>
    <m/>
    <m/>
    <n v="0"/>
  </r>
  <r>
    <x v="11"/>
    <s v="Greenville Technical College "/>
    <m/>
    <n v="218113"/>
    <x v="6"/>
    <m/>
    <m/>
    <n v="0"/>
    <m/>
    <m/>
    <n v="0"/>
    <m/>
    <m/>
    <n v="0"/>
    <m/>
    <m/>
    <n v="0"/>
    <m/>
    <m/>
    <n v="0"/>
    <m/>
    <m/>
    <n v="0"/>
    <m/>
    <m/>
    <n v="0"/>
    <m/>
    <m/>
    <n v="0"/>
    <n v="347"/>
    <n v="45812.293948126804"/>
    <n v="15896866.000000002"/>
    <n v="337"/>
    <n v="46145"/>
    <n v="15550865"/>
    <m/>
    <m/>
    <n v="0"/>
    <m/>
    <m/>
    <n v="0"/>
    <m/>
    <m/>
    <n v="0"/>
    <m/>
    <m/>
    <n v="0"/>
    <m/>
    <m/>
    <n v="0"/>
    <m/>
    <m/>
    <n v="0"/>
    <m/>
    <m/>
    <n v="0"/>
    <m/>
    <m/>
    <n v="0"/>
    <m/>
    <m/>
    <n v="0"/>
    <m/>
    <m/>
    <n v="0"/>
    <m/>
    <m/>
    <n v="0"/>
    <m/>
    <m/>
    <n v="0"/>
    <m/>
    <m/>
    <n v="0"/>
    <m/>
    <m/>
    <n v="0"/>
  </r>
  <r>
    <x v="11"/>
    <s v="Horry-Georgetown Technical College "/>
    <s v="Reclassified: Met the criteria for Two-year 1 in 2009-10, 2010-11, and 2011-12."/>
    <n v="218140"/>
    <x v="6"/>
    <m/>
    <m/>
    <n v="0"/>
    <m/>
    <m/>
    <n v="0"/>
    <m/>
    <m/>
    <n v="0"/>
    <m/>
    <m/>
    <n v="0"/>
    <m/>
    <m/>
    <n v="0"/>
    <m/>
    <m/>
    <n v="0"/>
    <m/>
    <m/>
    <n v="0"/>
    <m/>
    <m/>
    <n v="0"/>
    <n v="141"/>
    <n v="48790.070921985818"/>
    <n v="6879400"/>
    <n v="143"/>
    <n v="49426"/>
    <n v="7067918"/>
    <m/>
    <m/>
    <n v="0"/>
    <m/>
    <m/>
    <n v="0"/>
    <m/>
    <m/>
    <n v="0"/>
    <m/>
    <m/>
    <n v="0"/>
    <m/>
    <m/>
    <n v="0"/>
    <m/>
    <m/>
    <n v="0"/>
    <m/>
    <m/>
    <n v="0"/>
    <m/>
    <m/>
    <n v="0"/>
    <m/>
    <m/>
    <n v="0"/>
    <m/>
    <m/>
    <n v="0"/>
    <m/>
    <m/>
    <n v="0"/>
    <m/>
    <m/>
    <n v="0"/>
    <m/>
    <m/>
    <n v="0"/>
    <m/>
    <m/>
    <n v="0"/>
  </r>
  <r>
    <x v="11"/>
    <s v="Midlands Technical College "/>
    <m/>
    <n v="218353"/>
    <x v="6"/>
    <m/>
    <m/>
    <n v="0"/>
    <m/>
    <m/>
    <n v="0"/>
    <m/>
    <m/>
    <n v="0"/>
    <m/>
    <m/>
    <n v="0"/>
    <m/>
    <m/>
    <n v="0"/>
    <m/>
    <m/>
    <n v="0"/>
    <m/>
    <m/>
    <n v="0"/>
    <m/>
    <m/>
    <n v="0"/>
    <n v="215"/>
    <n v="48853.139534883718"/>
    <n v="10503425"/>
    <n v="214"/>
    <n v="49595"/>
    <n v="10613330"/>
    <m/>
    <m/>
    <n v="0"/>
    <m/>
    <m/>
    <n v="0"/>
    <m/>
    <m/>
    <n v="0"/>
    <m/>
    <m/>
    <n v="0"/>
    <m/>
    <m/>
    <n v="0"/>
    <m/>
    <m/>
    <n v="0"/>
    <m/>
    <m/>
    <n v="0"/>
    <m/>
    <m/>
    <n v="0"/>
    <m/>
    <m/>
    <n v="0"/>
    <m/>
    <m/>
    <n v="0"/>
    <m/>
    <m/>
    <n v="0"/>
    <m/>
    <m/>
    <n v="0"/>
    <m/>
    <m/>
    <n v="0"/>
    <m/>
    <m/>
    <n v="0"/>
  </r>
  <r>
    <x v="11"/>
    <s v="Tri-County Technical College "/>
    <s v="Reclassified: Met the criteria for Two-year 1 in 2009-10, 2010-11, and 2011-12."/>
    <n v="218885"/>
    <x v="6"/>
    <m/>
    <m/>
    <n v="0"/>
    <m/>
    <m/>
    <n v="0"/>
    <m/>
    <m/>
    <n v="0"/>
    <m/>
    <m/>
    <n v="0"/>
    <m/>
    <m/>
    <n v="0"/>
    <m/>
    <m/>
    <n v="0"/>
    <m/>
    <m/>
    <n v="0"/>
    <m/>
    <m/>
    <n v="0"/>
    <n v="130"/>
    <n v="43344.776923076926"/>
    <n v="5634821"/>
    <n v="138"/>
    <n v="42829"/>
    <n v="5910402"/>
    <m/>
    <m/>
    <n v="0"/>
    <m/>
    <m/>
    <n v="0"/>
    <m/>
    <m/>
    <n v="0"/>
    <m/>
    <m/>
    <n v="0"/>
    <m/>
    <m/>
    <n v="0"/>
    <m/>
    <m/>
    <n v="0"/>
    <m/>
    <m/>
    <n v="0"/>
    <m/>
    <m/>
    <n v="0"/>
    <m/>
    <m/>
    <n v="0"/>
    <m/>
    <m/>
    <n v="0"/>
    <m/>
    <m/>
    <n v="0"/>
    <m/>
    <m/>
    <n v="0"/>
    <m/>
    <m/>
    <n v="0"/>
    <m/>
    <m/>
    <n v="0"/>
  </r>
  <r>
    <x v="11"/>
    <s v="Trident Technical College "/>
    <m/>
    <n v="218894"/>
    <x v="6"/>
    <m/>
    <m/>
    <n v="0"/>
    <m/>
    <m/>
    <n v="0"/>
    <m/>
    <m/>
    <n v="0"/>
    <m/>
    <m/>
    <n v="0"/>
    <m/>
    <m/>
    <n v="0"/>
    <m/>
    <m/>
    <n v="0"/>
    <m/>
    <m/>
    <n v="0"/>
    <m/>
    <m/>
    <n v="0"/>
    <n v="304"/>
    <n v="47236.805921052633"/>
    <n v="14359989"/>
    <n v="316"/>
    <n v="47752"/>
    <n v="15089632"/>
    <m/>
    <m/>
    <n v="0"/>
    <m/>
    <m/>
    <n v="0"/>
    <m/>
    <m/>
    <n v="0"/>
    <m/>
    <m/>
    <n v="0"/>
    <m/>
    <m/>
    <n v="0"/>
    <m/>
    <m/>
    <n v="0"/>
    <m/>
    <m/>
    <n v="0"/>
    <m/>
    <m/>
    <n v="0"/>
    <m/>
    <m/>
    <n v="0"/>
    <m/>
    <m/>
    <n v="0"/>
    <m/>
    <m/>
    <n v="0"/>
    <m/>
    <m/>
    <n v="0"/>
    <m/>
    <m/>
    <n v="0"/>
    <m/>
    <m/>
    <n v="0"/>
  </r>
  <r>
    <x v="11"/>
    <s v="Aiken Technical College "/>
    <m/>
    <n v="217615"/>
    <x v="7"/>
    <m/>
    <m/>
    <n v="0"/>
    <m/>
    <m/>
    <n v="0"/>
    <m/>
    <m/>
    <n v="0"/>
    <m/>
    <m/>
    <n v="0"/>
    <m/>
    <m/>
    <n v="0"/>
    <m/>
    <m/>
    <n v="0"/>
    <m/>
    <m/>
    <n v="0"/>
    <m/>
    <m/>
    <n v="0"/>
    <n v="55"/>
    <n v="47586.872727272726"/>
    <n v="2617278"/>
    <n v="56"/>
    <n v="47302"/>
    <n v="2648912"/>
    <m/>
    <m/>
    <n v="0"/>
    <m/>
    <m/>
    <n v="0"/>
    <m/>
    <m/>
    <n v="0"/>
    <m/>
    <m/>
    <n v="0"/>
    <m/>
    <m/>
    <n v="0"/>
    <m/>
    <m/>
    <n v="0"/>
    <m/>
    <m/>
    <n v="0"/>
    <m/>
    <m/>
    <n v="0"/>
    <m/>
    <m/>
    <n v="0"/>
    <m/>
    <m/>
    <n v="0"/>
    <m/>
    <m/>
    <n v="0"/>
    <m/>
    <m/>
    <n v="0"/>
    <m/>
    <m/>
    <n v="0"/>
    <m/>
    <m/>
    <n v="0"/>
  </r>
  <r>
    <x v="11"/>
    <s v="Central Carolina Technical College "/>
    <m/>
    <n v="218858"/>
    <x v="7"/>
    <m/>
    <m/>
    <n v="0"/>
    <m/>
    <m/>
    <n v="0"/>
    <m/>
    <m/>
    <n v="0"/>
    <m/>
    <m/>
    <n v="0"/>
    <m/>
    <m/>
    <n v="0"/>
    <m/>
    <m/>
    <n v="0"/>
    <m/>
    <m/>
    <n v="0"/>
    <m/>
    <m/>
    <n v="0"/>
    <n v="92"/>
    <n v="44797.90217391304"/>
    <n v="4121406.9999999995"/>
    <n v="99"/>
    <n v="45413"/>
    <n v="4495887"/>
    <m/>
    <m/>
    <n v="0"/>
    <m/>
    <m/>
    <n v="0"/>
    <m/>
    <m/>
    <n v="0"/>
    <m/>
    <m/>
    <n v="0"/>
    <m/>
    <m/>
    <n v="0"/>
    <m/>
    <m/>
    <n v="0"/>
    <m/>
    <m/>
    <n v="0"/>
    <m/>
    <m/>
    <n v="0"/>
    <m/>
    <m/>
    <n v="0"/>
    <m/>
    <m/>
    <n v="0"/>
    <m/>
    <m/>
    <n v="0"/>
    <m/>
    <m/>
    <n v="0"/>
    <m/>
    <m/>
    <n v="0"/>
    <m/>
    <m/>
    <n v="0"/>
  </r>
  <r>
    <x v="11"/>
    <s v="Florence-Darlington Technical College "/>
    <s v="Met the criteria for Two-year 1 in 2010-11 and 2011-12."/>
    <n v="218025"/>
    <x v="7"/>
    <m/>
    <m/>
    <n v="0"/>
    <m/>
    <m/>
    <n v="0"/>
    <m/>
    <m/>
    <n v="0"/>
    <m/>
    <m/>
    <n v="0"/>
    <m/>
    <m/>
    <n v="0"/>
    <m/>
    <m/>
    <n v="0"/>
    <m/>
    <m/>
    <n v="0"/>
    <m/>
    <m/>
    <n v="0"/>
    <n v="96"/>
    <n v="47976.5625"/>
    <n v="4605750"/>
    <n v="95"/>
    <n v="47662"/>
    <n v="4527890"/>
    <m/>
    <m/>
    <n v="0"/>
    <m/>
    <m/>
    <n v="0"/>
    <m/>
    <m/>
    <n v="0"/>
    <m/>
    <m/>
    <n v="0"/>
    <m/>
    <m/>
    <n v="0"/>
    <m/>
    <m/>
    <n v="0"/>
    <m/>
    <m/>
    <n v="0"/>
    <m/>
    <m/>
    <n v="0"/>
    <m/>
    <m/>
    <n v="0"/>
    <m/>
    <m/>
    <n v="0"/>
    <m/>
    <m/>
    <n v="0"/>
    <m/>
    <m/>
    <n v="0"/>
    <m/>
    <m/>
    <n v="0"/>
    <m/>
    <m/>
    <n v="0"/>
  </r>
  <r>
    <x v="11"/>
    <s v="Orangeburg-Calhoun Technical College "/>
    <m/>
    <n v="218487"/>
    <x v="7"/>
    <m/>
    <m/>
    <n v="0"/>
    <m/>
    <m/>
    <n v="0"/>
    <m/>
    <m/>
    <n v="0"/>
    <m/>
    <m/>
    <n v="0"/>
    <m/>
    <m/>
    <n v="0"/>
    <m/>
    <m/>
    <n v="0"/>
    <m/>
    <m/>
    <n v="0"/>
    <m/>
    <m/>
    <n v="0"/>
    <n v="75"/>
    <n v="43055.746666666666"/>
    <n v="3229181"/>
    <n v="76"/>
    <n v="42360"/>
    <n v="3219360"/>
    <m/>
    <m/>
    <n v="0"/>
    <m/>
    <m/>
    <n v="0"/>
    <m/>
    <m/>
    <n v="0"/>
    <m/>
    <m/>
    <n v="0"/>
    <m/>
    <m/>
    <n v="0"/>
    <m/>
    <m/>
    <n v="0"/>
    <m/>
    <m/>
    <n v="0"/>
    <m/>
    <m/>
    <n v="0"/>
    <m/>
    <m/>
    <n v="0"/>
    <m/>
    <m/>
    <n v="0"/>
    <m/>
    <m/>
    <n v="0"/>
    <m/>
    <m/>
    <n v="0"/>
    <m/>
    <m/>
    <n v="0"/>
    <m/>
    <m/>
    <n v="0"/>
  </r>
  <r>
    <x v="11"/>
    <s v="Piedmont Technical College "/>
    <s v="Met the criteria for Two-year 1 in 2010-11 and 2011-12."/>
    <n v="218520"/>
    <x v="7"/>
    <m/>
    <m/>
    <n v="0"/>
    <m/>
    <m/>
    <n v="0"/>
    <m/>
    <m/>
    <n v="0"/>
    <m/>
    <m/>
    <n v="0"/>
    <m/>
    <m/>
    <n v="0"/>
    <m/>
    <m/>
    <n v="0"/>
    <m/>
    <m/>
    <n v="0"/>
    <m/>
    <m/>
    <n v="0"/>
    <n v="121"/>
    <n v="43649.512396694212"/>
    <n v="5281591"/>
    <n v="117"/>
    <n v="43501"/>
    <n v="5089617"/>
    <m/>
    <m/>
    <n v="0"/>
    <m/>
    <m/>
    <n v="0"/>
    <m/>
    <m/>
    <n v="0"/>
    <m/>
    <m/>
    <n v="0"/>
    <m/>
    <m/>
    <n v="0"/>
    <m/>
    <m/>
    <n v="0"/>
    <m/>
    <m/>
    <n v="0"/>
    <m/>
    <m/>
    <n v="0"/>
    <m/>
    <m/>
    <n v="0"/>
    <m/>
    <m/>
    <n v="0"/>
    <m/>
    <m/>
    <n v="0"/>
    <m/>
    <m/>
    <n v="0"/>
    <m/>
    <m/>
    <n v="0"/>
    <m/>
    <m/>
    <n v="0"/>
  </r>
  <r>
    <x v="11"/>
    <s v="Spartanburg Community College "/>
    <m/>
    <n v="218830"/>
    <x v="7"/>
    <m/>
    <m/>
    <n v="0"/>
    <m/>
    <m/>
    <n v="0"/>
    <m/>
    <m/>
    <n v="0"/>
    <m/>
    <m/>
    <n v="0"/>
    <m/>
    <m/>
    <n v="0"/>
    <m/>
    <m/>
    <n v="0"/>
    <m/>
    <m/>
    <n v="0"/>
    <m/>
    <m/>
    <n v="0"/>
    <n v="119"/>
    <n v="44870.529411764706"/>
    <n v="5339593"/>
    <n v="120"/>
    <n v="44560"/>
    <n v="5347200"/>
    <m/>
    <m/>
    <n v="0"/>
    <m/>
    <m/>
    <n v="0"/>
    <m/>
    <m/>
    <n v="0"/>
    <m/>
    <m/>
    <n v="0"/>
    <m/>
    <m/>
    <n v="0"/>
    <m/>
    <m/>
    <n v="0"/>
    <m/>
    <m/>
    <n v="0"/>
    <m/>
    <m/>
    <n v="0"/>
    <m/>
    <m/>
    <n v="0"/>
    <m/>
    <m/>
    <n v="0"/>
    <m/>
    <m/>
    <n v="0"/>
    <m/>
    <m/>
    <n v="0"/>
    <m/>
    <m/>
    <n v="0"/>
    <m/>
    <m/>
    <n v="0"/>
  </r>
  <r>
    <x v="11"/>
    <s v="York Technical College "/>
    <m/>
    <n v="218991"/>
    <x v="7"/>
    <m/>
    <m/>
    <n v="0"/>
    <m/>
    <m/>
    <n v="0"/>
    <m/>
    <m/>
    <n v="0"/>
    <m/>
    <m/>
    <n v="0"/>
    <m/>
    <m/>
    <n v="0"/>
    <m/>
    <m/>
    <n v="0"/>
    <m/>
    <m/>
    <n v="0"/>
    <m/>
    <m/>
    <n v="0"/>
    <n v="122"/>
    <n v="47441.754098360652"/>
    <n v="5787894"/>
    <n v="126"/>
    <n v="47663"/>
    <n v="6005538"/>
    <m/>
    <m/>
    <n v="0"/>
    <m/>
    <m/>
    <n v="0"/>
    <m/>
    <m/>
    <n v="0"/>
    <m/>
    <m/>
    <n v="0"/>
    <m/>
    <m/>
    <n v="0"/>
    <m/>
    <m/>
    <n v="0"/>
    <m/>
    <m/>
    <n v="0"/>
    <m/>
    <m/>
    <n v="0"/>
    <m/>
    <m/>
    <n v="0"/>
    <m/>
    <m/>
    <n v="0"/>
    <m/>
    <m/>
    <n v="0"/>
    <m/>
    <m/>
    <n v="0"/>
    <m/>
    <m/>
    <n v="0"/>
    <m/>
    <m/>
    <n v="0"/>
  </r>
  <r>
    <x v="11"/>
    <s v="Denmark Technical College "/>
    <m/>
    <n v="217989"/>
    <x v="8"/>
    <m/>
    <m/>
    <n v="0"/>
    <m/>
    <m/>
    <n v="0"/>
    <m/>
    <m/>
    <n v="0"/>
    <m/>
    <m/>
    <n v="0"/>
    <m/>
    <m/>
    <n v="0"/>
    <m/>
    <m/>
    <n v="0"/>
    <m/>
    <m/>
    <n v="0"/>
    <m/>
    <m/>
    <n v="0"/>
    <n v="35"/>
    <n v="38597.085714285713"/>
    <n v="1350898"/>
    <n v="35"/>
    <n v="39069"/>
    <n v="1367415"/>
    <m/>
    <m/>
    <n v="0"/>
    <m/>
    <m/>
    <n v="0"/>
    <m/>
    <m/>
    <n v="0"/>
    <m/>
    <m/>
    <n v="0"/>
    <m/>
    <m/>
    <n v="0"/>
    <m/>
    <m/>
    <n v="0"/>
    <m/>
    <m/>
    <n v="0"/>
    <m/>
    <m/>
    <n v="0"/>
    <m/>
    <m/>
    <n v="0"/>
    <m/>
    <m/>
    <n v="0"/>
    <m/>
    <m/>
    <n v="0"/>
    <m/>
    <m/>
    <n v="0"/>
    <m/>
    <m/>
    <n v="0"/>
    <m/>
    <m/>
    <n v="0"/>
  </r>
  <r>
    <x v="11"/>
    <s v="Northeastern Technical College "/>
    <m/>
    <n v="217837"/>
    <x v="8"/>
    <m/>
    <m/>
    <n v="0"/>
    <m/>
    <m/>
    <n v="0"/>
    <m/>
    <m/>
    <n v="0"/>
    <m/>
    <m/>
    <n v="0"/>
    <m/>
    <m/>
    <n v="0"/>
    <m/>
    <m/>
    <n v="0"/>
    <m/>
    <m/>
    <n v="0"/>
    <m/>
    <m/>
    <n v="0"/>
    <n v="28"/>
    <n v="35355.5"/>
    <n v="989954"/>
    <n v="27"/>
    <n v="35077"/>
    <n v="947079"/>
    <m/>
    <m/>
    <n v="0"/>
    <m/>
    <m/>
    <n v="0"/>
    <m/>
    <m/>
    <n v="0"/>
    <m/>
    <m/>
    <n v="0"/>
    <m/>
    <m/>
    <n v="0"/>
    <m/>
    <m/>
    <n v="0"/>
    <m/>
    <m/>
    <n v="0"/>
    <m/>
    <m/>
    <n v="0"/>
    <m/>
    <m/>
    <n v="0"/>
    <m/>
    <m/>
    <n v="0"/>
    <m/>
    <m/>
    <n v="0"/>
    <m/>
    <m/>
    <n v="0"/>
    <m/>
    <m/>
    <n v="0"/>
    <m/>
    <m/>
    <n v="0"/>
  </r>
  <r>
    <x v="11"/>
    <s v="Technical College of the Lowcountry"/>
    <s v="Met the criteria for Two-Year 2 in 2011-12."/>
    <n v="217712"/>
    <x v="8"/>
    <m/>
    <m/>
    <n v="0"/>
    <m/>
    <m/>
    <n v="0"/>
    <m/>
    <m/>
    <n v="0"/>
    <m/>
    <m/>
    <n v="0"/>
    <m/>
    <m/>
    <n v="0"/>
    <m/>
    <m/>
    <n v="0"/>
    <m/>
    <m/>
    <n v="0"/>
    <m/>
    <m/>
    <n v="0"/>
    <n v="48"/>
    <n v="49363.979166666664"/>
    <n v="2369471"/>
    <n v="48"/>
    <n v="49207"/>
    <n v="2361936"/>
    <m/>
    <m/>
    <n v="0"/>
    <m/>
    <m/>
    <n v="0"/>
    <m/>
    <m/>
    <n v="0"/>
    <m/>
    <m/>
    <n v="0"/>
    <m/>
    <m/>
    <n v="0"/>
    <m/>
    <m/>
    <n v="0"/>
    <m/>
    <m/>
    <n v="0"/>
    <m/>
    <m/>
    <n v="0"/>
    <m/>
    <m/>
    <n v="0"/>
    <m/>
    <m/>
    <n v="0"/>
    <m/>
    <m/>
    <n v="0"/>
    <m/>
    <m/>
    <n v="0"/>
    <m/>
    <m/>
    <n v="0"/>
    <m/>
    <m/>
    <n v="0"/>
  </r>
  <r>
    <x v="11"/>
    <s v="University of South Carolina-Lancaster"/>
    <m/>
    <n v="218672"/>
    <x v="8"/>
    <n v="5"/>
    <n v="64343.8"/>
    <n v="321719"/>
    <n v="5"/>
    <n v="65644"/>
    <n v="328220"/>
    <n v="3"/>
    <n v="56277"/>
    <n v="168831"/>
    <n v="4"/>
    <n v="58202"/>
    <n v="232808"/>
    <n v="16"/>
    <n v="46750.125"/>
    <n v="748002"/>
    <n v="17"/>
    <n v="45796"/>
    <n v="778532"/>
    <n v="18"/>
    <n v="46715.333333333336"/>
    <n v="840876"/>
    <n v="19"/>
    <n v="47230"/>
    <n v="897370"/>
    <m/>
    <m/>
    <n v="0"/>
    <m/>
    <m/>
    <n v="0"/>
    <m/>
    <m/>
    <n v="0"/>
    <m/>
    <m/>
    <n v="0"/>
    <m/>
    <m/>
    <n v="0"/>
    <m/>
    <m/>
    <n v="0"/>
    <n v="1"/>
    <n v="71556"/>
    <n v="58547.119200000001"/>
    <n v="1"/>
    <n v="75000"/>
    <n v="61365"/>
    <n v="1"/>
    <n v="60600"/>
    <n v="49582.920000000006"/>
    <n v="1"/>
    <n v="60600"/>
    <n v="49582.920000000006"/>
    <n v="2"/>
    <n v="61950"/>
    <n v="101374.98000000001"/>
    <n v="2"/>
    <n v="61950"/>
    <n v="101374.98000000001"/>
    <m/>
    <m/>
    <n v="0"/>
    <m/>
    <m/>
    <n v="0"/>
    <m/>
    <m/>
    <n v="0"/>
    <m/>
    <m/>
    <n v="0"/>
  </r>
  <r>
    <x v="11"/>
    <s v="University of South Carolina-Salkehatchie"/>
    <m/>
    <n v="218681"/>
    <x v="8"/>
    <n v="1"/>
    <n v="57256"/>
    <n v="57256"/>
    <n v="1"/>
    <n v="57256"/>
    <n v="57256"/>
    <n v="2"/>
    <n v="50883"/>
    <n v="101766"/>
    <n v="3"/>
    <n v="51160"/>
    <n v="153480"/>
    <n v="11"/>
    <n v="45377.090909090912"/>
    <n v="499148"/>
    <n v="11"/>
    <n v="45656"/>
    <n v="502216"/>
    <n v="3"/>
    <n v="39946.333333333336"/>
    <n v="119839"/>
    <n v="3"/>
    <n v="39946"/>
    <n v="119838"/>
    <m/>
    <m/>
    <n v="0"/>
    <m/>
    <m/>
    <n v="0"/>
    <m/>
    <m/>
    <n v="0"/>
    <m/>
    <m/>
    <n v="0"/>
    <m/>
    <m/>
    <n v="0"/>
    <m/>
    <m/>
    <n v="0"/>
    <n v="1"/>
    <n v="42901"/>
    <n v="35101.5982"/>
    <n v="1"/>
    <n v="42901"/>
    <n v="35101.5982"/>
    <m/>
    <m/>
    <n v="0"/>
    <m/>
    <m/>
    <n v="0"/>
    <n v="1"/>
    <n v="40000"/>
    <n v="32728"/>
    <n v="1"/>
    <n v="40000"/>
    <n v="32728"/>
    <m/>
    <m/>
    <n v="0"/>
    <m/>
    <m/>
    <n v="0"/>
    <m/>
    <m/>
    <n v="0"/>
    <m/>
    <m/>
    <n v="0"/>
  </r>
  <r>
    <x v="11"/>
    <s v="University of South Carolina-Sumter"/>
    <m/>
    <n v="218690"/>
    <x v="8"/>
    <n v="8"/>
    <n v="67906.375"/>
    <n v="543251"/>
    <n v="9"/>
    <n v="69129"/>
    <n v="622161"/>
    <n v="13"/>
    <n v="55566.461538461539"/>
    <n v="722364"/>
    <n v="11"/>
    <n v="52496"/>
    <n v="577456"/>
    <n v="7"/>
    <n v="46969.714285714283"/>
    <n v="328788"/>
    <n v="5"/>
    <n v="48733"/>
    <n v="243665"/>
    <n v="18"/>
    <n v="33887.388888888891"/>
    <n v="609973"/>
    <n v="20"/>
    <n v="35311"/>
    <n v="706220"/>
    <m/>
    <m/>
    <n v="0"/>
    <m/>
    <m/>
    <n v="0"/>
    <m/>
    <m/>
    <n v="0"/>
    <m/>
    <m/>
    <n v="0"/>
    <n v="2"/>
    <n v="88050"/>
    <n v="144085.02000000002"/>
    <n v="2"/>
    <n v="89396"/>
    <n v="146287.61440000002"/>
    <n v="2"/>
    <n v="78311"/>
    <n v="128148.1204"/>
    <n v="2"/>
    <n v="78311"/>
    <n v="128148.1204"/>
    <m/>
    <m/>
    <n v="0"/>
    <m/>
    <m/>
    <n v="0"/>
    <m/>
    <m/>
    <n v="0"/>
    <m/>
    <m/>
    <n v="0"/>
    <m/>
    <m/>
    <n v="0"/>
    <m/>
    <m/>
    <n v="0"/>
    <m/>
    <m/>
    <n v="0"/>
    <m/>
    <m/>
    <n v="0"/>
  </r>
  <r>
    <x v="11"/>
    <s v="University of South Carolina-Union"/>
    <m/>
    <n v="218706"/>
    <x v="8"/>
    <m/>
    <m/>
    <n v="0"/>
    <m/>
    <m/>
    <n v="0"/>
    <m/>
    <m/>
    <n v="0"/>
    <n v="2"/>
    <n v="61368"/>
    <n v="122736"/>
    <n v="4"/>
    <n v="49194.75"/>
    <n v="196779"/>
    <n v="2"/>
    <n v="46500"/>
    <n v="93000"/>
    <n v="6"/>
    <n v="52081.166666666664"/>
    <n v="312487"/>
    <n v="5"/>
    <n v="45598"/>
    <n v="227990"/>
    <m/>
    <m/>
    <n v="0"/>
    <m/>
    <m/>
    <n v="0"/>
    <m/>
    <m/>
    <n v="0"/>
    <m/>
    <m/>
    <n v="0"/>
    <m/>
    <m/>
    <n v="0"/>
    <m/>
    <m/>
    <n v="0"/>
    <m/>
    <m/>
    <n v="0"/>
    <m/>
    <m/>
    <n v="0"/>
    <m/>
    <m/>
    <n v="0"/>
    <m/>
    <m/>
    <n v="0"/>
    <m/>
    <m/>
    <n v="0"/>
    <m/>
    <m/>
    <n v="0"/>
    <m/>
    <m/>
    <n v="0"/>
    <m/>
    <m/>
    <n v="0"/>
    <m/>
    <m/>
    <n v="0"/>
    <m/>
    <m/>
    <n v="0"/>
  </r>
  <r>
    <x v="11"/>
    <s v="Willamsburg Technical College "/>
    <m/>
    <n v="218955"/>
    <x v="8"/>
    <m/>
    <m/>
    <n v="0"/>
    <m/>
    <m/>
    <n v="0"/>
    <m/>
    <m/>
    <n v="0"/>
    <m/>
    <m/>
    <n v="0"/>
    <m/>
    <m/>
    <n v="0"/>
    <m/>
    <m/>
    <n v="0"/>
    <m/>
    <m/>
    <n v="0"/>
    <m/>
    <m/>
    <n v="0"/>
    <n v="18"/>
    <n v="35408.777777777781"/>
    <n v="637358"/>
    <n v="18"/>
    <n v="35418"/>
    <n v="637524"/>
    <m/>
    <m/>
    <n v="0"/>
    <m/>
    <m/>
    <n v="0"/>
    <m/>
    <m/>
    <n v="0"/>
    <m/>
    <m/>
    <n v="0"/>
    <m/>
    <m/>
    <n v="0"/>
    <m/>
    <m/>
    <n v="0"/>
    <m/>
    <m/>
    <n v="0"/>
    <m/>
    <m/>
    <n v="0"/>
    <m/>
    <m/>
    <n v="0"/>
    <m/>
    <m/>
    <n v="0"/>
    <m/>
    <m/>
    <n v="0"/>
    <m/>
    <m/>
    <n v="0"/>
    <m/>
    <m/>
    <n v="0"/>
    <m/>
    <m/>
    <n v="0"/>
  </r>
  <r>
    <x v="12"/>
    <s v="University of Memphis"/>
    <m/>
    <n v="220862"/>
    <x v="0"/>
    <n v="218"/>
    <n v="98324.839449541279"/>
    <n v="21434815"/>
    <n v="216"/>
    <n v="101151.34722222222"/>
    <n v="21848691"/>
    <n v="229"/>
    <n v="69998.27510917031"/>
    <n v="16029605.000000002"/>
    <n v="218"/>
    <n v="73218.651376146794"/>
    <n v="15961666.000000002"/>
    <n v="225"/>
    <n v="60439.16"/>
    <n v="13598811"/>
    <n v="226"/>
    <n v="62244.057522123891"/>
    <n v="14067157"/>
    <n v="94"/>
    <n v="41254.042553191488"/>
    <n v="3877880"/>
    <n v="121"/>
    <n v="41957.32231404959"/>
    <n v="5076836"/>
    <n v="21"/>
    <n v="44542.142857142855"/>
    <n v="935385"/>
    <n v="20"/>
    <n v="46157.15"/>
    <n v="923143"/>
    <m/>
    <m/>
    <n v="0"/>
    <m/>
    <m/>
    <n v="0"/>
    <n v="23"/>
    <n v="137091.78260869565"/>
    <n v="2579875.4202000001"/>
    <n v="21"/>
    <n v="136667"/>
    <n v="2348239.7274000002"/>
    <n v="14"/>
    <n v="72870.428571428565"/>
    <n v="834716.18519999995"/>
    <n v="16"/>
    <n v="73809.6875"/>
    <n v="966257.38100000005"/>
    <n v="19"/>
    <n v="60667.15789473684"/>
    <n v="943119.50320000004"/>
    <n v="12"/>
    <n v="63376.833333333336"/>
    <n v="622259.1004"/>
    <n v="14"/>
    <n v="51800.714285714283"/>
    <n v="593366.82200000004"/>
    <n v="15"/>
    <n v="52704"/>
    <n v="646836.19200000004"/>
    <n v="5"/>
    <n v="36675"/>
    <n v="150037.42500000002"/>
    <n v="5"/>
    <n v="37775.4"/>
    <n v="154539.16140000001"/>
    <m/>
    <m/>
    <n v="0"/>
    <m/>
    <m/>
    <n v="0"/>
  </r>
  <r>
    <x v="12"/>
    <s v="University of Tennessee, Knoxville"/>
    <m/>
    <n v="221759"/>
    <x v="0"/>
    <n v="370"/>
    <n v="107593.50540540541"/>
    <n v="39809597"/>
    <n v="372"/>
    <n v="114572.79569892473"/>
    <n v="42621080"/>
    <n v="281"/>
    <n v="79175.434163701066"/>
    <n v="22248297"/>
    <n v="302"/>
    <n v="82504.327814569537"/>
    <n v="24916307"/>
    <n v="253"/>
    <n v="66507.173913043473"/>
    <n v="16826315"/>
    <n v="240"/>
    <n v="70537.09583333334"/>
    <n v="16928903"/>
    <n v="18"/>
    <n v="54917.666666666664"/>
    <n v="988518"/>
    <n v="15"/>
    <n v="52496.4"/>
    <n v="787446"/>
    <n v="228"/>
    <n v="39870.26315789474"/>
    <n v="9090420"/>
    <n v="236"/>
    <n v="42499.4406779661"/>
    <n v="10029868"/>
    <m/>
    <m/>
    <n v="0"/>
    <m/>
    <m/>
    <n v="0"/>
    <n v="181"/>
    <n v="138670.42541436464"/>
    <n v="20536285.715399999"/>
    <n v="183"/>
    <n v="144075.06557377049"/>
    <n v="21572446.0134"/>
    <n v="135"/>
    <n v="101859.34074074074"/>
    <n v="11251077.200200001"/>
    <n v="136"/>
    <n v="108254.60294117648"/>
    <n v="12046052.5932"/>
    <n v="103"/>
    <n v="89228.116504854363"/>
    <n v="7519663.8272000002"/>
    <n v="105"/>
    <n v="93703.81904761905"/>
    <n v="8050188.7982000001"/>
    <n v="17"/>
    <n v="70036.882352941175"/>
    <n v="974171.01140000008"/>
    <n v="20"/>
    <n v="78127.850000000006"/>
    <n v="1278484.1374000001"/>
    <n v="23"/>
    <n v="53561.956521739128"/>
    <n v="1007961.035"/>
    <n v="32"/>
    <n v="51592.3125"/>
    <n v="1350810.5628"/>
    <m/>
    <m/>
    <n v="0"/>
    <m/>
    <m/>
    <n v="0"/>
  </r>
  <r>
    <x v="12"/>
    <s v="Tennessee State University "/>
    <s v="Reclassified: Met the criteria for Four-Year 2 in 2009-10, 2010-11, and 2011-12."/>
    <n v="221838"/>
    <x v="1"/>
    <n v="106"/>
    <n v="73991.915094339623"/>
    <n v="7843143"/>
    <n v="81"/>
    <n v="73528.308641975309"/>
    <n v="5955793"/>
    <n v="98"/>
    <n v="57564.489795918365"/>
    <n v="5641320"/>
    <n v="96"/>
    <n v="60342.5625"/>
    <n v="5792886"/>
    <n v="102"/>
    <n v="50932.941176470587"/>
    <n v="5195160"/>
    <n v="99"/>
    <n v="47592.656565656565"/>
    <n v="4711673"/>
    <n v="26"/>
    <n v="41133.038461538461"/>
    <n v="1069459"/>
    <n v="9"/>
    <n v="46071.444444444445"/>
    <n v="414643"/>
    <n v="5"/>
    <n v="34800"/>
    <n v="174000"/>
    <n v="32"/>
    <n v="38925.8125"/>
    <n v="1245626"/>
    <m/>
    <m/>
    <n v="0"/>
    <m/>
    <m/>
    <n v="0"/>
    <n v="9"/>
    <n v="93301.777777777781"/>
    <n v="687055.63120000006"/>
    <n v="21"/>
    <n v="98475.571428571435"/>
    <n v="1692026.9634000002"/>
    <n v="27"/>
    <n v="68367.666666666672"/>
    <n v="1510337.4714000002"/>
    <n v="20"/>
    <n v="72509.95"/>
    <n v="1186552.8218"/>
    <n v="38"/>
    <n v="56192.868421052633"/>
    <n v="1747126.1878000002"/>
    <n v="27"/>
    <n v="57950.703703703701"/>
    <n v="1280212.1758000001"/>
    <n v="5"/>
    <n v="48740.4"/>
    <n v="199396.97640000001"/>
    <n v="3"/>
    <n v="46030"/>
    <n v="112985.23800000001"/>
    <n v="1"/>
    <n v="60000"/>
    <n v="49092"/>
    <n v="29"/>
    <n v="69019.68965517242"/>
    <n v="1637685.3922000004"/>
    <m/>
    <m/>
    <n v="0"/>
    <m/>
    <m/>
    <n v="0"/>
  </r>
  <r>
    <x v="12"/>
    <s v="Austin Peay State University "/>
    <m/>
    <n v="219602"/>
    <x v="2"/>
    <n v="107"/>
    <n v="67947.11214953271"/>
    <n v="7270341"/>
    <n v="106"/>
    <n v="70999.367924528298"/>
    <n v="7525933"/>
    <n v="78"/>
    <n v="53773.256410256414"/>
    <n v="4194314"/>
    <n v="89"/>
    <n v="55932.505617977527"/>
    <n v="4977993"/>
    <n v="106"/>
    <n v="44601.518867924526"/>
    <n v="4727761"/>
    <n v="107"/>
    <n v="46640.514018691589"/>
    <n v="4990535"/>
    <n v="35"/>
    <n v="35004.542857142857"/>
    <n v="1225159"/>
    <n v="42"/>
    <n v="38304.357142857145"/>
    <n v="1608783"/>
    <m/>
    <m/>
    <n v="0"/>
    <n v="0"/>
    <n v="0"/>
    <n v="0"/>
    <m/>
    <m/>
    <n v="0"/>
    <m/>
    <m/>
    <n v="0"/>
    <n v="0"/>
    <m/>
    <n v="0"/>
    <n v="1"/>
    <n v="80340"/>
    <n v="65734.188000000009"/>
    <n v="1"/>
    <n v="75000"/>
    <n v="61365"/>
    <n v="2"/>
    <n v="82313"/>
    <n v="134696.9932"/>
    <n v="0"/>
    <m/>
    <n v="0"/>
    <n v="0"/>
    <m/>
    <n v="0"/>
    <n v="0"/>
    <m/>
    <n v="0"/>
    <n v="0"/>
    <m/>
    <n v="0"/>
    <n v="0"/>
    <m/>
    <n v="0"/>
    <n v="0"/>
    <m/>
    <n v="0"/>
    <m/>
    <m/>
    <n v="0"/>
    <m/>
    <m/>
    <n v="0"/>
  </r>
  <r>
    <x v="12"/>
    <s v="East Tennessee State University "/>
    <m/>
    <n v="220075"/>
    <x v="2"/>
    <n v="99"/>
    <n v="70760.565656565654"/>
    <n v="7005296"/>
    <n v="96"/>
    <n v="74573.479166666672"/>
    <n v="7159054"/>
    <n v="120"/>
    <n v="55803.466666666667"/>
    <n v="6696416"/>
    <n v="126"/>
    <n v="57640.849206349209"/>
    <n v="7262747"/>
    <n v="155"/>
    <n v="48341.664516129029"/>
    <n v="7492957.9999999991"/>
    <n v="163"/>
    <n v="51996.920245398775"/>
    <n v="8475498"/>
    <n v="16"/>
    <n v="39076.75"/>
    <n v="625228"/>
    <n v="18"/>
    <n v="39650.611111111109"/>
    <n v="713711"/>
    <n v="45"/>
    <n v="29115.888888888891"/>
    <n v="1310215"/>
    <n v="60"/>
    <n v="29720.3"/>
    <n v="1783218"/>
    <m/>
    <m/>
    <n v="0"/>
    <m/>
    <m/>
    <n v="0"/>
    <n v="27"/>
    <n v="82025.074074074073"/>
    <n v="1812048.7214000002"/>
    <n v="35"/>
    <n v="93107.71428571429"/>
    <n v="2666325.6140000001"/>
    <n v="25"/>
    <n v="78832.320000000007"/>
    <n v="1612515.1056000004"/>
    <n v="24"/>
    <n v="76268.625"/>
    <n v="1497671.7354000001"/>
    <n v="41"/>
    <n v="70065.243902439019"/>
    <n v="2350422.6850000001"/>
    <n v="44"/>
    <n v="79483.5"/>
    <n v="2861469.5868000002"/>
    <n v="4"/>
    <n v="51404"/>
    <n v="168235.01120000001"/>
    <n v="4"/>
    <n v="59061.75"/>
    <n v="193297.2954"/>
    <n v="4"/>
    <n v="42500"/>
    <n v="139094"/>
    <n v="2"/>
    <n v="51500"/>
    <n v="84274.6"/>
    <m/>
    <m/>
    <n v="0"/>
    <m/>
    <m/>
    <n v="0"/>
  </r>
  <r>
    <x v="12"/>
    <s v="Middle Tennessee State University "/>
    <m/>
    <n v="220978"/>
    <x v="2"/>
    <n v="305"/>
    <n v="79547.54426229508"/>
    <n v="24262001"/>
    <n v="320"/>
    <n v="82598.178125000006"/>
    <n v="26431417"/>
    <n v="222"/>
    <n v="64239.477477477478"/>
    <n v="14261164"/>
    <n v="223"/>
    <n v="65702"/>
    <n v="14651546"/>
    <n v="214"/>
    <n v="52017.644859813081"/>
    <n v="11131776"/>
    <n v="222"/>
    <n v="54398.396396396398"/>
    <n v="12076444"/>
    <n v="120"/>
    <n v="37480.39166666667"/>
    <n v="4497647"/>
    <n v="125"/>
    <n v="39113.464"/>
    <n v="4889183"/>
    <m/>
    <m/>
    <n v="0"/>
    <n v="0"/>
    <n v="0"/>
    <n v="0"/>
    <m/>
    <m/>
    <n v="0"/>
    <m/>
    <m/>
    <n v="0"/>
    <n v="2"/>
    <n v="94790.5"/>
    <n v="155115.17420000001"/>
    <n v="1"/>
    <n v="88734"/>
    <n v="72602.158800000005"/>
    <n v="1"/>
    <n v="66950"/>
    <n v="54778.490000000005"/>
    <n v="1"/>
    <n v="75854"/>
    <n v="62063.7428"/>
    <n v="1"/>
    <n v="56966"/>
    <n v="46609.581200000001"/>
    <n v="1"/>
    <n v="58675"/>
    <n v="48007.885000000002"/>
    <n v="0"/>
    <m/>
    <n v="0"/>
    <n v="0"/>
    <m/>
    <n v="0"/>
    <n v="0"/>
    <m/>
    <n v="0"/>
    <n v="0"/>
    <m/>
    <n v="0"/>
    <m/>
    <m/>
    <n v="0"/>
    <m/>
    <m/>
    <n v="0"/>
  </r>
  <r>
    <x v="12"/>
    <s v="Tennessee Technological University "/>
    <m/>
    <n v="221847"/>
    <x v="2"/>
    <n v="146"/>
    <n v="77181.917808219179"/>
    <n v="11268560"/>
    <n v="138"/>
    <n v="77216.666666666672"/>
    <n v="10655900"/>
    <n v="85"/>
    <n v="62410.929411764708"/>
    <n v="5304929"/>
    <n v="81"/>
    <n v="65197.777777777781"/>
    <n v="5281020"/>
    <n v="72"/>
    <n v="52247.638888888891"/>
    <n v="3761830"/>
    <n v="73"/>
    <n v="53113.972602739726"/>
    <n v="3877320"/>
    <n v="58"/>
    <n v="37866.206896551725"/>
    <n v="2196240"/>
    <n v="64"/>
    <n v="39625.9375"/>
    <n v="2536060"/>
    <m/>
    <m/>
    <n v="0"/>
    <n v="0"/>
    <n v="0"/>
    <n v="0"/>
    <m/>
    <m/>
    <n v="0"/>
    <m/>
    <m/>
    <n v="0"/>
    <n v="2"/>
    <n v="78440"/>
    <n v="128359.216"/>
    <n v="4"/>
    <n v="97557.5"/>
    <n v="319286.18599999999"/>
    <n v="8"/>
    <n v="60636.25"/>
    <n v="396900.63800000004"/>
    <n v="7"/>
    <n v="68788.571428571435"/>
    <n v="393979.66400000005"/>
    <n v="6"/>
    <n v="51980"/>
    <n v="255180.21600000001"/>
    <n v="3"/>
    <n v="58370"/>
    <n v="143275.00200000001"/>
    <n v="3"/>
    <n v="41666.666666666664"/>
    <n v="102275"/>
    <n v="4"/>
    <n v="45450"/>
    <n v="148748.76"/>
    <n v="0"/>
    <m/>
    <n v="0"/>
    <n v="0"/>
    <m/>
    <n v="0"/>
    <m/>
    <m/>
    <n v="0"/>
    <m/>
    <m/>
    <n v="0"/>
  </r>
  <r>
    <x v="12"/>
    <s v="University of Tennessee at Chattanooga"/>
    <m/>
    <n v="221740"/>
    <x v="2"/>
    <n v="122"/>
    <n v="83083.672131147541"/>
    <n v="10136208"/>
    <n v="127"/>
    <n v="84134.346456692918"/>
    <n v="10685062"/>
    <n v="91"/>
    <n v="64679.857142857145"/>
    <n v="5885867"/>
    <n v="92"/>
    <n v="66286.923913043473"/>
    <n v="6098396.9999999991"/>
    <n v="78"/>
    <n v="55552.794871794875"/>
    <n v="4333118"/>
    <n v="78"/>
    <n v="55790.076923076922"/>
    <n v="4351626"/>
    <n v="6"/>
    <n v="42127.333333333336"/>
    <n v="252764"/>
    <n v="9"/>
    <n v="44281.777777777781"/>
    <n v="398536"/>
    <n v="88"/>
    <n v="35360.022727272728"/>
    <n v="3111682"/>
    <n v="86"/>
    <n v="36854.906976744183"/>
    <n v="3169522"/>
    <m/>
    <m/>
    <n v="0"/>
    <m/>
    <m/>
    <n v="0"/>
    <n v="34"/>
    <n v="108408.29411764706"/>
    <n v="3015788.6524"/>
    <n v="29"/>
    <n v="120908"/>
    <n v="2868880.8424"/>
    <n v="16"/>
    <n v="77770.75"/>
    <n v="1018112.4424000001"/>
    <n v="8"/>
    <n v="80777.375"/>
    <n v="528736.38580000005"/>
    <n v="10"/>
    <n v="64489.2"/>
    <n v="527650.63439999998"/>
    <n v="3"/>
    <n v="65171"/>
    <n v="159968.7366"/>
    <n v="0"/>
    <m/>
    <n v="0"/>
    <n v="2"/>
    <n v="61190"/>
    <n v="100131.31600000001"/>
    <n v="5"/>
    <n v="56055.6"/>
    <n v="229323.4596"/>
    <n v="3"/>
    <n v="68315.666666666672"/>
    <n v="167687.6354"/>
    <m/>
    <m/>
    <n v="0"/>
    <m/>
    <m/>
    <n v="0"/>
  </r>
  <r>
    <x v="12"/>
    <s v="University of Tennessee at Martin"/>
    <s v="Met the criteria for Four-Year 4 in 2011-12."/>
    <n v="221768"/>
    <x v="4"/>
    <n v="63"/>
    <n v="72727.079365079364"/>
    <n v="4581806"/>
    <n v="59"/>
    <n v="74251.932203389835"/>
    <n v="4380864"/>
    <n v="51"/>
    <n v="58615.431372549021"/>
    <n v="2989387"/>
    <n v="59"/>
    <n v="62653.694915254237"/>
    <n v="3696568"/>
    <n v="77"/>
    <n v="52847.207792207795"/>
    <n v="4069235"/>
    <n v="76"/>
    <n v="53750.789473684214"/>
    <n v="4085060"/>
    <n v="14"/>
    <n v="46115.642857142855"/>
    <n v="645619"/>
    <n v="16"/>
    <n v="49570.5"/>
    <n v="793128"/>
    <n v="45"/>
    <n v="42352.555555555555"/>
    <n v="1905865"/>
    <n v="34"/>
    <n v="43116.26470588235"/>
    <n v="1465953"/>
    <m/>
    <m/>
    <n v="0"/>
    <m/>
    <m/>
    <n v="0"/>
    <n v="15"/>
    <n v="93832.8"/>
    <n v="1151609.9544000002"/>
    <n v="17"/>
    <n v="93721.882352941175"/>
    <n v="1303615.1504000002"/>
    <n v="6"/>
    <n v="75199.166666666672"/>
    <n v="369167.74900000001"/>
    <n v="5"/>
    <n v="76221.8"/>
    <n v="311823.38380000001"/>
    <n v="4"/>
    <n v="67961.25"/>
    <n v="222423.579"/>
    <n v="3"/>
    <n v="77128.333333333328"/>
    <n v="189319.20699999999"/>
    <n v="3"/>
    <n v="48851.666666666664"/>
    <n v="119911.30100000001"/>
    <n v="3"/>
    <n v="50305"/>
    <n v="123478.65300000001"/>
    <n v="0"/>
    <m/>
    <n v="0"/>
    <m/>
    <m/>
    <n v="0"/>
    <m/>
    <m/>
    <n v="0"/>
    <m/>
    <m/>
    <n v="0"/>
  </r>
  <r>
    <x v="12"/>
    <s v="Chattanooga State Technical Community College "/>
    <m/>
    <n v="219824"/>
    <x v="6"/>
    <n v="20"/>
    <n v="56438.35"/>
    <n v="1128767"/>
    <n v="21"/>
    <n v="57846.761904761908"/>
    <n v="1214782"/>
    <n v="72"/>
    <n v="50225.972222222219"/>
    <n v="3616270"/>
    <n v="71"/>
    <n v="51502.239436619719"/>
    <n v="3656659"/>
    <n v="39"/>
    <n v="45207.205128205125"/>
    <n v="1763081"/>
    <n v="40"/>
    <n v="46062.15"/>
    <n v="1842486"/>
    <n v="22"/>
    <n v="41282.86363636364"/>
    <n v="908223.00000000012"/>
    <n v="23"/>
    <n v="42418.956521739128"/>
    <n v="975636"/>
    <m/>
    <m/>
    <n v="0"/>
    <n v="0"/>
    <n v="0"/>
    <n v="0"/>
    <m/>
    <m/>
    <n v="0"/>
    <m/>
    <m/>
    <n v="0"/>
    <n v="5"/>
    <n v="75486.600000000006"/>
    <n v="308815.68060000002"/>
    <n v="5"/>
    <n v="74584.600000000006"/>
    <n v="305125.59860000003"/>
    <n v="16"/>
    <n v="62209.3125"/>
    <n v="814394.55180000002"/>
    <n v="16"/>
    <n v="63801.75"/>
    <n v="835241.46960000007"/>
    <n v="7"/>
    <n v="56374.285714285717"/>
    <n v="322878.08400000003"/>
    <n v="6"/>
    <n v="59031.666666666664"/>
    <n v="289798.25800000003"/>
    <n v="43"/>
    <n v="48189.953488372092"/>
    <n v="1695447.8576"/>
    <n v="48"/>
    <n v="50468.4375"/>
    <n v="1982077.2270000002"/>
    <n v="0"/>
    <m/>
    <n v="0"/>
    <m/>
    <m/>
    <n v="0"/>
    <m/>
    <m/>
    <n v="0"/>
    <m/>
    <m/>
    <n v="0"/>
  </r>
  <r>
    <x v="12"/>
    <s v="Nashville State Technical Community College"/>
    <s v="Reclassified: Met the criteria for Two-year 1 in 2009-10, 2010-11, and 2011-12."/>
    <n v="221184"/>
    <x v="6"/>
    <n v="6"/>
    <n v="59204.5"/>
    <n v="355227"/>
    <n v="6"/>
    <n v="62597.166666666664"/>
    <n v="375583"/>
    <n v="40"/>
    <n v="50635.425000000003"/>
    <n v="2025417"/>
    <n v="44"/>
    <n v="52024.38636363636"/>
    <n v="2289073"/>
    <n v="33"/>
    <n v="40660.393939393936"/>
    <n v="1341793"/>
    <n v="38"/>
    <n v="42754.105263157893"/>
    <n v="1624656"/>
    <n v="80"/>
    <n v="38752.912499999999"/>
    <n v="3100233"/>
    <n v="78"/>
    <n v="40587.153846153844"/>
    <n v="3165798"/>
    <m/>
    <m/>
    <n v="0"/>
    <n v="0"/>
    <n v="0"/>
    <n v="0"/>
    <m/>
    <m/>
    <n v="0"/>
    <m/>
    <m/>
    <n v="0"/>
    <n v="0"/>
    <m/>
    <n v="0"/>
    <n v="0"/>
    <m/>
    <n v="0"/>
    <n v="0"/>
    <m/>
    <n v="0"/>
    <n v="0"/>
    <m/>
    <n v="0"/>
    <n v="0"/>
    <m/>
    <n v="0"/>
    <n v="0"/>
    <m/>
    <n v="0"/>
    <n v="2"/>
    <n v="63369.5"/>
    <n v="103697.84980000001"/>
    <n v="1"/>
    <n v="62123"/>
    <n v="50829.0386"/>
    <n v="0"/>
    <m/>
    <n v="0"/>
    <m/>
    <m/>
    <n v="0"/>
    <m/>
    <m/>
    <n v="0"/>
    <m/>
    <m/>
    <n v="0"/>
  </r>
  <r>
    <x v="12"/>
    <s v="Pellissippi State Technical Community College"/>
    <m/>
    <n v="221643"/>
    <x v="6"/>
    <n v="36"/>
    <n v="58101.944444444445"/>
    <n v="2091670"/>
    <n v="40"/>
    <n v="60171.25"/>
    <n v="2406850"/>
    <n v="104"/>
    <n v="50676.923076923078"/>
    <n v="5270400"/>
    <n v="93"/>
    <n v="52351.182795698922"/>
    <n v="4868660"/>
    <n v="21"/>
    <n v="41504.285714285717"/>
    <n v="871590.00000000012"/>
    <n v="26"/>
    <n v="42385"/>
    <n v="1102010"/>
    <n v="28"/>
    <n v="31644.642857142859"/>
    <n v="886050"/>
    <n v="55"/>
    <n v="35944.909090909088"/>
    <n v="1976969.9999999998"/>
    <m/>
    <m/>
    <n v="0"/>
    <n v="0"/>
    <n v="0"/>
    <n v="0"/>
    <m/>
    <m/>
    <n v="0"/>
    <m/>
    <m/>
    <n v="0"/>
    <n v="4"/>
    <n v="80985"/>
    <n v="265047.70799999998"/>
    <n v="5"/>
    <n v="80728"/>
    <n v="330258.24800000002"/>
    <n v="2"/>
    <n v="59335"/>
    <n v="97095.794000000009"/>
    <n v="1"/>
    <n v="62860"/>
    <n v="51432.052000000003"/>
    <n v="0"/>
    <m/>
    <n v="0"/>
    <n v="0"/>
    <m/>
    <n v="0"/>
    <n v="0"/>
    <m/>
    <n v="0"/>
    <n v="1"/>
    <n v="47010"/>
    <n v="38463.582000000002"/>
    <n v="0"/>
    <m/>
    <n v="0"/>
    <m/>
    <m/>
    <n v="0"/>
    <m/>
    <m/>
    <n v="0"/>
    <m/>
    <m/>
    <n v="0"/>
  </r>
  <r>
    <x v="12"/>
    <s v="Southwest Tennessee Community College"/>
    <m/>
    <n v="221485"/>
    <x v="6"/>
    <n v="20"/>
    <n v="59155.8"/>
    <n v="1183116"/>
    <n v="14"/>
    <n v="59395.714285714283"/>
    <n v="831540"/>
    <n v="92"/>
    <n v="49923"/>
    <n v="4592916"/>
    <n v="88"/>
    <n v="44515.772727272728"/>
    <n v="3917388"/>
    <n v="57"/>
    <n v="41491.57894736842"/>
    <n v="2365020"/>
    <n v="52"/>
    <n v="42049.711538461539"/>
    <n v="2186585"/>
    <n v="44"/>
    <n v="34743.545454545456"/>
    <n v="1528716"/>
    <n v="52"/>
    <n v="33444.711538461539"/>
    <n v="1739125"/>
    <m/>
    <m/>
    <n v="0"/>
    <n v="0"/>
    <n v="0"/>
    <n v="0"/>
    <m/>
    <m/>
    <n v="0"/>
    <m/>
    <m/>
    <n v="0"/>
    <n v="2"/>
    <n v="74652"/>
    <n v="122160.5328"/>
    <n v="3"/>
    <n v="80176"/>
    <n v="196800.00960000002"/>
    <n v="11"/>
    <n v="64890.545454545456"/>
    <n v="584027.8872"/>
    <n v="9"/>
    <n v="61369.333333333336"/>
    <n v="451911.49680000002"/>
    <n v="2"/>
    <n v="48930"/>
    <n v="80069.052000000011"/>
    <n v="0"/>
    <m/>
    <n v="0"/>
    <n v="0"/>
    <m/>
    <n v="0"/>
    <n v="0"/>
    <m/>
    <n v="0"/>
    <n v="0"/>
    <m/>
    <n v="0"/>
    <m/>
    <m/>
    <n v="0"/>
    <m/>
    <m/>
    <n v="0"/>
    <m/>
    <m/>
    <n v="0"/>
  </r>
  <r>
    <x v="12"/>
    <s v="Volunteer State Community College "/>
    <s v="Reclassified: Met the criteria for Two-year 1 in 2009-10, 2010-11, and 2011-12."/>
    <n v="222053"/>
    <x v="6"/>
    <n v="17"/>
    <n v="56103.529411764706"/>
    <n v="953760"/>
    <n v="17"/>
    <n v="58663.882352941175"/>
    <n v="997286"/>
    <n v="69"/>
    <n v="48442.014492753624"/>
    <n v="3342499"/>
    <n v="71"/>
    <n v="50910.816901408449"/>
    <n v="3614668"/>
    <n v="13"/>
    <n v="40563.153846153844"/>
    <n v="527321"/>
    <n v="10"/>
    <n v="42276.7"/>
    <n v="422767"/>
    <n v="25"/>
    <n v="38847.599999999999"/>
    <n v="971190"/>
    <n v="24"/>
    <n v="39733.75"/>
    <n v="953610"/>
    <m/>
    <m/>
    <n v="0"/>
    <n v="0"/>
    <n v="0"/>
    <n v="0"/>
    <m/>
    <m/>
    <n v="0"/>
    <m/>
    <m/>
    <n v="0"/>
    <n v="0"/>
    <m/>
    <n v="0"/>
    <n v="1"/>
    <n v="67378"/>
    <n v="55128.679600000003"/>
    <n v="11"/>
    <n v="62569.090909090912"/>
    <n v="563134.33200000005"/>
    <n v="10"/>
    <n v="59015.3"/>
    <n v="482863.18460000004"/>
    <n v="4"/>
    <n v="57639.5"/>
    <n v="188642.55560000002"/>
    <n v="6"/>
    <n v="63294"/>
    <n v="310722.90480000002"/>
    <n v="12"/>
    <n v="56313"/>
    <n v="552903.55920000002"/>
    <n v="13"/>
    <n v="58222.076923076922"/>
    <n v="619284.94339999999"/>
    <n v="0"/>
    <m/>
    <n v="0"/>
    <m/>
    <m/>
    <n v="0"/>
    <m/>
    <m/>
    <n v="0"/>
    <m/>
    <m/>
    <n v="0"/>
  </r>
  <r>
    <x v="12"/>
    <s v="Cleveland State Community College "/>
    <m/>
    <n v="219879"/>
    <x v="7"/>
    <n v="5"/>
    <n v="56745.599999999999"/>
    <n v="283728"/>
    <n v="5"/>
    <n v="59635.199999999997"/>
    <n v="298176"/>
    <n v="31"/>
    <n v="47876.838709677417"/>
    <n v="1484182"/>
    <n v="29"/>
    <n v="48309.517241379312"/>
    <n v="1400976"/>
    <n v="14"/>
    <n v="36373.714285714283"/>
    <n v="509231.99999999994"/>
    <n v="13"/>
    <n v="37989.230769230766"/>
    <n v="493859.99999999994"/>
    <n v="18"/>
    <n v="36252.777777777781"/>
    <n v="652550"/>
    <n v="19"/>
    <n v="36528.315789473687"/>
    <n v="694038"/>
    <m/>
    <m/>
    <n v="0"/>
    <n v="0"/>
    <n v="0"/>
    <n v="0"/>
    <m/>
    <m/>
    <n v="0"/>
    <m/>
    <m/>
    <n v="0"/>
    <n v="0"/>
    <m/>
    <n v="0"/>
    <n v="0"/>
    <m/>
    <n v="0"/>
    <n v="1"/>
    <n v="70156"/>
    <n v="57401.639200000005"/>
    <n v="1"/>
    <n v="73716"/>
    <n v="60314.431200000006"/>
    <n v="1"/>
    <n v="42092"/>
    <n v="34439.674400000004"/>
    <n v="2"/>
    <n v="47184"/>
    <n v="77211.897599999997"/>
    <n v="2"/>
    <n v="44168"/>
    <n v="72276.515200000009"/>
    <n v="1"/>
    <n v="43212"/>
    <n v="35356.058400000002"/>
    <n v="0"/>
    <m/>
    <n v="0"/>
    <m/>
    <m/>
    <n v="0"/>
    <m/>
    <m/>
    <n v="0"/>
    <m/>
    <m/>
    <n v="0"/>
  </r>
  <r>
    <x v="12"/>
    <s v="Columbia State Community College "/>
    <m/>
    <n v="219888"/>
    <x v="7"/>
    <n v="12"/>
    <n v="68074.166666666672"/>
    <n v="816890"/>
    <n v="12"/>
    <n v="68141.666666666672"/>
    <n v="817700"/>
    <n v="31"/>
    <n v="51918.709677419356"/>
    <n v="1609480"/>
    <n v="34"/>
    <n v="50027.352941176468"/>
    <n v="1700930"/>
    <n v="17"/>
    <n v="41054.117647058825"/>
    <n v="697920"/>
    <n v="21"/>
    <n v="42567.095238095237"/>
    <n v="893909"/>
    <n v="16"/>
    <n v="37459.375"/>
    <n v="599350"/>
    <n v="18"/>
    <n v="37223.666666666664"/>
    <n v="670026"/>
    <n v="6"/>
    <n v="38756.666666666664"/>
    <n v="232540"/>
    <n v="0"/>
    <n v="0"/>
    <n v="0"/>
    <m/>
    <m/>
    <n v="0"/>
    <m/>
    <m/>
    <n v="0"/>
    <n v="0"/>
    <m/>
    <n v="0"/>
    <n v="0"/>
    <m/>
    <n v="0"/>
    <n v="5"/>
    <n v="72558"/>
    <n v="296834.77799999999"/>
    <n v="6"/>
    <n v="71275"/>
    <n v="349903.23000000004"/>
    <n v="2"/>
    <n v="55935"/>
    <n v="91532.034"/>
    <n v="3"/>
    <n v="61200"/>
    <n v="150221.52000000002"/>
    <n v="3"/>
    <n v="47156.666666666664"/>
    <n v="115750.754"/>
    <n v="3"/>
    <n v="46460"/>
    <n v="114040.716"/>
    <n v="1"/>
    <n v="45000"/>
    <n v="36819"/>
    <m/>
    <m/>
    <n v="0"/>
    <m/>
    <m/>
    <n v="0"/>
    <m/>
    <m/>
    <n v="0"/>
  </r>
  <r>
    <x v="12"/>
    <s v="Dyersburg State Community College "/>
    <s v="Reclassified: Met the criteria for Two-year 2 in 2009-10, 2010-11, and 2011-12."/>
    <n v="220057"/>
    <x v="7"/>
    <n v="8"/>
    <n v="54973.625"/>
    <n v="439789"/>
    <n v="10"/>
    <n v="57625.8"/>
    <n v="576258"/>
    <n v="17"/>
    <n v="47055.76470588235"/>
    <n v="799948"/>
    <n v="16"/>
    <n v="50811.125"/>
    <n v="812978"/>
    <n v="8"/>
    <n v="41888.25"/>
    <n v="335106"/>
    <n v="9"/>
    <n v="48179.222222222219"/>
    <n v="433613"/>
    <n v="13"/>
    <n v="42168.461538461539"/>
    <n v="548190"/>
    <n v="16"/>
    <n v="45648.625"/>
    <n v="730378"/>
    <m/>
    <m/>
    <n v="0"/>
    <n v="0"/>
    <n v="0"/>
    <n v="0"/>
    <m/>
    <m/>
    <n v="0"/>
    <m/>
    <m/>
    <n v="0"/>
    <n v="1"/>
    <n v="74313"/>
    <n v="60802.8966"/>
    <n v="0"/>
    <m/>
    <n v="0"/>
    <n v="4"/>
    <n v="61117"/>
    <n v="200023.7176"/>
    <n v="3"/>
    <n v="61488.666666666664"/>
    <n v="150930.08120000002"/>
    <n v="0"/>
    <m/>
    <n v="0"/>
    <n v="0"/>
    <m/>
    <n v="0"/>
    <n v="2"/>
    <n v="49826.5"/>
    <n v="81536.084600000002"/>
    <n v="5"/>
    <n v="51454.8"/>
    <n v="210501.58680000002"/>
    <n v="0"/>
    <m/>
    <n v="0"/>
    <m/>
    <m/>
    <n v="0"/>
    <m/>
    <m/>
    <n v="0"/>
    <m/>
    <m/>
    <n v="0"/>
  </r>
  <r>
    <x v="12"/>
    <s v="Jackson State Community College "/>
    <m/>
    <n v="220400"/>
    <x v="7"/>
    <n v="8"/>
    <n v="59114.875"/>
    <n v="472919"/>
    <n v="11"/>
    <n v="60192.36363636364"/>
    <n v="662116"/>
    <n v="32"/>
    <n v="49783.5"/>
    <n v="1593072"/>
    <n v="42"/>
    <n v="49756.095238095237"/>
    <n v="2089756"/>
    <n v="30"/>
    <n v="42881.8"/>
    <n v="1286454"/>
    <n v="19"/>
    <n v="41018.105263157893"/>
    <n v="779344"/>
    <n v="11"/>
    <n v="42476.63636363636"/>
    <n v="467242.99999999994"/>
    <n v="8"/>
    <n v="38366.75"/>
    <n v="306934"/>
    <n v="1"/>
    <n v="39434"/>
    <n v="39434"/>
    <n v="0"/>
    <n v="0"/>
    <n v="0"/>
    <m/>
    <m/>
    <n v="0"/>
    <m/>
    <m/>
    <n v="0"/>
    <n v="1"/>
    <n v="79567"/>
    <n v="65101.719400000002"/>
    <n v="1"/>
    <n v="81954"/>
    <n v="67054.762799999997"/>
    <n v="7"/>
    <n v="64925"/>
    <n v="371851.44500000001"/>
    <n v="10"/>
    <n v="65168.3"/>
    <n v="533207.03060000006"/>
    <n v="5"/>
    <n v="52896.2"/>
    <n v="216398.3542"/>
    <n v="1"/>
    <n v="51124"/>
    <n v="41829.656800000004"/>
    <n v="1"/>
    <n v="47358"/>
    <n v="38748.315600000002"/>
    <n v="1"/>
    <n v="48779"/>
    <n v="39910.977800000001"/>
    <n v="0"/>
    <m/>
    <n v="0"/>
    <m/>
    <m/>
    <n v="0"/>
    <m/>
    <m/>
    <n v="0"/>
    <m/>
    <m/>
    <n v="0"/>
  </r>
  <r>
    <x v="12"/>
    <s v="Motlow State Community College "/>
    <m/>
    <n v="221096"/>
    <x v="7"/>
    <n v="11"/>
    <n v="64407.545454545456"/>
    <n v="708483"/>
    <n v="11"/>
    <n v="66597.636363636368"/>
    <n v="732574"/>
    <n v="20"/>
    <n v="45613"/>
    <n v="912260"/>
    <n v="19"/>
    <n v="47884.684210526313"/>
    <n v="909809"/>
    <n v="18"/>
    <n v="39067.222222222219"/>
    <n v="703210"/>
    <n v="20"/>
    <n v="42055.6"/>
    <n v="841112"/>
    <n v="27"/>
    <n v="37017.666666666664"/>
    <n v="999476.99999999988"/>
    <n v="30"/>
    <n v="38456.966666666667"/>
    <n v="1153709"/>
    <m/>
    <m/>
    <n v="0"/>
    <n v="0"/>
    <n v="0"/>
    <n v="0"/>
    <m/>
    <m/>
    <n v="0"/>
    <m/>
    <m/>
    <n v="0"/>
    <n v="0"/>
    <m/>
    <n v="0"/>
    <n v="0"/>
    <m/>
    <n v="0"/>
    <n v="0"/>
    <m/>
    <n v="0"/>
    <n v="0"/>
    <m/>
    <n v="0"/>
    <n v="0"/>
    <m/>
    <n v="0"/>
    <n v="0"/>
    <m/>
    <n v="0"/>
    <n v="0"/>
    <m/>
    <n v="0"/>
    <n v="1"/>
    <n v="57000"/>
    <n v="46637.4"/>
    <n v="0"/>
    <m/>
    <n v="0"/>
    <m/>
    <m/>
    <n v="0"/>
    <m/>
    <m/>
    <n v="0"/>
    <m/>
    <m/>
    <n v="0"/>
  </r>
  <r>
    <x v="12"/>
    <s v="Northeast State Technical Community College"/>
    <m/>
    <n v="221908"/>
    <x v="7"/>
    <n v="10"/>
    <n v="51010.8"/>
    <n v="510108"/>
    <n v="10"/>
    <n v="52119.7"/>
    <n v="521197"/>
    <n v="30"/>
    <n v="45312.533333333333"/>
    <n v="1359376"/>
    <n v="34"/>
    <n v="45232.558823529413"/>
    <n v="1537907"/>
    <n v="33"/>
    <n v="36780.454545454544"/>
    <n v="1213755"/>
    <n v="28"/>
    <n v="38566.607142857145"/>
    <n v="1079865"/>
    <n v="27"/>
    <n v="36885.925925925927"/>
    <n v="995920"/>
    <n v="31"/>
    <n v="38055.806451612902"/>
    <n v="1179730"/>
    <m/>
    <m/>
    <n v="0"/>
    <n v="0"/>
    <n v="0"/>
    <n v="0"/>
    <m/>
    <m/>
    <n v="0"/>
    <m/>
    <m/>
    <n v="0"/>
    <n v="2"/>
    <n v="69285"/>
    <n v="113377.974"/>
    <n v="2"/>
    <n v="71633"/>
    <n v="117220.2412"/>
    <n v="5"/>
    <n v="68258.2"/>
    <n v="279244.29620000004"/>
    <n v="9"/>
    <n v="72328.666666666672"/>
    <n v="532613.83559999999"/>
    <n v="3"/>
    <n v="72654.333333333328"/>
    <n v="178337.3266"/>
    <n v="2"/>
    <n v="54452"/>
    <n v="89105.252800000002"/>
    <n v="1"/>
    <n v="48527"/>
    <n v="39704.791400000002"/>
    <n v="4"/>
    <n v="37043.5"/>
    <n v="121235.96680000001"/>
    <n v="0"/>
    <m/>
    <n v="0"/>
    <m/>
    <m/>
    <n v="0"/>
    <m/>
    <m/>
    <n v="0"/>
    <m/>
    <m/>
    <n v="0"/>
  </r>
  <r>
    <x v="12"/>
    <s v="Roane State Community College "/>
    <m/>
    <n v="221397"/>
    <x v="7"/>
    <n v="36"/>
    <n v="58101.944444444445"/>
    <n v="2091670"/>
    <n v="15"/>
    <n v="58932.666666666664"/>
    <n v="883990"/>
    <n v="104"/>
    <n v="50676.923076923078"/>
    <n v="5270400"/>
    <n v="66"/>
    <n v="51251.772727272728"/>
    <n v="3382617"/>
    <n v="21"/>
    <n v="41504.285714285717"/>
    <n v="871590.00000000012"/>
    <n v="26"/>
    <n v="44338"/>
    <n v="1152788"/>
    <n v="28"/>
    <n v="31644.642857142859"/>
    <n v="886050"/>
    <n v="5"/>
    <n v="41595.4"/>
    <n v="207977"/>
    <m/>
    <m/>
    <n v="0"/>
    <n v="0"/>
    <n v="0"/>
    <n v="0"/>
    <m/>
    <m/>
    <n v="0"/>
    <m/>
    <m/>
    <n v="0"/>
    <n v="4"/>
    <n v="80985"/>
    <n v="265047.70799999998"/>
    <n v="2"/>
    <n v="84649.5"/>
    <n v="138520.4418"/>
    <n v="2"/>
    <n v="59335"/>
    <n v="97095.794000000009"/>
    <n v="6"/>
    <n v="64609.833333333336"/>
    <n v="317182.59380000003"/>
    <n v="0"/>
    <m/>
    <n v="0"/>
    <n v="5"/>
    <n v="51710.6"/>
    <n v="211548.06460000001"/>
    <n v="0"/>
    <m/>
    <n v="0"/>
    <n v="1"/>
    <n v="53632"/>
    <n v="43881.702400000002"/>
    <n v="0"/>
    <m/>
    <n v="0"/>
    <m/>
    <m/>
    <n v="0"/>
    <m/>
    <m/>
    <n v="0"/>
    <m/>
    <m/>
    <n v="0"/>
  </r>
  <r>
    <x v="12"/>
    <s v="Walters State Community College "/>
    <m/>
    <n v="222062"/>
    <x v="7"/>
    <n v="13"/>
    <n v="60192.692307692305"/>
    <n v="782505"/>
    <n v="14"/>
    <n v="61557.928571428572"/>
    <n v="861811"/>
    <n v="63"/>
    <n v="50122.968253968254"/>
    <n v="3157747"/>
    <n v="67"/>
    <n v="50871.805970149253"/>
    <n v="3408411"/>
    <n v="30"/>
    <n v="44621.366666666669"/>
    <n v="1338641"/>
    <n v="27"/>
    <n v="45834.407407407409"/>
    <n v="1237529"/>
    <n v="19"/>
    <n v="36542.15789473684"/>
    <n v="694301"/>
    <n v="17"/>
    <n v="37392.823529411762"/>
    <n v="635678"/>
    <m/>
    <m/>
    <n v="0"/>
    <n v="0"/>
    <n v="0"/>
    <n v="0"/>
    <m/>
    <m/>
    <n v="0"/>
    <m/>
    <m/>
    <n v="0"/>
    <n v="6"/>
    <n v="81059.333333333328"/>
    <n v="397936.4792"/>
    <n v="6"/>
    <n v="83491"/>
    <n v="409874.0172"/>
    <n v="13"/>
    <n v="64530.692307692305"/>
    <n v="686387.1618"/>
    <n v="14"/>
    <n v="67577.071428571435"/>
    <n v="774081.8378000001"/>
    <n v="6"/>
    <n v="58246.666666666664"/>
    <n v="285944.53600000002"/>
    <n v="5"/>
    <n v="57370.8"/>
    <n v="234703.94280000002"/>
    <n v="4"/>
    <n v="47725.25"/>
    <n v="156195.19820000001"/>
    <n v="5"/>
    <n v="48817"/>
    <n v="199710.34700000001"/>
    <n v="0"/>
    <m/>
    <n v="0"/>
    <m/>
    <m/>
    <n v="0"/>
    <m/>
    <m/>
    <n v="0"/>
    <m/>
    <m/>
    <n v="0"/>
  </r>
  <r>
    <x v="12"/>
    <s v="Tennessee Technology Center at Athens"/>
    <m/>
    <n v="219596"/>
    <x v="10"/>
    <m/>
    <m/>
    <n v="0"/>
    <m/>
    <m/>
    <n v="0"/>
    <m/>
    <m/>
    <n v="0"/>
    <m/>
    <m/>
    <n v="0"/>
    <m/>
    <m/>
    <n v="0"/>
    <m/>
    <m/>
    <n v="0"/>
    <m/>
    <m/>
    <n v="0"/>
    <m/>
    <m/>
    <n v="0"/>
    <m/>
    <m/>
    <n v="0"/>
    <m/>
    <m/>
    <n v="0"/>
    <m/>
    <m/>
    <n v="0"/>
    <m/>
    <m/>
    <n v="0"/>
    <m/>
    <m/>
    <n v="0"/>
    <m/>
    <m/>
    <n v="0"/>
    <m/>
    <m/>
    <n v="0"/>
    <m/>
    <m/>
    <n v="0"/>
    <m/>
    <m/>
    <n v="0"/>
    <m/>
    <m/>
    <n v="0"/>
    <m/>
    <m/>
    <n v="0"/>
    <m/>
    <m/>
    <n v="0"/>
    <m/>
    <m/>
    <n v="0"/>
    <m/>
    <m/>
    <n v="0"/>
    <n v="13"/>
    <n v="43593.923076923078"/>
    <n v="463691.12220000004"/>
    <n v="12"/>
    <n v="44337.916666666664"/>
    <n v="435327.40100000001"/>
  </r>
  <r>
    <x v="12"/>
    <s v="Tennessee Technology Center at Chattanooga"/>
    <s v="Met the criteria for Technical Institute or College 1 in 2010-11 and 2011-12."/>
    <s v="219824B"/>
    <x v="10"/>
    <m/>
    <m/>
    <n v="0"/>
    <m/>
    <m/>
    <n v="0"/>
    <m/>
    <m/>
    <n v="0"/>
    <m/>
    <m/>
    <n v="0"/>
    <m/>
    <m/>
    <n v="0"/>
    <m/>
    <m/>
    <n v="0"/>
    <m/>
    <m/>
    <n v="0"/>
    <m/>
    <m/>
    <n v="0"/>
    <m/>
    <m/>
    <n v="0"/>
    <m/>
    <m/>
    <n v="0"/>
    <m/>
    <m/>
    <n v="0"/>
    <m/>
    <m/>
    <n v="0"/>
    <m/>
    <m/>
    <n v="0"/>
    <m/>
    <m/>
    <n v="0"/>
    <m/>
    <m/>
    <n v="0"/>
    <m/>
    <m/>
    <n v="0"/>
    <m/>
    <m/>
    <n v="0"/>
    <m/>
    <m/>
    <n v="0"/>
    <m/>
    <m/>
    <n v="0"/>
    <m/>
    <m/>
    <n v="0"/>
    <m/>
    <m/>
    <n v="0"/>
    <m/>
    <m/>
    <n v="0"/>
    <n v="40"/>
    <n v="47048.85"/>
    <n v="1539814.7628000001"/>
    <n v="37"/>
    <n v="48975.891891891893"/>
    <n v="1482666.7656"/>
  </r>
  <r>
    <x v="12"/>
    <s v="Tennessee Technology Center at Covington"/>
    <m/>
    <n v="219921"/>
    <x v="10"/>
    <m/>
    <m/>
    <n v="0"/>
    <m/>
    <m/>
    <n v="0"/>
    <m/>
    <m/>
    <n v="0"/>
    <m/>
    <m/>
    <n v="0"/>
    <m/>
    <m/>
    <n v="0"/>
    <m/>
    <m/>
    <n v="0"/>
    <m/>
    <m/>
    <n v="0"/>
    <m/>
    <m/>
    <n v="0"/>
    <m/>
    <m/>
    <n v="0"/>
    <m/>
    <m/>
    <n v="0"/>
    <m/>
    <m/>
    <n v="0"/>
    <m/>
    <m/>
    <n v="0"/>
    <m/>
    <m/>
    <n v="0"/>
    <m/>
    <m/>
    <n v="0"/>
    <m/>
    <m/>
    <n v="0"/>
    <m/>
    <m/>
    <n v="0"/>
    <m/>
    <m/>
    <n v="0"/>
    <m/>
    <m/>
    <n v="0"/>
    <m/>
    <m/>
    <n v="0"/>
    <m/>
    <m/>
    <n v="0"/>
    <m/>
    <m/>
    <n v="0"/>
    <m/>
    <m/>
    <n v="0"/>
    <n v="10"/>
    <n v="43731.3"/>
    <n v="357809.49660000001"/>
    <n v="10"/>
    <n v="42931.3"/>
    <n v="351263.89660000004"/>
  </r>
  <r>
    <x v="12"/>
    <s v="Tennessee Technology Center at Crossville"/>
    <m/>
    <n v="221591"/>
    <x v="10"/>
    <m/>
    <m/>
    <n v="0"/>
    <m/>
    <m/>
    <n v="0"/>
    <m/>
    <m/>
    <n v="0"/>
    <m/>
    <m/>
    <n v="0"/>
    <m/>
    <m/>
    <n v="0"/>
    <m/>
    <m/>
    <n v="0"/>
    <m/>
    <m/>
    <n v="0"/>
    <m/>
    <m/>
    <n v="0"/>
    <m/>
    <m/>
    <n v="0"/>
    <m/>
    <m/>
    <n v="0"/>
    <m/>
    <m/>
    <n v="0"/>
    <m/>
    <m/>
    <n v="0"/>
    <m/>
    <m/>
    <n v="0"/>
    <m/>
    <m/>
    <n v="0"/>
    <m/>
    <m/>
    <n v="0"/>
    <m/>
    <m/>
    <n v="0"/>
    <m/>
    <m/>
    <n v="0"/>
    <m/>
    <m/>
    <n v="0"/>
    <m/>
    <m/>
    <n v="0"/>
    <m/>
    <m/>
    <n v="0"/>
    <m/>
    <m/>
    <n v="0"/>
    <m/>
    <m/>
    <n v="0"/>
    <n v="18"/>
    <n v="43940.111111111109"/>
    <n v="647132.38040000002"/>
    <n v="17"/>
    <n v="45818.117647058825"/>
    <n v="637302.52560000005"/>
  </r>
  <r>
    <x v="12"/>
    <s v="Tennessee Technology Center at Crump"/>
    <m/>
    <n v="221430"/>
    <x v="10"/>
    <m/>
    <m/>
    <n v="0"/>
    <m/>
    <m/>
    <n v="0"/>
    <m/>
    <m/>
    <n v="0"/>
    <m/>
    <m/>
    <n v="0"/>
    <m/>
    <m/>
    <n v="0"/>
    <m/>
    <m/>
    <n v="0"/>
    <m/>
    <m/>
    <n v="0"/>
    <m/>
    <m/>
    <n v="0"/>
    <m/>
    <m/>
    <n v="0"/>
    <m/>
    <m/>
    <n v="0"/>
    <m/>
    <m/>
    <n v="0"/>
    <m/>
    <m/>
    <n v="0"/>
    <m/>
    <m/>
    <n v="0"/>
    <m/>
    <m/>
    <n v="0"/>
    <m/>
    <m/>
    <n v="0"/>
    <m/>
    <m/>
    <n v="0"/>
    <m/>
    <m/>
    <n v="0"/>
    <m/>
    <m/>
    <n v="0"/>
    <m/>
    <m/>
    <n v="0"/>
    <m/>
    <m/>
    <n v="0"/>
    <m/>
    <m/>
    <n v="0"/>
    <m/>
    <m/>
    <n v="0"/>
    <n v="13"/>
    <n v="46785.076923076922"/>
    <n v="497634.14920000004"/>
    <n v="9"/>
    <n v="50073.333333333336"/>
    <n v="368730.01200000005"/>
  </r>
  <r>
    <x v="12"/>
    <s v="Tennessee Technology Center at Dickson"/>
    <m/>
    <n v="219994"/>
    <x v="10"/>
    <m/>
    <m/>
    <n v="0"/>
    <m/>
    <m/>
    <n v="0"/>
    <m/>
    <m/>
    <n v="0"/>
    <m/>
    <m/>
    <n v="0"/>
    <m/>
    <m/>
    <n v="0"/>
    <m/>
    <m/>
    <n v="0"/>
    <m/>
    <m/>
    <n v="0"/>
    <m/>
    <m/>
    <n v="0"/>
    <m/>
    <m/>
    <n v="0"/>
    <m/>
    <m/>
    <n v="0"/>
    <m/>
    <m/>
    <n v="0"/>
    <m/>
    <m/>
    <n v="0"/>
    <m/>
    <m/>
    <n v="0"/>
    <m/>
    <m/>
    <n v="0"/>
    <m/>
    <m/>
    <n v="0"/>
    <m/>
    <m/>
    <n v="0"/>
    <m/>
    <m/>
    <n v="0"/>
    <m/>
    <m/>
    <n v="0"/>
    <m/>
    <m/>
    <n v="0"/>
    <m/>
    <m/>
    <n v="0"/>
    <m/>
    <m/>
    <n v="0"/>
    <m/>
    <m/>
    <n v="0"/>
    <n v="29"/>
    <n v="44427.586206896551"/>
    <n v="1054168.8800000001"/>
    <n v="14"/>
    <n v="50077.857142857145"/>
    <n v="573631.83799999999"/>
  </r>
  <r>
    <x v="12"/>
    <s v="Tennessee Technology Center at Elizabethton"/>
    <m/>
    <n v="220127"/>
    <x v="10"/>
    <m/>
    <m/>
    <n v="0"/>
    <m/>
    <m/>
    <n v="0"/>
    <m/>
    <m/>
    <n v="0"/>
    <m/>
    <m/>
    <n v="0"/>
    <m/>
    <m/>
    <n v="0"/>
    <m/>
    <m/>
    <n v="0"/>
    <m/>
    <m/>
    <n v="0"/>
    <m/>
    <m/>
    <n v="0"/>
    <m/>
    <m/>
    <n v="0"/>
    <m/>
    <m/>
    <n v="0"/>
    <m/>
    <m/>
    <n v="0"/>
    <m/>
    <m/>
    <n v="0"/>
    <m/>
    <m/>
    <n v="0"/>
    <m/>
    <m/>
    <n v="0"/>
    <m/>
    <m/>
    <n v="0"/>
    <m/>
    <m/>
    <n v="0"/>
    <m/>
    <m/>
    <n v="0"/>
    <m/>
    <m/>
    <n v="0"/>
    <m/>
    <m/>
    <n v="0"/>
    <m/>
    <m/>
    <n v="0"/>
    <m/>
    <m/>
    <n v="0"/>
    <m/>
    <m/>
    <n v="0"/>
    <n v="18"/>
    <n v="44983.944444444445"/>
    <n v="662505.54020000005"/>
    <n v="17"/>
    <n v="47044.176470588238"/>
    <n v="654356.26820000005"/>
  </r>
  <r>
    <x v="12"/>
    <s v="Tennessee Technology Center at Harriman"/>
    <m/>
    <n v="220251"/>
    <x v="10"/>
    <m/>
    <m/>
    <n v="0"/>
    <m/>
    <m/>
    <n v="0"/>
    <m/>
    <m/>
    <n v="0"/>
    <m/>
    <m/>
    <n v="0"/>
    <m/>
    <m/>
    <n v="0"/>
    <m/>
    <m/>
    <n v="0"/>
    <m/>
    <m/>
    <n v="0"/>
    <m/>
    <m/>
    <n v="0"/>
    <m/>
    <m/>
    <n v="0"/>
    <m/>
    <m/>
    <n v="0"/>
    <m/>
    <m/>
    <n v="0"/>
    <m/>
    <m/>
    <n v="0"/>
    <m/>
    <m/>
    <n v="0"/>
    <m/>
    <m/>
    <n v="0"/>
    <m/>
    <m/>
    <n v="0"/>
    <m/>
    <m/>
    <n v="0"/>
    <m/>
    <m/>
    <n v="0"/>
    <m/>
    <m/>
    <n v="0"/>
    <m/>
    <m/>
    <n v="0"/>
    <m/>
    <m/>
    <n v="0"/>
    <m/>
    <m/>
    <n v="0"/>
    <m/>
    <m/>
    <n v="0"/>
    <n v="11"/>
    <n v="40455.818181818184"/>
    <n v="364110.45480000001"/>
    <n v="12"/>
    <n v="42740.166666666664"/>
    <n v="419640.05240000004"/>
  </r>
  <r>
    <x v="12"/>
    <s v="Tennessee Technology Center at Hartsville"/>
    <m/>
    <n v="220279"/>
    <x v="10"/>
    <m/>
    <m/>
    <n v="0"/>
    <m/>
    <m/>
    <n v="0"/>
    <m/>
    <m/>
    <n v="0"/>
    <m/>
    <m/>
    <n v="0"/>
    <m/>
    <m/>
    <n v="0"/>
    <m/>
    <m/>
    <n v="0"/>
    <m/>
    <m/>
    <n v="0"/>
    <m/>
    <m/>
    <n v="0"/>
    <m/>
    <m/>
    <n v="0"/>
    <m/>
    <m/>
    <n v="0"/>
    <m/>
    <m/>
    <n v="0"/>
    <m/>
    <m/>
    <n v="0"/>
    <m/>
    <m/>
    <n v="0"/>
    <m/>
    <m/>
    <n v="0"/>
    <m/>
    <m/>
    <n v="0"/>
    <m/>
    <m/>
    <n v="0"/>
    <m/>
    <m/>
    <n v="0"/>
    <m/>
    <m/>
    <n v="0"/>
    <m/>
    <m/>
    <n v="0"/>
    <m/>
    <m/>
    <n v="0"/>
    <m/>
    <m/>
    <n v="0"/>
    <m/>
    <m/>
    <n v="0"/>
    <n v="20"/>
    <n v="40410.300000000003"/>
    <n v="661274.14919999999"/>
    <n v="19"/>
    <n v="41569.052631578947"/>
    <n v="646224.17839999998"/>
  </r>
  <r>
    <x v="12"/>
    <s v="Tennessee Technology Center at Hohenwald"/>
    <m/>
    <n v="220321"/>
    <x v="10"/>
    <m/>
    <m/>
    <n v="0"/>
    <m/>
    <m/>
    <n v="0"/>
    <m/>
    <m/>
    <n v="0"/>
    <m/>
    <m/>
    <n v="0"/>
    <m/>
    <m/>
    <n v="0"/>
    <m/>
    <m/>
    <n v="0"/>
    <m/>
    <m/>
    <n v="0"/>
    <m/>
    <m/>
    <n v="0"/>
    <m/>
    <m/>
    <n v="0"/>
    <m/>
    <m/>
    <n v="0"/>
    <m/>
    <m/>
    <n v="0"/>
    <m/>
    <m/>
    <n v="0"/>
    <m/>
    <m/>
    <n v="0"/>
    <m/>
    <m/>
    <n v="0"/>
    <m/>
    <m/>
    <n v="0"/>
    <m/>
    <m/>
    <n v="0"/>
    <m/>
    <m/>
    <n v="0"/>
    <m/>
    <m/>
    <n v="0"/>
    <m/>
    <m/>
    <n v="0"/>
    <m/>
    <m/>
    <n v="0"/>
    <m/>
    <m/>
    <n v="0"/>
    <m/>
    <m/>
    <n v="0"/>
    <n v="24"/>
    <n v="42642.041666666664"/>
    <n v="837353.24380000005"/>
    <n v="22"/>
    <n v="44939.63636363636"/>
    <n v="808931.43039999995"/>
  </r>
  <r>
    <x v="12"/>
    <s v="Tennessee Technology Center at Jacksboro"/>
    <m/>
    <n v="220394"/>
    <x v="10"/>
    <m/>
    <m/>
    <n v="0"/>
    <m/>
    <m/>
    <n v="0"/>
    <m/>
    <m/>
    <n v="0"/>
    <m/>
    <m/>
    <n v="0"/>
    <m/>
    <m/>
    <n v="0"/>
    <m/>
    <m/>
    <n v="0"/>
    <m/>
    <m/>
    <n v="0"/>
    <m/>
    <m/>
    <n v="0"/>
    <m/>
    <m/>
    <n v="0"/>
    <m/>
    <m/>
    <n v="0"/>
    <m/>
    <m/>
    <n v="0"/>
    <m/>
    <m/>
    <n v="0"/>
    <m/>
    <m/>
    <n v="0"/>
    <m/>
    <m/>
    <n v="0"/>
    <m/>
    <m/>
    <n v="0"/>
    <m/>
    <m/>
    <n v="0"/>
    <m/>
    <m/>
    <n v="0"/>
    <m/>
    <m/>
    <n v="0"/>
    <m/>
    <m/>
    <n v="0"/>
    <m/>
    <m/>
    <n v="0"/>
    <m/>
    <m/>
    <n v="0"/>
    <m/>
    <m/>
    <n v="0"/>
    <n v="9"/>
    <n v="48926.111111111109"/>
    <n v="360282.09700000001"/>
    <n v="9"/>
    <n v="50469.333333333336"/>
    <n v="371646.07680000004"/>
  </r>
  <r>
    <x v="12"/>
    <s v="Tennessee Technology Center at Jackson"/>
    <m/>
    <n v="221616"/>
    <x v="10"/>
    <m/>
    <m/>
    <n v="0"/>
    <m/>
    <m/>
    <n v="0"/>
    <m/>
    <m/>
    <n v="0"/>
    <m/>
    <m/>
    <n v="0"/>
    <m/>
    <m/>
    <n v="0"/>
    <m/>
    <m/>
    <n v="0"/>
    <m/>
    <m/>
    <n v="0"/>
    <m/>
    <m/>
    <n v="0"/>
    <m/>
    <m/>
    <n v="0"/>
    <m/>
    <m/>
    <n v="0"/>
    <m/>
    <m/>
    <n v="0"/>
    <m/>
    <m/>
    <n v="0"/>
    <m/>
    <m/>
    <n v="0"/>
    <m/>
    <m/>
    <n v="0"/>
    <m/>
    <m/>
    <n v="0"/>
    <m/>
    <m/>
    <n v="0"/>
    <m/>
    <m/>
    <n v="0"/>
    <m/>
    <m/>
    <n v="0"/>
    <m/>
    <m/>
    <n v="0"/>
    <m/>
    <m/>
    <n v="0"/>
    <m/>
    <m/>
    <n v="0"/>
    <m/>
    <m/>
    <n v="0"/>
    <n v="25"/>
    <n v="46710.68"/>
    <n v="955466.95940000005"/>
    <n v="18"/>
    <n v="48310.833333333336"/>
    <n v="711502.62900000007"/>
  </r>
  <r>
    <x v="12"/>
    <s v="Tennessee Technology Center at Knoxville"/>
    <m/>
    <n v="221625"/>
    <x v="10"/>
    <m/>
    <m/>
    <n v="0"/>
    <m/>
    <m/>
    <n v="0"/>
    <m/>
    <m/>
    <n v="0"/>
    <m/>
    <m/>
    <n v="0"/>
    <m/>
    <m/>
    <n v="0"/>
    <m/>
    <m/>
    <n v="0"/>
    <m/>
    <m/>
    <n v="0"/>
    <m/>
    <m/>
    <n v="0"/>
    <m/>
    <m/>
    <n v="0"/>
    <m/>
    <m/>
    <n v="0"/>
    <m/>
    <m/>
    <n v="0"/>
    <m/>
    <m/>
    <n v="0"/>
    <m/>
    <m/>
    <n v="0"/>
    <m/>
    <m/>
    <n v="0"/>
    <m/>
    <m/>
    <n v="0"/>
    <m/>
    <m/>
    <n v="0"/>
    <m/>
    <m/>
    <n v="0"/>
    <m/>
    <m/>
    <n v="0"/>
    <m/>
    <m/>
    <n v="0"/>
    <m/>
    <m/>
    <n v="0"/>
    <m/>
    <m/>
    <n v="0"/>
    <m/>
    <m/>
    <n v="0"/>
    <n v="31"/>
    <n v="45472.806451612902"/>
    <n v="1153381.3574000001"/>
    <n v="25"/>
    <n v="46392.639999999999"/>
    <n v="948961.45120000001"/>
  </r>
  <r>
    <x v="12"/>
    <s v="Tennessee Technology Center at Livingston"/>
    <m/>
    <n v="220640"/>
    <x v="10"/>
    <m/>
    <m/>
    <n v="0"/>
    <m/>
    <m/>
    <n v="0"/>
    <m/>
    <m/>
    <n v="0"/>
    <m/>
    <m/>
    <n v="0"/>
    <m/>
    <m/>
    <n v="0"/>
    <m/>
    <m/>
    <n v="0"/>
    <m/>
    <m/>
    <n v="0"/>
    <m/>
    <m/>
    <n v="0"/>
    <m/>
    <m/>
    <n v="0"/>
    <m/>
    <m/>
    <n v="0"/>
    <m/>
    <m/>
    <n v="0"/>
    <m/>
    <m/>
    <n v="0"/>
    <m/>
    <m/>
    <n v="0"/>
    <m/>
    <m/>
    <n v="0"/>
    <m/>
    <m/>
    <n v="0"/>
    <m/>
    <m/>
    <n v="0"/>
    <m/>
    <m/>
    <n v="0"/>
    <m/>
    <m/>
    <n v="0"/>
    <m/>
    <m/>
    <n v="0"/>
    <m/>
    <m/>
    <n v="0"/>
    <m/>
    <m/>
    <n v="0"/>
    <m/>
    <m/>
    <n v="0"/>
    <n v="19"/>
    <n v="43994.15789473684"/>
    <n v="683924.3798"/>
    <n v="16"/>
    <n v="45826.438125000001"/>
    <n v="599923.06678200001"/>
  </r>
  <r>
    <x v="12"/>
    <s v="Tennessee Technology Center at McKenzie"/>
    <m/>
    <n v="220756"/>
    <x v="10"/>
    <m/>
    <m/>
    <n v="0"/>
    <m/>
    <m/>
    <n v="0"/>
    <m/>
    <m/>
    <n v="0"/>
    <m/>
    <m/>
    <n v="0"/>
    <m/>
    <m/>
    <n v="0"/>
    <m/>
    <m/>
    <n v="0"/>
    <m/>
    <m/>
    <n v="0"/>
    <m/>
    <m/>
    <n v="0"/>
    <m/>
    <m/>
    <n v="0"/>
    <m/>
    <m/>
    <n v="0"/>
    <m/>
    <m/>
    <n v="0"/>
    <m/>
    <m/>
    <n v="0"/>
    <m/>
    <m/>
    <n v="0"/>
    <m/>
    <m/>
    <n v="0"/>
    <m/>
    <m/>
    <n v="0"/>
    <m/>
    <m/>
    <n v="0"/>
    <m/>
    <m/>
    <n v="0"/>
    <m/>
    <m/>
    <n v="0"/>
    <m/>
    <m/>
    <n v="0"/>
    <m/>
    <m/>
    <n v="0"/>
    <m/>
    <m/>
    <n v="0"/>
    <m/>
    <m/>
    <n v="0"/>
    <n v="9"/>
    <n v="43708"/>
    <n v="321856.97039999999"/>
    <n v="9"/>
    <n v="46011.888888888891"/>
    <n v="338822.34740000003"/>
  </r>
  <r>
    <x v="12"/>
    <s v="Tennessee Technology Center at McMinnville"/>
    <m/>
    <n v="221607"/>
    <x v="10"/>
    <m/>
    <m/>
    <n v="0"/>
    <m/>
    <m/>
    <n v="0"/>
    <m/>
    <m/>
    <n v="0"/>
    <m/>
    <m/>
    <n v="0"/>
    <m/>
    <m/>
    <n v="0"/>
    <m/>
    <m/>
    <n v="0"/>
    <m/>
    <m/>
    <n v="0"/>
    <m/>
    <m/>
    <n v="0"/>
    <m/>
    <m/>
    <n v="0"/>
    <m/>
    <m/>
    <n v="0"/>
    <m/>
    <m/>
    <n v="0"/>
    <m/>
    <m/>
    <n v="0"/>
    <m/>
    <m/>
    <n v="0"/>
    <m/>
    <m/>
    <n v="0"/>
    <m/>
    <m/>
    <n v="0"/>
    <m/>
    <m/>
    <n v="0"/>
    <m/>
    <m/>
    <n v="0"/>
    <m/>
    <m/>
    <n v="0"/>
    <m/>
    <m/>
    <n v="0"/>
    <m/>
    <m/>
    <n v="0"/>
    <m/>
    <m/>
    <n v="0"/>
    <m/>
    <m/>
    <n v="0"/>
    <n v="12"/>
    <n v="45230.083333333336"/>
    <n v="444087.0502"/>
    <n v="11"/>
    <n v="48715"/>
    <n v="438444.74300000002"/>
  </r>
  <r>
    <x v="12"/>
    <s v="Tennessee Technology Center at Memphis"/>
    <s v="Met the criteria for Technical Institute or College 1 in 2011-12."/>
    <n v="220853"/>
    <x v="10"/>
    <m/>
    <m/>
    <n v="0"/>
    <m/>
    <m/>
    <n v="0"/>
    <m/>
    <m/>
    <n v="0"/>
    <m/>
    <m/>
    <n v="0"/>
    <m/>
    <m/>
    <n v="0"/>
    <m/>
    <m/>
    <n v="0"/>
    <m/>
    <m/>
    <n v="0"/>
    <m/>
    <m/>
    <n v="0"/>
    <m/>
    <m/>
    <n v="0"/>
    <m/>
    <m/>
    <n v="0"/>
    <m/>
    <m/>
    <n v="0"/>
    <m/>
    <m/>
    <n v="0"/>
    <m/>
    <m/>
    <n v="0"/>
    <m/>
    <m/>
    <n v="0"/>
    <m/>
    <m/>
    <n v="0"/>
    <m/>
    <m/>
    <n v="0"/>
    <m/>
    <m/>
    <n v="0"/>
    <m/>
    <m/>
    <n v="0"/>
    <m/>
    <m/>
    <n v="0"/>
    <m/>
    <m/>
    <n v="0"/>
    <m/>
    <m/>
    <n v="0"/>
    <m/>
    <m/>
    <n v="0"/>
    <n v="36"/>
    <n v="44371.555555555555"/>
    <n v="1306973.0432"/>
    <n v="38"/>
    <n v="47199"/>
    <n v="1467492.4284000001"/>
  </r>
  <r>
    <x v="12"/>
    <s v="Tennessee Technology Center at Morristown"/>
    <m/>
    <n v="221050"/>
    <x v="10"/>
    <m/>
    <m/>
    <n v="0"/>
    <m/>
    <m/>
    <n v="0"/>
    <m/>
    <m/>
    <n v="0"/>
    <m/>
    <m/>
    <n v="0"/>
    <m/>
    <m/>
    <n v="0"/>
    <m/>
    <m/>
    <n v="0"/>
    <m/>
    <m/>
    <n v="0"/>
    <m/>
    <m/>
    <n v="0"/>
    <m/>
    <m/>
    <n v="0"/>
    <m/>
    <m/>
    <n v="0"/>
    <m/>
    <m/>
    <n v="0"/>
    <m/>
    <m/>
    <n v="0"/>
    <m/>
    <m/>
    <n v="0"/>
    <m/>
    <m/>
    <n v="0"/>
    <m/>
    <m/>
    <n v="0"/>
    <m/>
    <m/>
    <n v="0"/>
    <m/>
    <m/>
    <n v="0"/>
    <m/>
    <m/>
    <n v="0"/>
    <m/>
    <m/>
    <n v="0"/>
    <m/>
    <m/>
    <n v="0"/>
    <m/>
    <m/>
    <n v="0"/>
    <m/>
    <m/>
    <n v="0"/>
    <n v="36"/>
    <n v="48137.055555555555"/>
    <n v="1417886.5988"/>
    <n v="19"/>
    <n v="54594.526315789473"/>
    <n v="848715.58720000007"/>
  </r>
  <r>
    <x v="12"/>
    <s v="Tennessee Technology Center at Murfreesboro"/>
    <m/>
    <n v="221102"/>
    <x v="10"/>
    <m/>
    <m/>
    <n v="0"/>
    <m/>
    <m/>
    <n v="0"/>
    <m/>
    <m/>
    <n v="0"/>
    <m/>
    <m/>
    <n v="0"/>
    <m/>
    <m/>
    <n v="0"/>
    <m/>
    <m/>
    <n v="0"/>
    <m/>
    <m/>
    <n v="0"/>
    <m/>
    <m/>
    <n v="0"/>
    <m/>
    <m/>
    <n v="0"/>
    <m/>
    <m/>
    <n v="0"/>
    <m/>
    <m/>
    <n v="0"/>
    <m/>
    <m/>
    <n v="0"/>
    <m/>
    <m/>
    <n v="0"/>
    <m/>
    <m/>
    <n v="0"/>
    <m/>
    <m/>
    <n v="0"/>
    <m/>
    <m/>
    <n v="0"/>
    <m/>
    <m/>
    <n v="0"/>
    <m/>
    <m/>
    <n v="0"/>
    <m/>
    <m/>
    <n v="0"/>
    <m/>
    <m/>
    <n v="0"/>
    <m/>
    <m/>
    <n v="0"/>
    <m/>
    <m/>
    <n v="0"/>
    <n v="21"/>
    <n v="50978.952380952382"/>
    <n v="875930.55560000008"/>
    <n v="20"/>
    <n v="54049.4"/>
    <n v="884464.38160000008"/>
  </r>
  <r>
    <x v="12"/>
    <s v="Tennessee Technology Center at Nashville"/>
    <s v="Met the criteria for Technical Institute or College 1 in 2011-12."/>
    <n v="248925"/>
    <x v="10"/>
    <m/>
    <m/>
    <n v="0"/>
    <m/>
    <m/>
    <n v="0"/>
    <m/>
    <m/>
    <n v="0"/>
    <m/>
    <m/>
    <n v="0"/>
    <m/>
    <m/>
    <n v="0"/>
    <m/>
    <m/>
    <n v="0"/>
    <m/>
    <m/>
    <n v="0"/>
    <m/>
    <m/>
    <n v="0"/>
    <m/>
    <m/>
    <n v="0"/>
    <m/>
    <m/>
    <n v="0"/>
    <m/>
    <m/>
    <n v="0"/>
    <m/>
    <m/>
    <n v="0"/>
    <m/>
    <m/>
    <n v="0"/>
    <m/>
    <m/>
    <n v="0"/>
    <m/>
    <m/>
    <n v="0"/>
    <m/>
    <m/>
    <n v="0"/>
    <m/>
    <m/>
    <n v="0"/>
    <m/>
    <m/>
    <n v="0"/>
    <m/>
    <m/>
    <n v="0"/>
    <m/>
    <m/>
    <n v="0"/>
    <m/>
    <m/>
    <n v="0"/>
    <m/>
    <m/>
    <n v="0"/>
    <n v="34"/>
    <n v="43997.617647058825"/>
    <n v="1223960.9258000001"/>
    <n v="38"/>
    <n v="42436.947368421053"/>
    <n v="1319432.5928"/>
  </r>
  <r>
    <x v="12"/>
    <s v="Tennessee Technology Center at Newbern"/>
    <m/>
    <n v="221236"/>
    <x v="10"/>
    <m/>
    <m/>
    <n v="0"/>
    <m/>
    <m/>
    <n v="0"/>
    <m/>
    <m/>
    <n v="0"/>
    <m/>
    <m/>
    <n v="0"/>
    <m/>
    <m/>
    <n v="0"/>
    <m/>
    <m/>
    <n v="0"/>
    <m/>
    <m/>
    <n v="0"/>
    <m/>
    <m/>
    <n v="0"/>
    <m/>
    <m/>
    <n v="0"/>
    <m/>
    <m/>
    <n v="0"/>
    <m/>
    <m/>
    <n v="0"/>
    <m/>
    <m/>
    <n v="0"/>
    <m/>
    <m/>
    <n v="0"/>
    <m/>
    <m/>
    <n v="0"/>
    <m/>
    <m/>
    <n v="0"/>
    <m/>
    <m/>
    <n v="0"/>
    <m/>
    <m/>
    <n v="0"/>
    <m/>
    <m/>
    <n v="0"/>
    <m/>
    <m/>
    <n v="0"/>
    <m/>
    <m/>
    <n v="0"/>
    <m/>
    <m/>
    <n v="0"/>
    <m/>
    <m/>
    <n v="0"/>
    <n v="11"/>
    <n v="42310.727272727272"/>
    <n v="380805.00760000001"/>
    <n v="11"/>
    <n v="45553.36363636364"/>
    <n v="409989.38340000005"/>
  </r>
  <r>
    <x v="12"/>
    <s v="Tennessee Technology Center at Oneida"/>
    <m/>
    <n v="221582"/>
    <x v="10"/>
    <m/>
    <m/>
    <n v="0"/>
    <m/>
    <m/>
    <n v="0"/>
    <m/>
    <m/>
    <n v="0"/>
    <m/>
    <m/>
    <n v="0"/>
    <m/>
    <m/>
    <n v="0"/>
    <m/>
    <m/>
    <n v="0"/>
    <m/>
    <m/>
    <n v="0"/>
    <m/>
    <m/>
    <n v="0"/>
    <m/>
    <m/>
    <n v="0"/>
    <m/>
    <m/>
    <n v="0"/>
    <m/>
    <m/>
    <n v="0"/>
    <m/>
    <m/>
    <n v="0"/>
    <m/>
    <m/>
    <n v="0"/>
    <m/>
    <m/>
    <n v="0"/>
    <m/>
    <m/>
    <n v="0"/>
    <m/>
    <m/>
    <n v="0"/>
    <m/>
    <m/>
    <n v="0"/>
    <m/>
    <m/>
    <n v="0"/>
    <m/>
    <m/>
    <n v="0"/>
    <m/>
    <m/>
    <n v="0"/>
    <m/>
    <m/>
    <n v="0"/>
    <m/>
    <m/>
    <n v="0"/>
    <n v="14"/>
    <n v="41542"/>
    <n v="475855.30160000001"/>
    <n v="11"/>
    <n v="43263.909090909088"/>
    <n v="389383.8346"/>
  </r>
  <r>
    <x v="12"/>
    <s v="Tennessee Technology Center at Paris"/>
    <m/>
    <n v="221281"/>
    <x v="10"/>
    <m/>
    <m/>
    <n v="0"/>
    <m/>
    <m/>
    <n v="0"/>
    <m/>
    <m/>
    <n v="0"/>
    <m/>
    <m/>
    <n v="0"/>
    <m/>
    <m/>
    <n v="0"/>
    <m/>
    <m/>
    <n v="0"/>
    <m/>
    <m/>
    <n v="0"/>
    <m/>
    <m/>
    <n v="0"/>
    <m/>
    <m/>
    <n v="0"/>
    <m/>
    <m/>
    <n v="0"/>
    <m/>
    <m/>
    <n v="0"/>
    <m/>
    <m/>
    <n v="0"/>
    <m/>
    <m/>
    <n v="0"/>
    <m/>
    <m/>
    <n v="0"/>
    <m/>
    <m/>
    <n v="0"/>
    <m/>
    <m/>
    <n v="0"/>
    <m/>
    <m/>
    <n v="0"/>
    <m/>
    <m/>
    <n v="0"/>
    <m/>
    <m/>
    <n v="0"/>
    <m/>
    <m/>
    <n v="0"/>
    <m/>
    <m/>
    <n v="0"/>
    <m/>
    <m/>
    <n v="0"/>
    <n v="19"/>
    <n v="43863.947368421053"/>
    <n v="681900.15300000005"/>
    <n v="12"/>
    <n v="45186.333333333336"/>
    <n v="443657.4952"/>
  </r>
  <r>
    <x v="12"/>
    <s v="Tennessee Technology Center at Pulaski"/>
    <m/>
    <n v="221333"/>
    <x v="10"/>
    <m/>
    <m/>
    <n v="0"/>
    <m/>
    <m/>
    <n v="0"/>
    <m/>
    <m/>
    <n v="0"/>
    <m/>
    <m/>
    <n v="0"/>
    <m/>
    <m/>
    <n v="0"/>
    <m/>
    <m/>
    <n v="0"/>
    <m/>
    <m/>
    <n v="0"/>
    <m/>
    <m/>
    <n v="0"/>
    <m/>
    <m/>
    <n v="0"/>
    <m/>
    <m/>
    <n v="0"/>
    <m/>
    <m/>
    <n v="0"/>
    <m/>
    <m/>
    <n v="0"/>
    <m/>
    <m/>
    <n v="0"/>
    <m/>
    <m/>
    <n v="0"/>
    <m/>
    <m/>
    <n v="0"/>
    <m/>
    <m/>
    <n v="0"/>
    <m/>
    <m/>
    <n v="0"/>
    <m/>
    <m/>
    <n v="0"/>
    <m/>
    <m/>
    <n v="0"/>
    <m/>
    <m/>
    <n v="0"/>
    <m/>
    <m/>
    <n v="0"/>
    <m/>
    <m/>
    <n v="0"/>
    <n v="15"/>
    <n v="46387.533333333333"/>
    <n v="569314.19660000002"/>
    <n v="16"/>
    <n v="47572.375"/>
    <n v="622779.47560000001"/>
  </r>
  <r>
    <x v="12"/>
    <s v="Tennessee Technology Center at Ripley"/>
    <m/>
    <n v="221388"/>
    <x v="10"/>
    <m/>
    <m/>
    <n v="0"/>
    <m/>
    <m/>
    <n v="0"/>
    <m/>
    <m/>
    <n v="0"/>
    <m/>
    <m/>
    <n v="0"/>
    <m/>
    <m/>
    <n v="0"/>
    <m/>
    <m/>
    <n v="0"/>
    <m/>
    <m/>
    <n v="0"/>
    <m/>
    <m/>
    <n v="0"/>
    <m/>
    <m/>
    <n v="0"/>
    <m/>
    <m/>
    <n v="0"/>
    <m/>
    <m/>
    <n v="0"/>
    <m/>
    <m/>
    <n v="0"/>
    <m/>
    <m/>
    <n v="0"/>
    <m/>
    <m/>
    <n v="0"/>
    <m/>
    <m/>
    <n v="0"/>
    <m/>
    <m/>
    <n v="0"/>
    <m/>
    <m/>
    <n v="0"/>
    <m/>
    <m/>
    <n v="0"/>
    <m/>
    <m/>
    <n v="0"/>
    <m/>
    <m/>
    <n v="0"/>
    <m/>
    <m/>
    <n v="0"/>
    <m/>
    <m/>
    <n v="0"/>
    <n v="11"/>
    <n v="42441.545454545456"/>
    <n v="381982.39740000002"/>
    <n v="8"/>
    <n v="46476.75"/>
    <n v="304218.21480000002"/>
  </r>
  <r>
    <x v="12"/>
    <s v="Tennessee Technology Center at Shelbyville"/>
    <m/>
    <n v="221494"/>
    <x v="10"/>
    <m/>
    <m/>
    <n v="0"/>
    <m/>
    <m/>
    <n v="0"/>
    <m/>
    <m/>
    <n v="0"/>
    <m/>
    <m/>
    <n v="0"/>
    <m/>
    <m/>
    <n v="0"/>
    <m/>
    <m/>
    <n v="0"/>
    <m/>
    <m/>
    <n v="0"/>
    <m/>
    <m/>
    <n v="0"/>
    <m/>
    <m/>
    <n v="0"/>
    <m/>
    <m/>
    <n v="0"/>
    <m/>
    <m/>
    <n v="0"/>
    <m/>
    <m/>
    <n v="0"/>
    <m/>
    <m/>
    <n v="0"/>
    <m/>
    <m/>
    <n v="0"/>
    <m/>
    <m/>
    <n v="0"/>
    <m/>
    <m/>
    <n v="0"/>
    <m/>
    <m/>
    <n v="0"/>
    <m/>
    <m/>
    <n v="0"/>
    <m/>
    <m/>
    <n v="0"/>
    <m/>
    <m/>
    <n v="0"/>
    <m/>
    <m/>
    <n v="0"/>
    <m/>
    <m/>
    <n v="0"/>
    <n v="22"/>
    <n v="46959"/>
    <n v="845280.78360000008"/>
    <n v="20"/>
    <n v="48206.2"/>
    <n v="788846.25680000009"/>
  </r>
  <r>
    <x v="12"/>
    <s v="Tennessee Technology Center at Whiteville"/>
    <m/>
    <n v="221634"/>
    <x v="10"/>
    <m/>
    <m/>
    <n v="0"/>
    <m/>
    <m/>
    <n v="0"/>
    <m/>
    <m/>
    <n v="0"/>
    <m/>
    <m/>
    <n v="0"/>
    <m/>
    <m/>
    <n v="0"/>
    <m/>
    <m/>
    <n v="0"/>
    <m/>
    <m/>
    <n v="0"/>
    <m/>
    <m/>
    <n v="0"/>
    <m/>
    <m/>
    <n v="0"/>
    <m/>
    <m/>
    <n v="0"/>
    <m/>
    <m/>
    <n v="0"/>
    <m/>
    <m/>
    <n v="0"/>
    <m/>
    <m/>
    <n v="0"/>
    <m/>
    <m/>
    <n v="0"/>
    <m/>
    <m/>
    <n v="0"/>
    <m/>
    <m/>
    <n v="0"/>
    <m/>
    <m/>
    <n v="0"/>
    <m/>
    <m/>
    <n v="0"/>
    <m/>
    <m/>
    <n v="0"/>
    <m/>
    <m/>
    <n v="0"/>
    <m/>
    <m/>
    <n v="0"/>
    <m/>
    <m/>
    <n v="0"/>
    <n v="9"/>
    <n v="48681.111111111109"/>
    <n v="358477.96600000001"/>
    <n v="8"/>
    <n v="48777.25"/>
    <n v="319276.3676"/>
  </r>
  <r>
    <x v="13"/>
    <s v="Texas A&amp;M University "/>
    <m/>
    <n v="228723"/>
    <x v="0"/>
    <n v="930"/>
    <n v="119759.39247311828"/>
    <n v="111376235"/>
    <n v="427"/>
    <n v="123805.44730679157"/>
    <n v="52864926"/>
    <n v="590"/>
    <n v="80873.37627118644"/>
    <n v="47715292"/>
    <n v="309"/>
    <n v="81669.145631067964"/>
    <n v="25235766"/>
    <n v="647"/>
    <n v="69372.77125193199"/>
    <n v="44884183"/>
    <n v="282"/>
    <n v="70550.127659574471"/>
    <n v="19895136"/>
    <n v="111"/>
    <n v="37890.729729729726"/>
    <n v="4205871"/>
    <n v="67"/>
    <n v="49263.626865671642"/>
    <n v="3300663"/>
    <n v="347"/>
    <n v="42663.694524495681"/>
    <n v="14804302.000000002"/>
    <n v="145"/>
    <n v="47341.524137931032"/>
    <n v="6864521"/>
    <m/>
    <m/>
    <n v="6864521"/>
    <m/>
    <m/>
    <n v="0"/>
    <m/>
    <m/>
    <n v="0"/>
    <n v="429"/>
    <n v="158980.65034965036"/>
    <n v="55803448.321800001"/>
    <m/>
    <m/>
    <n v="0"/>
    <n v="274"/>
    <n v="111224.46715328467"/>
    <n v="24935057.3728"/>
    <m/>
    <m/>
    <n v="0"/>
    <n v="239"/>
    <n v="95071.100418410046"/>
    <n v="18591134.672600001"/>
    <m/>
    <m/>
    <n v="0"/>
    <n v="48"/>
    <n v="40627.020833333336"/>
    <n v="1595569.3654"/>
    <n v="0"/>
    <n v="0"/>
    <n v="0"/>
    <n v="91"/>
    <n v="706.78420480618286"/>
    <n v="52624.466109890112"/>
    <m/>
    <m/>
    <n v="0"/>
    <m/>
    <m/>
    <n v="0"/>
  </r>
  <r>
    <x v="13"/>
    <s v="Texas Tech University "/>
    <m/>
    <n v="229115"/>
    <x v="0"/>
    <n v="264"/>
    <n v="102657.90909090909"/>
    <n v="27101688"/>
    <n v="279"/>
    <n v="105609.55913978495"/>
    <n v="29465067"/>
    <n v="355"/>
    <n v="74012.461971830984"/>
    <n v="26274424"/>
    <n v="367"/>
    <n v="73697.607629427788"/>
    <n v="27047022"/>
    <n v="296"/>
    <n v="65213.800675675673"/>
    <n v="19303285"/>
    <n v="273"/>
    <n v="66162.091575091574"/>
    <n v="18062251"/>
    <n v="172"/>
    <n v="41938.988372093023"/>
    <n v="7213506"/>
    <n v="173"/>
    <n v="43368.578034682083"/>
    <n v="7502764"/>
    <n v="0"/>
    <n v="0"/>
    <n v="0"/>
    <n v="0"/>
    <n v="0"/>
    <n v="0"/>
    <m/>
    <m/>
    <n v="0"/>
    <m/>
    <m/>
    <n v="0"/>
    <n v="48"/>
    <n v="147775.8125"/>
    <n v="5803688.1498000007"/>
    <n v="30"/>
    <n v="129637.06666666667"/>
    <n v="3182071.4384000003"/>
    <n v="10"/>
    <n v="102865.60000000001"/>
    <n v="841646.33920000005"/>
    <n v="9"/>
    <n v="86843.666666666672"/>
    <n v="639499.39260000002"/>
    <n v="11"/>
    <n v="83343.272727272721"/>
    <n v="750106.12319999991"/>
    <n v="8"/>
    <n v="70578.875"/>
    <n v="461981.08420000004"/>
    <n v="20"/>
    <n v="67335"/>
    <n v="1101869.94"/>
    <n v="11"/>
    <n v="69874.545454545456"/>
    <n v="628884.88400000008"/>
    <n v="0"/>
    <n v="0"/>
    <n v="0"/>
    <n v="0"/>
    <n v="0"/>
    <n v="0"/>
    <m/>
    <m/>
    <n v="0"/>
    <m/>
    <m/>
    <n v="0"/>
  </r>
  <r>
    <x v="13"/>
    <s v="University of Houston"/>
    <m/>
    <n v="225511"/>
    <x v="0"/>
    <n v="380"/>
    <n v="126182.98947368421"/>
    <n v="47949536"/>
    <n v="385"/>
    <n v="126938.23116883117"/>
    <n v="48871219"/>
    <n v="280"/>
    <n v="80756.571428571435"/>
    <n v="22611840"/>
    <n v="294"/>
    <n v="82750.717687074837"/>
    <n v="24328711.000000004"/>
    <n v="194"/>
    <n v="81005.036082474224"/>
    <n v="15714977"/>
    <n v="202"/>
    <n v="81201.712871287134"/>
    <n v="16402746.000000002"/>
    <m/>
    <m/>
    <n v="0"/>
    <m/>
    <m/>
    <n v="0"/>
    <n v="227"/>
    <n v="61283.643171806165"/>
    <n v="13911387"/>
    <n v="246"/>
    <n v="61606.967479674793"/>
    <n v="15155314"/>
    <m/>
    <m/>
    <n v="15155314"/>
    <m/>
    <m/>
    <n v="0"/>
    <n v="15"/>
    <n v="154174.66666666666"/>
    <n v="1892185.6840000001"/>
    <n v="14"/>
    <n v="155628.78571428571"/>
    <n v="1782696.6146"/>
    <n v="15"/>
    <n v="112776.93333333333"/>
    <n v="1384111.3028000002"/>
    <n v="12"/>
    <n v="112557.75"/>
    <n v="1105137.0126"/>
    <n v="12"/>
    <n v="88642.833333333328"/>
    <n v="870330.79480000003"/>
    <n v="11"/>
    <n v="88183.545454545456"/>
    <n v="793669.54580000008"/>
    <m/>
    <m/>
    <n v="0"/>
    <m/>
    <m/>
    <n v="0"/>
    <n v="66"/>
    <n v="72595.530303030304"/>
    <n v="3920245.7510000002"/>
    <n v="70"/>
    <n v="74595.857142857145"/>
    <n v="4272403.1220000004"/>
    <m/>
    <m/>
    <n v="0"/>
    <m/>
    <m/>
    <n v="0"/>
  </r>
  <r>
    <x v="13"/>
    <s v="University of North Texas"/>
    <m/>
    <n v="227216"/>
    <x v="0"/>
    <n v="239"/>
    <n v="105525.85355648535"/>
    <n v="25220679"/>
    <n v="245"/>
    <n v="106180.94693877551"/>
    <n v="26014332"/>
    <n v="260"/>
    <n v="80286.292307692303"/>
    <n v="20874436"/>
    <n v="260"/>
    <n v="80195.315384615387"/>
    <n v="20850782"/>
    <n v="258"/>
    <n v="65935.686046511633"/>
    <n v="17011407"/>
    <n v="219"/>
    <n v="66547.621004566216"/>
    <n v="14573929.000000002"/>
    <n v="2"/>
    <n v="60950"/>
    <n v="121900"/>
    <n v="6"/>
    <n v="57150"/>
    <n v="342900"/>
    <n v="193"/>
    <n v="50323.533678756474"/>
    <n v="9712442"/>
    <n v="219"/>
    <n v="51555.963470319635"/>
    <n v="11290756"/>
    <m/>
    <m/>
    <n v="11290756"/>
    <m/>
    <m/>
    <n v="0"/>
    <n v="34"/>
    <n v="147971.4705882353"/>
    <n v="4116388.7460000003"/>
    <n v="36"/>
    <n v="146903.44444444444"/>
    <n v="4327070.3368000006"/>
    <n v="18"/>
    <n v="101600.27777777778"/>
    <n v="1496328.2510000002"/>
    <n v="16"/>
    <n v="98147.75"/>
    <n v="1284871.8248000001"/>
    <m/>
    <m/>
    <n v="0"/>
    <m/>
    <m/>
    <n v="0"/>
    <m/>
    <m/>
    <n v="0"/>
    <n v="1"/>
    <n v="60000"/>
    <n v="49092"/>
    <n v="0"/>
    <n v="0"/>
    <n v="0"/>
    <n v="5"/>
    <n v="70348.2"/>
    <n v="287794.48619999998"/>
    <m/>
    <m/>
    <n v="0"/>
    <m/>
    <m/>
    <n v="0"/>
  </r>
  <r>
    <x v="13"/>
    <s v="University of Texas at Arlington"/>
    <m/>
    <n v="228769"/>
    <x v="0"/>
    <n v="184"/>
    <n v="102457.66304347826"/>
    <n v="18852210"/>
    <n v="170"/>
    <n v="106543.17647058824"/>
    <n v="18112340"/>
    <n v="195"/>
    <n v="79042.348717948713"/>
    <n v="15413257.999999998"/>
    <n v="205"/>
    <n v="80003.921951219512"/>
    <n v="16400804"/>
    <n v="219"/>
    <n v="72424.109589041094"/>
    <n v="15860880"/>
    <n v="200"/>
    <n v="72548.56"/>
    <n v="14509712"/>
    <m/>
    <m/>
    <n v="0"/>
    <m/>
    <m/>
    <n v="0"/>
    <n v="266"/>
    <n v="50148.691729323305"/>
    <n v="13339552"/>
    <n v="276"/>
    <n v="50671.246376811592"/>
    <n v="13985264"/>
    <m/>
    <m/>
    <n v="13985264"/>
    <m/>
    <m/>
    <n v="0"/>
    <m/>
    <m/>
    <n v="0"/>
    <m/>
    <m/>
    <n v="0"/>
    <m/>
    <m/>
    <n v="0"/>
    <m/>
    <m/>
    <n v="0"/>
    <m/>
    <m/>
    <n v="0"/>
    <m/>
    <m/>
    <n v="0"/>
    <m/>
    <m/>
    <n v="0"/>
    <m/>
    <m/>
    <n v="0"/>
    <n v="0"/>
    <n v="0"/>
    <n v="0"/>
    <n v="0"/>
    <n v="0"/>
    <n v="0"/>
    <m/>
    <m/>
    <n v="0"/>
    <m/>
    <m/>
    <n v="0"/>
  </r>
  <r>
    <x v="13"/>
    <s v="University of Texas at Austin"/>
    <m/>
    <n v="228778"/>
    <x v="0"/>
    <n v="985"/>
    <n v="136404.60507614212"/>
    <n v="134358536"/>
    <n v="982"/>
    <n v="140582.7118126273"/>
    <n v="138052223"/>
    <n v="530"/>
    <n v="88581.905660377364"/>
    <n v="46948410"/>
    <n v="527"/>
    <n v="89901.206831119547"/>
    <n v="47377936"/>
    <n v="439"/>
    <n v="82382.107061503411"/>
    <n v="36165745"/>
    <n v="400"/>
    <n v="83898.99"/>
    <n v="33559596"/>
    <m/>
    <m/>
    <n v="0"/>
    <m/>
    <m/>
    <n v="0"/>
    <n v="541"/>
    <n v="59079.029574861364"/>
    <n v="31961754.999999996"/>
    <n v="553"/>
    <n v="59229.186256781191"/>
    <n v="32753740"/>
    <m/>
    <m/>
    <n v="32753740"/>
    <m/>
    <m/>
    <n v="0"/>
    <m/>
    <m/>
    <n v="0"/>
    <m/>
    <m/>
    <n v="0"/>
    <m/>
    <m/>
    <n v="0"/>
    <m/>
    <m/>
    <n v="0"/>
    <m/>
    <m/>
    <n v="0"/>
    <m/>
    <m/>
    <n v="0"/>
    <m/>
    <m/>
    <n v="0"/>
    <m/>
    <m/>
    <n v="0"/>
    <n v="0"/>
    <n v="0"/>
    <n v="0"/>
    <n v="0"/>
    <n v="0"/>
    <n v="0"/>
    <m/>
    <m/>
    <n v="0"/>
    <m/>
    <m/>
    <n v="0"/>
  </r>
  <r>
    <x v="13"/>
    <s v="University of Texas at Dallas"/>
    <m/>
    <n v="228787"/>
    <x v="0"/>
    <m/>
    <m/>
    <n v="0"/>
    <n v="203"/>
    <n v="150345.63546798029"/>
    <n v="30520164"/>
    <m/>
    <m/>
    <n v="0"/>
    <n v="119"/>
    <n v="108858.26050420168"/>
    <n v="12954133"/>
    <m/>
    <m/>
    <n v="0"/>
    <n v="113"/>
    <n v="101044"/>
    <n v="11417972"/>
    <m/>
    <m/>
    <n v="0"/>
    <m/>
    <m/>
    <n v="0"/>
    <n v="0"/>
    <n v="0"/>
    <n v="0"/>
    <n v="199"/>
    <n v="64348.874371859296"/>
    <n v="12805426"/>
    <m/>
    <m/>
    <n v="12805426"/>
    <m/>
    <m/>
    <n v="0"/>
    <n v="1"/>
    <n v="150667"/>
    <n v="123275.73940000001"/>
    <m/>
    <m/>
    <n v="0"/>
    <n v="1"/>
    <n v="98515"/>
    <n v="80604.972999999998"/>
    <m/>
    <m/>
    <n v="0"/>
    <m/>
    <m/>
    <n v="0"/>
    <m/>
    <m/>
    <n v="0"/>
    <m/>
    <m/>
    <n v="0"/>
    <m/>
    <m/>
    <n v="0"/>
    <n v="0"/>
    <n v="0"/>
    <n v="0"/>
    <n v="0"/>
    <n v="0"/>
    <n v="0"/>
    <m/>
    <m/>
    <n v="0"/>
    <m/>
    <m/>
    <n v="0"/>
  </r>
  <r>
    <x v="13"/>
    <s v="Texas Woman's University"/>
    <s v="Met the criteria for Four-Year 1 in 2010-11 and 2011-12."/>
    <n v="229179"/>
    <x v="1"/>
    <n v="57"/>
    <n v="88009.754385964916"/>
    <n v="5016556"/>
    <n v="51"/>
    <n v="89427.647058823524"/>
    <n v="4560810"/>
    <n v="82"/>
    <n v="73856.975609756104"/>
    <n v="6056272.0000000009"/>
    <n v="78"/>
    <n v="74339.666666666672"/>
    <n v="5798494"/>
    <n v="101"/>
    <n v="62013.049504950497"/>
    <n v="6263318"/>
    <n v="93"/>
    <n v="64082.494623655912"/>
    <n v="5959672"/>
    <n v="10"/>
    <n v="53238.400000000001"/>
    <n v="532384"/>
    <n v="11"/>
    <n v="49985.727272727272"/>
    <n v="549843"/>
    <n v="165"/>
    <n v="58397.939393939392"/>
    <n v="9635660"/>
    <n v="168"/>
    <n v="58762.964285714283"/>
    <n v="9872178"/>
    <m/>
    <m/>
    <n v="9872178"/>
    <m/>
    <m/>
    <n v="0"/>
    <m/>
    <m/>
    <n v="0"/>
    <m/>
    <m/>
    <n v="0"/>
    <m/>
    <m/>
    <n v="0"/>
    <m/>
    <m/>
    <n v="0"/>
    <m/>
    <m/>
    <n v="0"/>
    <m/>
    <m/>
    <n v="0"/>
    <m/>
    <m/>
    <n v="0"/>
    <m/>
    <m/>
    <n v="0"/>
    <n v="0"/>
    <n v="0"/>
    <n v="0"/>
    <n v="0"/>
    <n v="0"/>
    <n v="0"/>
    <m/>
    <m/>
    <n v="0"/>
    <m/>
    <m/>
    <n v="0"/>
  </r>
  <r>
    <x v="13"/>
    <s v="University of Texas at El Paso"/>
    <m/>
    <n v="228796"/>
    <x v="1"/>
    <n v="142"/>
    <n v="99886.091549295772"/>
    <n v="14183825"/>
    <n v="142"/>
    <n v="100208.6338028169"/>
    <n v="14229626"/>
    <n v="196"/>
    <n v="74647.102040816331"/>
    <n v="14630832"/>
    <n v="198"/>
    <n v="74257.616161616155"/>
    <n v="14703007.999999998"/>
    <n v="149"/>
    <n v="67152.872483221479"/>
    <n v="10005778"/>
    <n v="145"/>
    <n v="68058.055172413791"/>
    <n v="9868418"/>
    <m/>
    <m/>
    <n v="0"/>
    <m/>
    <m/>
    <n v="0"/>
    <n v="189"/>
    <n v="46415.650793650791"/>
    <n v="8772558"/>
    <n v="193"/>
    <n v="45797.751295336784"/>
    <n v="8838966"/>
    <m/>
    <m/>
    <n v="8838966"/>
    <m/>
    <m/>
    <n v="0"/>
    <m/>
    <m/>
    <n v="0"/>
    <m/>
    <m/>
    <n v="0"/>
    <m/>
    <m/>
    <n v="0"/>
    <m/>
    <m/>
    <n v="0"/>
    <m/>
    <m/>
    <n v="0"/>
    <m/>
    <m/>
    <n v="0"/>
    <m/>
    <m/>
    <n v="0"/>
    <m/>
    <m/>
    <n v="0"/>
    <n v="0"/>
    <n v="0"/>
    <n v="0"/>
    <n v="0"/>
    <n v="0"/>
    <n v="0"/>
    <m/>
    <m/>
    <n v="0"/>
    <m/>
    <m/>
    <n v="0"/>
  </r>
  <r>
    <x v="13"/>
    <s v="University of Texas at San Antonio"/>
    <m/>
    <n v="229027"/>
    <x v="1"/>
    <n v="191"/>
    <n v="115425.79581151833"/>
    <n v="22046327"/>
    <n v="195"/>
    <n v="114711.42564102563"/>
    <n v="22368728"/>
    <n v="199"/>
    <n v="81332.381909547737"/>
    <n v="16185144"/>
    <n v="207"/>
    <n v="80877.942028985504"/>
    <n v="16741734"/>
    <n v="172"/>
    <n v="69145.720930232565"/>
    <n v="11893064.000000002"/>
    <n v="152"/>
    <n v="70846.71710526316"/>
    <n v="10768701"/>
    <n v="1"/>
    <n v="47708"/>
    <n v="47708"/>
    <m/>
    <m/>
    <n v="0"/>
    <n v="285"/>
    <n v="34875.249122807014"/>
    <n v="9939445.9999999981"/>
    <n v="322"/>
    <n v="34150.149068322979"/>
    <n v="10996348"/>
    <m/>
    <m/>
    <n v="10996348"/>
    <m/>
    <m/>
    <n v="0"/>
    <m/>
    <m/>
    <n v="0"/>
    <m/>
    <m/>
    <n v="0"/>
    <m/>
    <m/>
    <n v="0"/>
    <m/>
    <m/>
    <n v="0"/>
    <m/>
    <m/>
    <n v="0"/>
    <m/>
    <m/>
    <n v="0"/>
    <m/>
    <m/>
    <n v="0"/>
    <m/>
    <m/>
    <n v="0"/>
    <n v="0"/>
    <n v="0"/>
    <n v="0"/>
    <n v="0"/>
    <n v="0"/>
    <n v="0"/>
    <m/>
    <m/>
    <n v="0"/>
    <m/>
    <m/>
    <n v="0"/>
  </r>
  <r>
    <x v="13"/>
    <s v="Angelo State University"/>
    <m/>
    <n v="222831"/>
    <x v="2"/>
    <n v="51"/>
    <n v="76096.941176470587"/>
    <n v="3880944"/>
    <n v="68"/>
    <n v="75387.352941176476"/>
    <n v="5126340"/>
    <n v="64"/>
    <n v="63120.3125"/>
    <n v="4039700"/>
    <n v="52"/>
    <n v="65610.288461538468"/>
    <n v="3411735.0000000005"/>
    <n v="66"/>
    <n v="55453.878787878784"/>
    <n v="3659956"/>
    <n v="78"/>
    <n v="58338.961538461539"/>
    <n v="4550439"/>
    <n v="14"/>
    <n v="43618.571428571428"/>
    <n v="610660"/>
    <n v="14"/>
    <n v="41361.642857142855"/>
    <n v="579063"/>
    <n v="46"/>
    <n v="42730.630434782608"/>
    <n v="1965609"/>
    <n v="45"/>
    <n v="44400.511111111111"/>
    <n v="1998023"/>
    <m/>
    <m/>
    <n v="1998023"/>
    <m/>
    <m/>
    <n v="0"/>
    <n v="3"/>
    <n v="115911"/>
    <n v="284515.14059999998"/>
    <n v="4"/>
    <n v="102126"/>
    <n v="334237.97279999999"/>
    <n v="3"/>
    <n v="83993"/>
    <n v="206169.21780000001"/>
    <m/>
    <m/>
    <n v="0"/>
    <n v="7"/>
    <n v="75800.28571428571"/>
    <n v="434138.5564"/>
    <n v="3"/>
    <n v="70334"/>
    <n v="172641.8364"/>
    <n v="2"/>
    <n v="45046"/>
    <n v="73713.274400000009"/>
    <n v="2"/>
    <n v="45046"/>
    <n v="73713.274400000009"/>
    <n v="4"/>
    <n v="65961.25"/>
    <n v="215877.97900000002"/>
    <n v="2"/>
    <n v="70358"/>
    <n v="115133.8312"/>
    <m/>
    <m/>
    <n v="0"/>
    <m/>
    <m/>
    <n v="0"/>
  </r>
  <r>
    <x v="13"/>
    <s v="Lamar University"/>
    <m/>
    <n v="226091"/>
    <x v="2"/>
    <n v="106"/>
    <n v="89905.801886792455"/>
    <n v="9530015"/>
    <n v="97"/>
    <n v="90335.938144329892"/>
    <n v="8762586"/>
    <n v="93"/>
    <n v="72144.559139784949"/>
    <n v="6709444"/>
    <n v="105"/>
    <n v="71468.333333333328"/>
    <n v="7504174.9999999991"/>
    <n v="103"/>
    <n v="61164.699029126212"/>
    <n v="6299964"/>
    <n v="81"/>
    <n v="60340.728395061727"/>
    <n v="4887599"/>
    <n v="105"/>
    <n v="41380.81904761905"/>
    <n v="4344986"/>
    <n v="94"/>
    <n v="42237.031914893618"/>
    <n v="3970281"/>
    <n v="0"/>
    <n v="0"/>
    <n v="0"/>
    <n v="10"/>
    <n v="45119.3"/>
    <n v="451193"/>
    <m/>
    <m/>
    <n v="451193"/>
    <m/>
    <m/>
    <n v="0"/>
    <m/>
    <m/>
    <n v="0"/>
    <m/>
    <m/>
    <n v="0"/>
    <n v="1"/>
    <n v="118758"/>
    <n v="97167.795599999998"/>
    <n v="1"/>
    <n v="118758"/>
    <n v="97167.795599999998"/>
    <m/>
    <m/>
    <n v="0"/>
    <m/>
    <m/>
    <n v="0"/>
    <m/>
    <m/>
    <n v="0"/>
    <m/>
    <m/>
    <n v="0"/>
    <n v="0"/>
    <n v="0"/>
    <n v="0"/>
    <n v="0"/>
    <n v="0"/>
    <n v="0"/>
    <m/>
    <m/>
    <n v="0"/>
    <m/>
    <m/>
    <n v="0"/>
  </r>
  <r>
    <x v="13"/>
    <s v="Midwestern State University"/>
    <m/>
    <n v="226833"/>
    <x v="2"/>
    <n v="49"/>
    <n v="81936.204081632648"/>
    <n v="4014873.9999999995"/>
    <n v="52"/>
    <n v="76003.076923076922"/>
    <n v="3952160"/>
    <n v="55"/>
    <n v="67109.290909090909"/>
    <n v="3691011"/>
    <n v="43"/>
    <n v="67006.558139534885"/>
    <n v="2881282"/>
    <n v="92"/>
    <n v="58236.043478260872"/>
    <n v="5357716"/>
    <n v="77"/>
    <n v="57163.142857142855"/>
    <n v="4401562"/>
    <n v="30"/>
    <n v="41413.466666666667"/>
    <n v="1242404"/>
    <n v="17"/>
    <n v="39824.705882352944"/>
    <n v="677020"/>
    <n v="0"/>
    <n v="0"/>
    <n v="0"/>
    <n v="0"/>
    <n v="0"/>
    <n v="0"/>
    <m/>
    <m/>
    <n v="0"/>
    <m/>
    <m/>
    <n v="0"/>
    <m/>
    <m/>
    <n v="0"/>
    <m/>
    <m/>
    <n v="0"/>
    <m/>
    <m/>
    <n v="0"/>
    <m/>
    <m/>
    <n v="0"/>
    <m/>
    <m/>
    <n v="0"/>
    <m/>
    <m/>
    <n v="0"/>
    <m/>
    <m/>
    <n v="0"/>
    <m/>
    <m/>
    <n v="0"/>
    <n v="0"/>
    <n v="0"/>
    <n v="0"/>
    <n v="0"/>
    <n v="0"/>
    <n v="0"/>
    <m/>
    <m/>
    <n v="0"/>
    <m/>
    <m/>
    <n v="0"/>
  </r>
  <r>
    <x v="13"/>
    <s v="Prairie View A&amp;M University"/>
    <m/>
    <n v="227526"/>
    <x v="2"/>
    <n v="42"/>
    <n v="80783.047619047618"/>
    <n v="3392888"/>
    <n v="43"/>
    <n v="82160.372093023252"/>
    <n v="3532896"/>
    <n v="74"/>
    <n v="67316.621621621627"/>
    <n v="4981430"/>
    <n v="73"/>
    <n v="66670.520547945212"/>
    <n v="4866948.0000000009"/>
    <n v="53"/>
    <n v="61215.886792452831"/>
    <n v="3244442"/>
    <n v="52"/>
    <n v="59048.384615384617"/>
    <n v="3070516"/>
    <n v="2"/>
    <n v="52118"/>
    <n v="104236"/>
    <n v="2"/>
    <n v="49618"/>
    <n v="99236"/>
    <n v="119"/>
    <n v="51446"/>
    <n v="6122074"/>
    <n v="107"/>
    <n v="52019.084112149532"/>
    <n v="5566042"/>
    <m/>
    <m/>
    <n v="5566042"/>
    <m/>
    <m/>
    <n v="0"/>
    <n v="23"/>
    <n v="123399.91304347826"/>
    <n v="2322213.6036"/>
    <n v="19"/>
    <n v="121124.89473684211"/>
    <n v="1882983.3886000002"/>
    <n v="14"/>
    <n v="97775.78571428571"/>
    <n v="1120002.0702"/>
    <n v="18"/>
    <n v="103651.55555555556"/>
    <n v="1526538.6496000001"/>
    <n v="4"/>
    <n v="87021.25"/>
    <n v="284803.147"/>
    <n v="3"/>
    <n v="86996.333333333328"/>
    <n v="213541.1998"/>
    <m/>
    <m/>
    <n v="0"/>
    <m/>
    <m/>
    <n v="0"/>
    <n v="16"/>
    <n v="3875.015625"/>
    <n v="50728.604550000004"/>
    <n v="13"/>
    <n v="5262.3076923076924"/>
    <n v="55973.062000000005"/>
    <m/>
    <m/>
    <n v="0"/>
    <m/>
    <m/>
    <n v="0"/>
  </r>
  <r>
    <x v="13"/>
    <s v="Sam Houston State University "/>
    <m/>
    <n v="227881"/>
    <x v="2"/>
    <n v="139"/>
    <n v="89913.12230215827"/>
    <n v="12497924"/>
    <n v="138"/>
    <n v="87267.586956521744"/>
    <n v="12042927"/>
    <n v="137"/>
    <n v="70371.197080291968"/>
    <n v="9640854"/>
    <n v="152"/>
    <n v="69005.78289473684"/>
    <n v="10488879"/>
    <n v="195"/>
    <n v="60680.492307692308"/>
    <n v="11832696"/>
    <n v="172"/>
    <n v="59802.906976744183"/>
    <n v="10286100"/>
    <n v="2"/>
    <n v="54342"/>
    <n v="108684"/>
    <n v="1"/>
    <n v="54720"/>
    <n v="54720"/>
    <n v="49"/>
    <n v="46632.122448979593"/>
    <n v="2284974"/>
    <n v="35"/>
    <n v="48470.914285714287"/>
    <n v="1696482"/>
    <m/>
    <m/>
    <n v="1696482"/>
    <m/>
    <m/>
    <n v="0"/>
    <m/>
    <m/>
    <n v="0"/>
    <m/>
    <m/>
    <n v="0"/>
    <m/>
    <m/>
    <n v="0"/>
    <m/>
    <m/>
    <n v="0"/>
    <m/>
    <m/>
    <n v="0"/>
    <m/>
    <m/>
    <n v="0"/>
    <m/>
    <m/>
    <n v="0"/>
    <m/>
    <m/>
    <n v="0"/>
    <n v="0"/>
    <n v="0"/>
    <n v="0"/>
    <n v="0"/>
    <n v="0"/>
    <n v="0"/>
    <m/>
    <m/>
    <n v="0"/>
    <m/>
    <m/>
    <n v="0"/>
  </r>
  <r>
    <x v="13"/>
    <s v="Stephen F. Austin State University"/>
    <m/>
    <n v="228431"/>
    <x v="2"/>
    <n v="43"/>
    <n v="80072.232558139542"/>
    <n v="3443106.0000000005"/>
    <n v="91"/>
    <n v="80516.175824175822"/>
    <n v="7326972"/>
    <n v="75"/>
    <n v="71091.733333333337"/>
    <n v="5331880"/>
    <n v="99"/>
    <n v="62983.767676767675"/>
    <n v="6235393"/>
    <n v="140"/>
    <n v="57860.85"/>
    <n v="8100519"/>
    <n v="112"/>
    <n v="53731.767857142855"/>
    <n v="6017958"/>
    <n v="33"/>
    <n v="55776.242424242424"/>
    <n v="1840616"/>
    <n v="24"/>
    <n v="47678.5"/>
    <n v="1144284"/>
    <n v="72"/>
    <n v="49528.902777777781"/>
    <n v="3566081"/>
    <n v="138"/>
    <n v="41165.15217391304"/>
    <n v="5680791"/>
    <m/>
    <m/>
    <n v="5680791"/>
    <m/>
    <m/>
    <n v="0"/>
    <n v="16"/>
    <n v="106450.5625"/>
    <n v="1393565.6038000002"/>
    <n v="12"/>
    <n v="112556.08333333333"/>
    <n v="1105120.6486"/>
    <n v="7"/>
    <n v="96478"/>
    <n v="552568.09720000008"/>
    <n v="2"/>
    <n v="88282"/>
    <n v="144464.6648"/>
    <n v="25"/>
    <n v="57494.44"/>
    <n v="1176048.7702000001"/>
    <m/>
    <m/>
    <n v="0"/>
    <n v="10"/>
    <n v="50971.7"/>
    <n v="417050.44940000004"/>
    <n v="1"/>
    <n v="80452"/>
    <n v="65825.826400000005"/>
    <n v="26"/>
    <n v="53862.096153846156"/>
    <n v="1145819.1439"/>
    <n v="11"/>
    <n v="92452.545454545456"/>
    <n v="832091.3996"/>
    <m/>
    <m/>
    <n v="0"/>
    <m/>
    <m/>
    <n v="0"/>
  </r>
  <r>
    <x v="13"/>
    <s v="Sul Ross State University "/>
    <m/>
    <n v="228501"/>
    <x v="2"/>
    <n v="37"/>
    <n v="69299.108108108107"/>
    <n v="2564067"/>
    <n v="33"/>
    <n v="68805.181818181823"/>
    <n v="2270571"/>
    <n v="34"/>
    <n v="53246.205882352944"/>
    <n v="1810371"/>
    <n v="32"/>
    <n v="53448.71875"/>
    <n v="1710359"/>
    <n v="24"/>
    <n v="47440.791666666664"/>
    <n v="1138579"/>
    <n v="23"/>
    <n v="47629.130434782608"/>
    <n v="1095470"/>
    <n v="1"/>
    <n v="45820"/>
    <n v="45820"/>
    <n v="2"/>
    <n v="41905"/>
    <n v="83810"/>
    <n v="22"/>
    <n v="43167.772727272728"/>
    <n v="949691"/>
    <n v="22"/>
    <n v="41636.954545454544"/>
    <n v="916013"/>
    <m/>
    <m/>
    <n v="916013"/>
    <m/>
    <m/>
    <n v="0"/>
    <n v="4"/>
    <n v="103896.75"/>
    <n v="340033.28340000001"/>
    <n v="4"/>
    <n v="99057.25"/>
    <n v="324194.56780000002"/>
    <n v="2"/>
    <n v="78761"/>
    <n v="128884.5004"/>
    <n v="1"/>
    <n v="81742"/>
    <n v="66881.304400000008"/>
    <n v="1"/>
    <n v="61710"/>
    <n v="50491.122000000003"/>
    <m/>
    <m/>
    <n v="0"/>
    <n v="1"/>
    <n v="42972"/>
    <n v="35159.690399999999"/>
    <n v="1"/>
    <n v="42972"/>
    <n v="35159.690399999999"/>
    <n v="1"/>
    <n v="49446"/>
    <n v="40456.717199999999"/>
    <n v="1"/>
    <n v="49446"/>
    <n v="40456.717199999999"/>
    <m/>
    <m/>
    <n v="0"/>
    <m/>
    <m/>
    <n v="0"/>
  </r>
  <r>
    <x v="13"/>
    <s v="Tarleton State University"/>
    <m/>
    <n v="228529"/>
    <x v="2"/>
    <n v="56"/>
    <n v="77051.375"/>
    <n v="4314877"/>
    <n v="48"/>
    <n v="77237.375"/>
    <n v="3707394"/>
    <n v="57"/>
    <n v="65302.84210526316"/>
    <n v="3722262"/>
    <n v="60"/>
    <n v="66452"/>
    <n v="3987120"/>
    <n v="114"/>
    <n v="52956.491228070176"/>
    <n v="6037040"/>
    <n v="123"/>
    <n v="53791.845528455284"/>
    <n v="6616397"/>
    <n v="41"/>
    <n v="41173.512195121948"/>
    <n v="1688113.9999999998"/>
    <n v="42"/>
    <n v="42116.380952380954"/>
    <n v="1768888"/>
    <n v="14"/>
    <n v="33162.785714285717"/>
    <n v="464279.00000000006"/>
    <n v="11"/>
    <n v="37515.181818181816"/>
    <n v="412667"/>
    <m/>
    <m/>
    <n v="412667"/>
    <m/>
    <m/>
    <n v="0"/>
    <n v="7"/>
    <n v="102580.28571428571"/>
    <n v="587518.3284"/>
    <n v="14"/>
    <n v="108567.07142857143"/>
    <n v="1243614.0898"/>
    <n v="8"/>
    <n v="84533.125"/>
    <n v="553320.02300000004"/>
    <n v="22"/>
    <n v="92900"/>
    <n v="1672237.1600000001"/>
    <n v="23"/>
    <n v="73840.434782608689"/>
    <n v="1389573.6059999999"/>
    <n v="22"/>
    <n v="75777"/>
    <n v="1364016.3108000001"/>
    <n v="19"/>
    <n v="61892.57894736842"/>
    <n v="962169.65380000009"/>
    <n v="26"/>
    <n v="59537.230769230766"/>
    <n v="1266547.4176"/>
    <n v="5"/>
    <n v="9782.16"/>
    <n v="40018.816560000007"/>
    <n v="5"/>
    <n v="11995.48"/>
    <n v="49073.508679999999"/>
    <m/>
    <m/>
    <n v="0"/>
    <m/>
    <m/>
    <n v="0"/>
  </r>
  <r>
    <x v="13"/>
    <s v="Texas A&amp;M International University"/>
    <m/>
    <n v="226152"/>
    <x v="2"/>
    <n v="17"/>
    <n v="83214.529411764699"/>
    <n v="1414647"/>
    <n v="17"/>
    <n v="86671.411764705888"/>
    <n v="1473414"/>
    <n v="40"/>
    <n v="67048.425000000003"/>
    <n v="2681937"/>
    <n v="44"/>
    <n v="69353.454545454544"/>
    <n v="3051552"/>
    <n v="89"/>
    <n v="61517.067415730337"/>
    <n v="5475019"/>
    <n v="77"/>
    <n v="63626.493506493505"/>
    <n v="4899240"/>
    <n v="27"/>
    <n v="42588.666666666664"/>
    <n v="1149894"/>
    <n v="29"/>
    <n v="43218.34482758621"/>
    <n v="1253332"/>
    <n v="1"/>
    <n v="105724"/>
    <n v="105724"/>
    <n v="1"/>
    <n v="105723"/>
    <n v="105723"/>
    <m/>
    <m/>
    <n v="105723"/>
    <m/>
    <m/>
    <n v="0"/>
    <n v="11"/>
    <n v="123988.81818181818"/>
    <n v="1115924.1614000001"/>
    <n v="10"/>
    <n v="130535.3"/>
    <n v="1068039.8245999999"/>
    <n v="6"/>
    <n v="99514.166666666672"/>
    <n v="488534.94700000004"/>
    <n v="6"/>
    <n v="102055.83333333333"/>
    <n v="501012.49700000003"/>
    <n v="5"/>
    <n v="87345.600000000006"/>
    <n v="357330.84960000002"/>
    <n v="6"/>
    <n v="83941.833333333328"/>
    <n v="412087.24820000003"/>
    <n v="1"/>
    <n v="51135"/>
    <n v="41838.656999999999"/>
    <n v="1"/>
    <n v="52670"/>
    <n v="43094.594000000005"/>
    <n v="0"/>
    <n v="0"/>
    <n v="0"/>
    <n v="0"/>
    <n v="0"/>
    <n v="0"/>
    <m/>
    <m/>
    <n v="0"/>
    <m/>
    <m/>
    <n v="0"/>
  </r>
  <r>
    <x v="13"/>
    <s v="Texas A&amp;M University-Commerce"/>
    <m/>
    <n v="224554"/>
    <x v="2"/>
    <n v="37"/>
    <n v="81140.729729729734"/>
    <n v="3002207"/>
    <n v="58"/>
    <n v="85014.706896551725"/>
    <n v="4930853"/>
    <n v="42"/>
    <n v="64968.190476190473"/>
    <n v="2728664"/>
    <n v="53"/>
    <n v="65378.207547169812"/>
    <n v="3465045"/>
    <n v="118"/>
    <n v="55688.211864406781"/>
    <n v="6571209"/>
    <n v="112"/>
    <n v="60338.517857142855"/>
    <n v="6757914"/>
    <n v="55"/>
    <n v="50351.30909090909"/>
    <n v="2769322"/>
    <n v="54"/>
    <n v="50029.518518518518"/>
    <n v="2701594"/>
    <n v="0"/>
    <n v="0"/>
    <n v="0"/>
    <n v="0"/>
    <n v="0"/>
    <n v="0"/>
    <m/>
    <m/>
    <n v="0"/>
    <m/>
    <m/>
    <n v="0"/>
    <n v="2"/>
    <n v="109669.5"/>
    <n v="179463.1698"/>
    <n v="2"/>
    <n v="105561"/>
    <n v="172740.02040000001"/>
    <m/>
    <m/>
    <n v="0"/>
    <m/>
    <m/>
    <n v="0"/>
    <n v="3"/>
    <n v="52735.666666666664"/>
    <n v="129444.96740000001"/>
    <n v="5"/>
    <n v="63797.2"/>
    <n v="260994.34520000001"/>
    <n v="11"/>
    <n v="46716.63636363636"/>
    <n v="420459.07059999998"/>
    <n v="1"/>
    <n v="59689"/>
    <n v="48837.539800000006"/>
    <n v="0"/>
    <n v="0"/>
    <n v="0"/>
    <n v="0"/>
    <n v="0"/>
    <n v="0"/>
    <m/>
    <m/>
    <n v="0"/>
    <m/>
    <m/>
    <n v="0"/>
  </r>
  <r>
    <x v="13"/>
    <s v="Texas A&amp;M University-Corpus Christi "/>
    <m/>
    <n v="224147"/>
    <x v="2"/>
    <n v="87"/>
    <n v="87981.103448275855"/>
    <n v="7654355.9999999991"/>
    <n v="85"/>
    <n v="86970.423529411768"/>
    <n v="7392486"/>
    <n v="82"/>
    <n v="70367.463414634141"/>
    <n v="5770132"/>
    <n v="80"/>
    <n v="70878.975000000006"/>
    <n v="5670318"/>
    <n v="74"/>
    <n v="62599.054054054053"/>
    <n v="4632330"/>
    <n v="70"/>
    <n v="62519.199999999997"/>
    <n v="4376344"/>
    <m/>
    <m/>
    <n v="0"/>
    <m/>
    <m/>
    <n v="0"/>
    <n v="0"/>
    <n v="0"/>
    <n v="0"/>
    <n v="0"/>
    <n v="0"/>
    <n v="0"/>
    <m/>
    <m/>
    <n v="0"/>
    <m/>
    <m/>
    <n v="0"/>
    <m/>
    <m/>
    <n v="0"/>
    <m/>
    <m/>
    <n v="0"/>
    <m/>
    <m/>
    <n v="0"/>
    <m/>
    <m/>
    <n v="0"/>
    <m/>
    <m/>
    <n v="0"/>
    <m/>
    <m/>
    <n v="0"/>
    <m/>
    <m/>
    <n v="0"/>
    <m/>
    <m/>
    <n v="0"/>
    <n v="0"/>
    <n v="0"/>
    <n v="0"/>
    <n v="0"/>
    <n v="0"/>
    <n v="0"/>
    <m/>
    <m/>
    <n v="0"/>
    <m/>
    <m/>
    <n v="0"/>
  </r>
  <r>
    <x v="13"/>
    <s v="Texas A&amp;M University-Kingsville"/>
    <m/>
    <n v="228705"/>
    <x v="2"/>
    <n v="66"/>
    <n v="80008.545454545456"/>
    <n v="5280564"/>
    <n v="70"/>
    <n v="75801.685714285719"/>
    <n v="5306118"/>
    <n v="67"/>
    <n v="66702.432835820902"/>
    <n v="4469063"/>
    <n v="72"/>
    <n v="65491.347222222219"/>
    <n v="4715377"/>
    <n v="126"/>
    <n v="60056.468253968254"/>
    <n v="7567115"/>
    <n v="118"/>
    <n v="68943.58474576271"/>
    <n v="8135343"/>
    <n v="2"/>
    <n v="51931"/>
    <n v="103862"/>
    <n v="2"/>
    <n v="56999"/>
    <n v="113998"/>
    <n v="62"/>
    <n v="41002.370967741932"/>
    <n v="2542147"/>
    <n v="84"/>
    <n v="25351.976190476191"/>
    <n v="2129566"/>
    <m/>
    <m/>
    <n v="2129566"/>
    <m/>
    <m/>
    <n v="0"/>
    <n v="20"/>
    <n v="98734.9"/>
    <n v="1615697.9036000001"/>
    <n v="15"/>
    <n v="136284.13333333333"/>
    <n v="1672615.1684000001"/>
    <n v="11"/>
    <n v="80977.636363636368"/>
    <n v="728814.92280000006"/>
    <n v="8"/>
    <n v="85853.375"/>
    <n v="561961.85140000004"/>
    <n v="5"/>
    <n v="64394"/>
    <n v="263435.85399999999"/>
    <n v="21"/>
    <n v="23160.095238095237"/>
    <n v="397941.3884"/>
    <n v="1"/>
    <n v="36000"/>
    <n v="29455.200000000001"/>
    <m/>
    <m/>
    <n v="0"/>
    <n v="0"/>
    <n v="0"/>
    <n v="0"/>
    <n v="0"/>
    <n v="0"/>
    <n v="0"/>
    <m/>
    <m/>
    <n v="0"/>
    <m/>
    <m/>
    <n v="0"/>
  </r>
  <r>
    <x v="13"/>
    <s v="Texas Southern University "/>
    <m/>
    <n v="229063"/>
    <x v="2"/>
    <n v="71"/>
    <n v="101030.1690140845"/>
    <n v="7173142"/>
    <n v="27"/>
    <n v="107810.18518518518"/>
    <n v="2910875"/>
    <n v="80"/>
    <n v="82120.399999999994"/>
    <n v="6569632"/>
    <n v="39"/>
    <n v="77672.282051282047"/>
    <n v="3029219"/>
    <n v="82"/>
    <n v="68556.670731707316"/>
    <n v="5621647"/>
    <n v="39"/>
    <n v="65300.897435897437"/>
    <n v="2546735"/>
    <n v="13"/>
    <n v="50111.538461538461"/>
    <n v="651450"/>
    <n v="1"/>
    <n v="50950"/>
    <n v="50950"/>
    <n v="92"/>
    <n v="45811.543478260872"/>
    <n v="4214662"/>
    <n v="33"/>
    <n v="46821.757575757576"/>
    <n v="1545118"/>
    <m/>
    <m/>
    <n v="1545118"/>
    <m/>
    <m/>
    <n v="0"/>
    <n v="12"/>
    <n v="116474.16666666667"/>
    <n v="1143589.9580000001"/>
    <n v="88"/>
    <n v="115445.38636363637"/>
    <n v="8312252.5308000008"/>
    <n v="5"/>
    <n v="104226.2"/>
    <n v="426389.38420000003"/>
    <n v="79"/>
    <n v="93119.088607594938"/>
    <n v="6019013.0256000003"/>
    <n v="4"/>
    <n v="80526.75"/>
    <n v="263547.9474"/>
    <n v="44"/>
    <n v="72189.863636363632"/>
    <n v="2598892.8428000002"/>
    <n v="1"/>
    <n v="140000"/>
    <n v="114548"/>
    <n v="5"/>
    <n v="55704.4"/>
    <n v="227886.7004"/>
    <n v="5"/>
    <n v="21498.65"/>
    <n v="87950.977150000006"/>
    <n v="45"/>
    <n v="48338.6"/>
    <n v="1779778.9134000002"/>
    <m/>
    <m/>
    <n v="0"/>
    <m/>
    <m/>
    <n v="0"/>
  </r>
  <r>
    <x v="13"/>
    <s v="Texas State University-San Marcos"/>
    <m/>
    <n v="228459"/>
    <x v="2"/>
    <n v="236"/>
    <n v="87816.639830508473"/>
    <n v="20724727"/>
    <n v="237"/>
    <n v="87755.008438818564"/>
    <n v="20797937"/>
    <n v="189"/>
    <n v="70482.936507936509"/>
    <n v="13321275"/>
    <n v="219"/>
    <n v="68016.954337899544"/>
    <n v="14895713"/>
    <n v="275"/>
    <n v="60889.69090909091"/>
    <n v="16744665"/>
    <n v="263"/>
    <n v="62547.41825095057"/>
    <n v="16449971"/>
    <n v="5"/>
    <n v="43743.8"/>
    <n v="218719"/>
    <n v="4"/>
    <n v="46958.75"/>
    <n v="187835"/>
    <n v="303"/>
    <n v="41999.485148514854"/>
    <n v="12725844"/>
    <n v="313"/>
    <n v="43136.955271565494"/>
    <n v="13501867"/>
    <m/>
    <m/>
    <n v="13501867"/>
    <m/>
    <m/>
    <n v="0"/>
    <n v="34"/>
    <n v="134507.14705882352"/>
    <n v="3741827.4226000002"/>
    <n v="31"/>
    <n v="138712.96774193548"/>
    <n v="3518343.4564"/>
    <n v="10"/>
    <n v="113961"/>
    <n v="932428.902"/>
    <n v="8"/>
    <n v="122667.5"/>
    <n v="802932.38800000004"/>
    <n v="1"/>
    <n v="80826"/>
    <n v="66131.833200000008"/>
    <m/>
    <m/>
    <n v="0"/>
    <m/>
    <m/>
    <n v="0"/>
    <m/>
    <m/>
    <n v="0"/>
    <n v="0"/>
    <n v="0"/>
    <n v="0"/>
    <n v="0"/>
    <n v="0"/>
    <n v="0"/>
    <m/>
    <m/>
    <n v="0"/>
    <m/>
    <m/>
    <n v="0"/>
  </r>
  <r>
    <x v="13"/>
    <s v="University of Houston-Clear Lake "/>
    <m/>
    <n v="225414"/>
    <x v="2"/>
    <n v="43"/>
    <n v="95740.30232558139"/>
    <n v="4116832.9999999995"/>
    <n v="42"/>
    <n v="95137.404761904763"/>
    <n v="3995771"/>
    <n v="80"/>
    <n v="72614.487500000003"/>
    <n v="5809159"/>
    <n v="83"/>
    <n v="72574.590361445778"/>
    <n v="6023691"/>
    <n v="66"/>
    <n v="63210.803030303032"/>
    <n v="4171913"/>
    <n v="70"/>
    <n v="61499.285714285717"/>
    <n v="4304950"/>
    <n v="1"/>
    <n v="36432"/>
    <n v="36432"/>
    <n v="1"/>
    <n v="46700"/>
    <n v="46700"/>
    <n v="36"/>
    <n v="53360"/>
    <n v="1920960"/>
    <n v="37"/>
    <n v="52610.351351351354"/>
    <n v="1946583"/>
    <m/>
    <m/>
    <n v="1946583"/>
    <m/>
    <m/>
    <n v="0"/>
    <n v="1"/>
    <n v="87011"/>
    <n v="71192.400200000004"/>
    <n v="1"/>
    <n v="87011"/>
    <n v="71192.400200000004"/>
    <m/>
    <m/>
    <n v="0"/>
    <m/>
    <m/>
    <n v="0"/>
    <m/>
    <m/>
    <n v="0"/>
    <m/>
    <m/>
    <n v="0"/>
    <m/>
    <m/>
    <n v="0"/>
    <m/>
    <m/>
    <n v="0"/>
    <n v="3"/>
    <n v="28329.555555555558"/>
    <n v="69537.727066666674"/>
    <n v="3"/>
    <n v="28329.555555555558"/>
    <n v="69537.727066666674"/>
    <m/>
    <m/>
    <n v="0"/>
    <m/>
    <m/>
    <n v="0"/>
  </r>
  <r>
    <x v="13"/>
    <s v="University of Texas at Brownsville"/>
    <m/>
    <n v="227377"/>
    <x v="2"/>
    <n v="47"/>
    <n v="79551.404255319154"/>
    <n v="3738916"/>
    <n v="55"/>
    <n v="80271.909090909088"/>
    <n v="4414955"/>
    <n v="97"/>
    <n v="66933.958762886599"/>
    <n v="6492594"/>
    <n v="121"/>
    <n v="66129.165289256198"/>
    <n v="8001629"/>
    <n v="109"/>
    <n v="57233.963302752294"/>
    <n v="6238502"/>
    <n v="123"/>
    <n v="57012.300813008129"/>
    <n v="7012513"/>
    <n v="65"/>
    <n v="56230.092307692306"/>
    <n v="3654956"/>
    <n v="2"/>
    <n v="49250"/>
    <n v="98500"/>
    <n v="45"/>
    <n v="46873.844444444447"/>
    <n v="2109323"/>
    <n v="68"/>
    <n v="43398.117647058825"/>
    <n v="2951072"/>
    <m/>
    <m/>
    <n v="2951072"/>
    <m/>
    <m/>
    <n v="0"/>
    <m/>
    <m/>
    <n v="0"/>
    <n v="1"/>
    <n v="87976"/>
    <n v="71981.963199999998"/>
    <n v="4"/>
    <n v="83135"/>
    <n v="272084.228"/>
    <n v="9"/>
    <n v="81523.888888888891"/>
    <n v="600325.61300000001"/>
    <m/>
    <m/>
    <n v="0"/>
    <n v="14"/>
    <n v="63693.571428571428"/>
    <n v="729597.12200000009"/>
    <n v="22"/>
    <n v="65552.681818181823"/>
    <n v="1179974.4938000001"/>
    <m/>
    <m/>
    <n v="0"/>
    <n v="19"/>
    <n v="28614.315789473683"/>
    <n v="444832.43040000001"/>
    <n v="15"/>
    <n v="30276.366666666665"/>
    <n v="371581.8481"/>
    <m/>
    <m/>
    <n v="0"/>
    <m/>
    <m/>
    <n v="0"/>
  </r>
  <r>
    <x v="13"/>
    <s v="University of Texas at Tyler"/>
    <m/>
    <n v="228802"/>
    <x v="2"/>
    <n v="53"/>
    <n v="82754.094339622636"/>
    <n v="4385967"/>
    <n v="53"/>
    <n v="82223.60377358491"/>
    <n v="4357851"/>
    <n v="62"/>
    <n v="65676.774193548394"/>
    <n v="4071960.0000000005"/>
    <n v="68"/>
    <n v="66232.323529411762"/>
    <n v="4503798"/>
    <n v="68"/>
    <n v="60201.529411764706"/>
    <n v="4093704"/>
    <n v="71"/>
    <n v="59826.42253521127"/>
    <n v="4247676"/>
    <n v="42"/>
    <n v="46852.928571428572"/>
    <n v="1967823"/>
    <n v="41"/>
    <n v="47000.195121951219"/>
    <n v="1927008"/>
    <n v="46"/>
    <n v="49672.760869565216"/>
    <n v="2284947"/>
    <n v="43"/>
    <n v="45097.534883720931"/>
    <n v="1939194"/>
    <m/>
    <m/>
    <n v="1939194"/>
    <m/>
    <m/>
    <n v="0"/>
    <m/>
    <m/>
    <n v="0"/>
    <m/>
    <m/>
    <n v="0"/>
    <m/>
    <m/>
    <n v="0"/>
    <m/>
    <m/>
    <n v="0"/>
    <m/>
    <m/>
    <n v="0"/>
    <m/>
    <m/>
    <n v="0"/>
    <m/>
    <m/>
    <n v="0"/>
    <m/>
    <m/>
    <n v="0"/>
    <n v="0"/>
    <n v="0"/>
    <n v="0"/>
    <n v="0"/>
    <n v="0"/>
    <n v="0"/>
    <m/>
    <m/>
    <n v="0"/>
    <m/>
    <m/>
    <n v="0"/>
  </r>
  <r>
    <x v="13"/>
    <s v="University of Texas of the Permian Basin"/>
    <s v="Reclassified: Met the criteria for Four-Year 3 in 2009-10, 2010-11 and 2011-12."/>
    <n v="229018"/>
    <x v="2"/>
    <n v="22"/>
    <n v="85449.272727272721"/>
    <n v="1879883.9999999998"/>
    <n v="22"/>
    <n v="77545.363636363632"/>
    <n v="1705998"/>
    <n v="39"/>
    <n v="64714.871794871797"/>
    <n v="2523880"/>
    <n v="39"/>
    <n v="67136.58974358975"/>
    <n v="2618327"/>
    <n v="37"/>
    <n v="59876.324324324327"/>
    <n v="2215424"/>
    <n v="30"/>
    <n v="60123.966666666667"/>
    <n v="1803719"/>
    <m/>
    <m/>
    <n v="0"/>
    <m/>
    <m/>
    <n v="0"/>
    <n v="39"/>
    <n v="42076.205128205125"/>
    <n v="1640972"/>
    <n v="28"/>
    <n v="43345.678571428572"/>
    <n v="1213679"/>
    <m/>
    <m/>
    <n v="1213679"/>
    <m/>
    <m/>
    <n v="0"/>
    <m/>
    <m/>
    <n v="0"/>
    <m/>
    <m/>
    <n v="0"/>
    <m/>
    <m/>
    <n v="0"/>
    <m/>
    <m/>
    <n v="0"/>
    <m/>
    <m/>
    <n v="0"/>
    <m/>
    <m/>
    <n v="0"/>
    <m/>
    <m/>
    <n v="0"/>
    <m/>
    <m/>
    <n v="0"/>
    <n v="0"/>
    <n v="0"/>
    <n v="0"/>
    <n v="0"/>
    <n v="0"/>
    <n v="0"/>
    <m/>
    <m/>
    <n v="0"/>
    <m/>
    <m/>
    <n v="0"/>
  </r>
  <r>
    <x v="13"/>
    <s v="University of Texas-Pan American"/>
    <m/>
    <n v="227368"/>
    <x v="2"/>
    <n v="119"/>
    <n v="88289.663865546216"/>
    <n v="10506470"/>
    <n v="120"/>
    <n v="87241.983333333337"/>
    <n v="10469038"/>
    <n v="156"/>
    <n v="69466.461538461532"/>
    <n v="10836767.999999998"/>
    <n v="172"/>
    <n v="66978.232558139542"/>
    <n v="11520256.000000002"/>
    <n v="200"/>
    <n v="61253.52"/>
    <n v="12250704"/>
    <n v="165"/>
    <n v="62014.454545454544"/>
    <n v="10232385"/>
    <m/>
    <m/>
    <n v="0"/>
    <m/>
    <m/>
    <n v="0"/>
    <n v="163"/>
    <n v="48406.680981595091"/>
    <n v="7890289"/>
    <n v="158"/>
    <n v="47323.1835443038"/>
    <n v="7477063"/>
    <m/>
    <m/>
    <n v="7477063"/>
    <m/>
    <m/>
    <n v="0"/>
    <n v="1"/>
    <n v="103159"/>
    <n v="84404.693800000008"/>
    <n v="1"/>
    <n v="103159"/>
    <n v="84404.693800000008"/>
    <n v="2"/>
    <n v="86844"/>
    <n v="142111.52160000001"/>
    <n v="1"/>
    <n v="79039"/>
    <n v="64669.709800000004"/>
    <m/>
    <m/>
    <n v="0"/>
    <n v="1"/>
    <n v="74000"/>
    <n v="60546.8"/>
    <m/>
    <m/>
    <n v="0"/>
    <m/>
    <m/>
    <n v="0"/>
    <n v="16"/>
    <n v="68683.416666666672"/>
    <n v="899148.3442666668"/>
    <n v="13"/>
    <n v="85045"/>
    <n v="904589.647"/>
    <m/>
    <m/>
    <n v="0"/>
    <m/>
    <m/>
    <n v="0"/>
  </r>
  <r>
    <x v="13"/>
    <s v="West Texas A&amp;M University"/>
    <m/>
    <n v="229814"/>
    <x v="2"/>
    <n v="44"/>
    <n v="75781.045454545456"/>
    <n v="3334366"/>
    <n v="38"/>
    <n v="79154.394736842107"/>
    <n v="3007867"/>
    <n v="56"/>
    <n v="63801.75"/>
    <n v="3572898"/>
    <n v="50"/>
    <n v="65530.22"/>
    <n v="3276511"/>
    <n v="88"/>
    <n v="58877.522727272728"/>
    <n v="5181222"/>
    <n v="82"/>
    <n v="61257.012195121948"/>
    <n v="5023075"/>
    <n v="74"/>
    <n v="46702.486486486487"/>
    <n v="3455984"/>
    <n v="63"/>
    <n v="46560.333333333336"/>
    <n v="2933301"/>
    <n v="0"/>
    <n v="0"/>
    <n v="0"/>
    <n v="0"/>
    <n v="0"/>
    <n v="0"/>
    <m/>
    <m/>
    <n v="0"/>
    <m/>
    <m/>
    <n v="0"/>
    <m/>
    <m/>
    <n v="0"/>
    <n v="6"/>
    <n v="119842.33333333333"/>
    <n v="588329.9828"/>
    <m/>
    <m/>
    <n v="0"/>
    <n v="3"/>
    <n v="93709.333333333328"/>
    <n v="230018.9296"/>
    <m/>
    <m/>
    <n v="0"/>
    <n v="3"/>
    <n v="85923.333333333328"/>
    <n v="210907.41400000002"/>
    <m/>
    <m/>
    <n v="0"/>
    <n v="4"/>
    <n v="55878"/>
    <n v="182877.5184"/>
    <n v="0"/>
    <n v="0"/>
    <n v="0"/>
    <n v="0"/>
    <n v="0"/>
    <n v="0"/>
    <m/>
    <m/>
    <n v="0"/>
    <m/>
    <m/>
    <n v="0"/>
  </r>
  <r>
    <x v="13"/>
    <s v="Texas A&amp;M -Texarkana"/>
    <m/>
    <n v="224545"/>
    <x v="3"/>
    <n v="22"/>
    <n v="78579.681818181823"/>
    <n v="1728753"/>
    <n v="21"/>
    <n v="81915.142857142855"/>
    <n v="1720218"/>
    <n v="20"/>
    <n v="62416.95"/>
    <n v="1248339"/>
    <n v="19"/>
    <n v="62658.526315789473"/>
    <n v="1190512"/>
    <n v="11"/>
    <n v="61342.727272727272"/>
    <n v="674770"/>
    <n v="13"/>
    <n v="61755.384615384617"/>
    <n v="802820"/>
    <n v="3"/>
    <n v="49681.333333333336"/>
    <n v="149044"/>
    <n v="4"/>
    <n v="52999.5"/>
    <n v="211998"/>
    <n v="0"/>
    <n v="0"/>
    <n v="0"/>
    <n v="0"/>
    <n v="0"/>
    <n v="0"/>
    <m/>
    <m/>
    <n v="0"/>
    <m/>
    <m/>
    <n v="0"/>
    <n v="4"/>
    <n v="129985"/>
    <n v="425414.908"/>
    <n v="3"/>
    <n v="139901"/>
    <n v="343400.99460000003"/>
    <m/>
    <m/>
    <n v="0"/>
    <n v="1"/>
    <n v="108199"/>
    <n v="88528.421800000011"/>
    <m/>
    <m/>
    <n v="0"/>
    <n v="3"/>
    <n v="73666.333333333328"/>
    <n v="180821.3818"/>
    <n v="2"/>
    <n v="59250"/>
    <n v="96956.700000000012"/>
    <n v="5"/>
    <n v="65577.399999999994"/>
    <n v="268277.1434"/>
    <n v="0"/>
    <n v="0"/>
    <n v="0"/>
    <n v="0"/>
    <n v="0"/>
    <n v="0"/>
    <m/>
    <m/>
    <n v="0"/>
    <m/>
    <m/>
    <n v="0"/>
  </r>
  <r>
    <x v="13"/>
    <s v="University of Houston-Victoria"/>
    <m/>
    <n v="225502"/>
    <x v="3"/>
    <n v="22"/>
    <n v="90521.227272727279"/>
    <n v="1991467.0000000002"/>
    <n v="18"/>
    <n v="87885.5"/>
    <n v="1581939"/>
    <n v="33"/>
    <n v="78638.333333333328"/>
    <n v="2595065"/>
    <n v="30"/>
    <n v="78799.600000000006"/>
    <n v="2363988"/>
    <n v="38"/>
    <n v="68734.263157894733"/>
    <n v="2611902"/>
    <n v="54"/>
    <n v="70406.462962962964"/>
    <n v="3801949"/>
    <n v="6"/>
    <n v="42768.5"/>
    <n v="256611"/>
    <m/>
    <m/>
    <n v="0"/>
    <n v="13"/>
    <n v="59072.076923076922"/>
    <n v="767937"/>
    <n v="15"/>
    <n v="44154.8"/>
    <n v="662322"/>
    <m/>
    <m/>
    <n v="662322"/>
    <m/>
    <m/>
    <n v="0"/>
    <n v="4"/>
    <n v="144598.5"/>
    <n v="473241.97080000001"/>
    <n v="6"/>
    <n v="138316.16666666666"/>
    <n v="679021.7254"/>
    <m/>
    <m/>
    <n v="0"/>
    <n v="1"/>
    <n v="141996"/>
    <n v="116181.1272"/>
    <m/>
    <m/>
    <n v="0"/>
    <m/>
    <m/>
    <n v="0"/>
    <m/>
    <m/>
    <n v="0"/>
    <m/>
    <m/>
    <n v="0"/>
    <n v="0"/>
    <n v="0"/>
    <n v="0"/>
    <n v="0"/>
    <n v="0"/>
    <n v="0"/>
    <m/>
    <m/>
    <n v="0"/>
    <m/>
    <m/>
    <n v="0"/>
  </r>
  <r>
    <x v="13"/>
    <s v="Sul Ross State University-Rio Grande College"/>
    <m/>
    <s v="228501B"/>
    <x v="4"/>
    <m/>
    <m/>
    <n v="0"/>
    <m/>
    <m/>
    <n v="0"/>
    <m/>
    <m/>
    <n v="0"/>
    <m/>
    <m/>
    <n v="0"/>
    <m/>
    <m/>
    <n v="0"/>
    <m/>
    <m/>
    <n v="0"/>
    <m/>
    <m/>
    <n v="0"/>
    <m/>
    <m/>
    <n v="0"/>
    <n v="0"/>
    <n v="0"/>
    <n v="0"/>
    <n v="0"/>
    <n v="0"/>
    <n v="0"/>
    <m/>
    <m/>
    <n v="0"/>
    <m/>
    <m/>
    <n v="0"/>
    <m/>
    <m/>
    <n v="0"/>
    <m/>
    <m/>
    <n v="0"/>
    <m/>
    <m/>
    <n v="0"/>
    <m/>
    <m/>
    <n v="0"/>
    <m/>
    <m/>
    <n v="0"/>
    <m/>
    <m/>
    <n v="0"/>
    <m/>
    <m/>
    <n v="0"/>
    <m/>
    <m/>
    <n v="0"/>
    <n v="0"/>
    <n v="0"/>
    <n v="0"/>
    <n v="0"/>
    <n v="0"/>
    <n v="0"/>
    <m/>
    <m/>
    <n v="0"/>
    <m/>
    <m/>
    <n v="0"/>
  </r>
  <r>
    <x v="13"/>
    <s v="University of Houston-Downtown"/>
    <m/>
    <n v="225432"/>
    <x v="4"/>
    <n v="44"/>
    <n v="88609.636363636368"/>
    <n v="3898824"/>
    <n v="52"/>
    <n v="85992.326923076922"/>
    <n v="4471601"/>
    <n v="88"/>
    <n v="69842.886363636368"/>
    <n v="6146174"/>
    <n v="97"/>
    <n v="67736.969072164953"/>
    <n v="6570486"/>
    <n v="97"/>
    <n v="57375.247422680412"/>
    <n v="5565399"/>
    <n v="86"/>
    <n v="57194.197674418603"/>
    <n v="4918701"/>
    <n v="7"/>
    <n v="63118.142857142855"/>
    <n v="441827"/>
    <n v="3"/>
    <n v="62000"/>
    <n v="186000"/>
    <n v="40"/>
    <n v="47540.05"/>
    <n v="1901602"/>
    <n v="54"/>
    <n v="47528.944444444445"/>
    <n v="2566563"/>
    <m/>
    <m/>
    <n v="2566563"/>
    <m/>
    <m/>
    <n v="0"/>
    <n v="5"/>
    <n v="113306.8"/>
    <n v="463538.1188"/>
    <n v="4"/>
    <n v="114298.25"/>
    <n v="374075.3126"/>
    <n v="6"/>
    <n v="100680.5"/>
    <n v="494260.71060000005"/>
    <n v="7"/>
    <n v="98591.857142857145"/>
    <n v="564675.00260000001"/>
    <m/>
    <m/>
    <n v="0"/>
    <m/>
    <m/>
    <n v="0"/>
    <m/>
    <m/>
    <n v="0"/>
    <m/>
    <m/>
    <n v="0"/>
    <n v="4"/>
    <n v="70996.625"/>
    <n v="232357.7543"/>
    <n v="6"/>
    <n v="65083.666666666664"/>
    <n v="319508.73639999999"/>
    <m/>
    <m/>
    <n v="0"/>
    <m/>
    <m/>
    <n v="0"/>
  </r>
  <r>
    <x v="13"/>
    <s v="Texas A&amp;M University at Galveston"/>
    <m/>
    <n v="228714"/>
    <x v="5"/>
    <n v="18"/>
    <n v="91882.611111111109"/>
    <n v="1653887"/>
    <n v="22"/>
    <n v="96803.590909090912"/>
    <n v="2129679"/>
    <n v="14"/>
    <n v="66528.928571428565"/>
    <n v="931404.99999999988"/>
    <n v="14"/>
    <n v="67346.142857142855"/>
    <n v="942846"/>
    <n v="17"/>
    <n v="64242.76470588235"/>
    <n v="1092127"/>
    <n v="15"/>
    <n v="65071.6"/>
    <n v="976074"/>
    <m/>
    <m/>
    <n v="0"/>
    <m/>
    <m/>
    <n v="0"/>
    <n v="32"/>
    <n v="46695.9375"/>
    <n v="1494270"/>
    <n v="34"/>
    <n v="46411.441176470587"/>
    <n v="1577989"/>
    <m/>
    <m/>
    <n v="1577989"/>
    <m/>
    <m/>
    <n v="0"/>
    <n v="6"/>
    <n v="142719.33333333334"/>
    <n v="700637.75120000006"/>
    <n v="5"/>
    <n v="147262.6"/>
    <n v="602451.2966"/>
    <m/>
    <m/>
    <n v="0"/>
    <m/>
    <m/>
    <n v="0"/>
    <n v="1"/>
    <n v="113334"/>
    <n v="92729.878800000006"/>
    <m/>
    <m/>
    <n v="0"/>
    <m/>
    <m/>
    <n v="0"/>
    <m/>
    <m/>
    <n v="0"/>
    <n v="12"/>
    <n v="5546.5625"/>
    <n v="54458.369250000003"/>
    <n v="11"/>
    <n v="6170.8925619834708"/>
    <n v="55539.267236363637"/>
    <m/>
    <m/>
    <n v="0"/>
    <m/>
    <m/>
    <n v="0"/>
  </r>
  <r>
    <x v="13"/>
    <s v="Brazosport College "/>
    <m/>
    <n v="223506"/>
    <x v="11"/>
    <n v="2"/>
    <n v="73896"/>
    <n v="147792"/>
    <n v="17"/>
    <n v="72119.352941176476"/>
    <n v="1226029"/>
    <n v="17"/>
    <n v="51748.941176470587"/>
    <n v="879732"/>
    <n v="21"/>
    <n v="52785"/>
    <n v="1108485"/>
    <n v="24"/>
    <n v="47941.291666666664"/>
    <n v="1150591"/>
    <n v="28"/>
    <n v="47777.464285714283"/>
    <n v="1337769"/>
    <n v="11"/>
    <n v="41401.454545454544"/>
    <n v="455416"/>
    <n v="17"/>
    <n v="41908.411764705881"/>
    <n v="712443"/>
    <m/>
    <m/>
    <n v="0"/>
    <m/>
    <m/>
    <n v="0"/>
    <m/>
    <m/>
    <n v="0"/>
    <m/>
    <m/>
    <n v="0"/>
    <n v="14"/>
    <n v="94714.857142857145"/>
    <n v="1084939.7456"/>
    <m/>
    <m/>
    <n v="0"/>
    <n v="4"/>
    <n v="77620.25"/>
    <n v="254035.55420000001"/>
    <n v="1"/>
    <n v="73714"/>
    <n v="60312.794800000003"/>
    <n v="3"/>
    <n v="64577"/>
    <n v="158510.70420000001"/>
    <m/>
    <m/>
    <n v="0"/>
    <n v="2"/>
    <n v="54277.5"/>
    <n v="88819.701000000001"/>
    <n v="1"/>
    <n v="53882"/>
    <n v="44086.252400000005"/>
    <m/>
    <m/>
    <n v="0"/>
    <m/>
    <m/>
    <n v="0"/>
    <n v="1"/>
    <n v="55056"/>
    <n v="45046.819200000005"/>
    <n v="1"/>
    <n v="55872"/>
    <n v="45714.470400000006"/>
  </r>
  <r>
    <x v="13"/>
    <s v="Midland College "/>
    <m/>
    <n v="226806"/>
    <x v="11"/>
    <n v="35"/>
    <n v="63983.857142857145"/>
    <n v="2239435"/>
    <n v="30"/>
    <n v="65777.233333333337"/>
    <n v="1973317"/>
    <n v="17"/>
    <n v="53123.058823529413"/>
    <n v="903092"/>
    <n v="18"/>
    <n v="49015.111111111109"/>
    <n v="882272"/>
    <n v="22"/>
    <n v="50691.772727272728"/>
    <n v="1115219"/>
    <n v="21"/>
    <n v="51193.476190476191"/>
    <n v="1075063"/>
    <n v="21"/>
    <n v="47805.809523809527"/>
    <n v="1003922"/>
    <n v="23"/>
    <n v="47248.565217391304"/>
    <n v="1086717"/>
    <m/>
    <m/>
    <n v="0"/>
    <m/>
    <m/>
    <n v="0"/>
    <m/>
    <m/>
    <n v="0"/>
    <m/>
    <m/>
    <n v="0"/>
    <n v="9"/>
    <n v="70160.777777777781"/>
    <n v="516649.93540000002"/>
    <n v="7"/>
    <n v="68945.28571428571"/>
    <n v="394877.22940000001"/>
    <n v="8"/>
    <n v="62240.875"/>
    <n v="407403.8714"/>
    <n v="12"/>
    <n v="58234.583333333336"/>
    <n v="571770.43300000008"/>
    <n v="5"/>
    <n v="53049.2"/>
    <n v="217024.27720000001"/>
    <n v="3"/>
    <n v="54895"/>
    <n v="134745.26699999999"/>
    <n v="11"/>
    <n v="57162.727272727272"/>
    <n v="514475.978"/>
    <n v="6"/>
    <n v="58416.666666666664"/>
    <n v="286779.10000000003"/>
    <m/>
    <m/>
    <n v="0"/>
    <m/>
    <m/>
    <n v="0"/>
    <n v="7"/>
    <n v="51241.142857142855"/>
    <n v="293478.52160000004"/>
    <n v="9"/>
    <n v="52409.777777777781"/>
    <n v="385935.12160000001"/>
  </r>
  <r>
    <x v="13"/>
    <s v="South Texas College"/>
    <m/>
    <n v="409315"/>
    <x v="11"/>
    <n v="5"/>
    <n v="62151.4"/>
    <n v="310757"/>
    <n v="8"/>
    <n v="62665"/>
    <n v="501320"/>
    <n v="20"/>
    <n v="57549.599999999999"/>
    <n v="1150992"/>
    <n v="22"/>
    <n v="57237.545454545456"/>
    <n v="1259226"/>
    <n v="23"/>
    <n v="51375.565217391304"/>
    <n v="1181638"/>
    <n v="28"/>
    <n v="50632.5"/>
    <n v="1417710"/>
    <n v="462"/>
    <n v="50723.028138528141"/>
    <n v="23434039"/>
    <n v="450"/>
    <n v="51468.371111111112"/>
    <n v="23160767"/>
    <m/>
    <m/>
    <n v="0"/>
    <m/>
    <m/>
    <n v="0"/>
    <m/>
    <m/>
    <n v="0"/>
    <m/>
    <m/>
    <n v="0"/>
    <m/>
    <m/>
    <n v="0"/>
    <m/>
    <m/>
    <n v="0"/>
    <m/>
    <m/>
    <n v="0"/>
    <m/>
    <m/>
    <n v="0"/>
    <m/>
    <m/>
    <n v="0"/>
    <m/>
    <m/>
    <n v="0"/>
    <n v="35"/>
    <n v="63627.742857142854"/>
    <n v="1822107.6722000001"/>
    <n v="1"/>
    <n v="83249"/>
    <n v="68114.3318"/>
    <m/>
    <m/>
    <n v="0"/>
    <m/>
    <m/>
    <n v="0"/>
    <m/>
    <m/>
    <n v="0"/>
    <m/>
    <m/>
    <n v="0"/>
  </r>
  <r>
    <x v="13"/>
    <s v="Amarillo College "/>
    <m/>
    <n v="222576"/>
    <x v="6"/>
    <n v="33"/>
    <n v="63095.151515151512"/>
    <n v="2082140"/>
    <n v="32"/>
    <n v="63184.84375"/>
    <n v="2021915"/>
    <n v="19"/>
    <n v="55566.473684210527"/>
    <n v="1055763"/>
    <n v="20"/>
    <n v="56371.7"/>
    <n v="1127434"/>
    <n v="25"/>
    <n v="52830.36"/>
    <n v="1320759"/>
    <n v="26"/>
    <n v="53238.346153846156"/>
    <n v="1384197"/>
    <n v="105"/>
    <n v="47051.81904761905"/>
    <n v="4940441"/>
    <n v="103"/>
    <n v="47002.475728155339"/>
    <n v="4841255"/>
    <m/>
    <m/>
    <n v="0"/>
    <m/>
    <m/>
    <n v="0"/>
    <m/>
    <m/>
    <n v="0"/>
    <m/>
    <m/>
    <n v="0"/>
    <n v="7"/>
    <n v="78932.142857142855"/>
    <n v="452075.95500000002"/>
    <n v="5"/>
    <n v="82279.8"/>
    <n v="336606.6618"/>
    <n v="7"/>
    <n v="66709.571428571435"/>
    <n v="382072.39940000005"/>
    <n v="5"/>
    <n v="67392.600000000006"/>
    <n v="275703.12660000002"/>
    <n v="8"/>
    <n v="66541.875"/>
    <n v="435556.49700000003"/>
    <n v="8"/>
    <n v="67033.625"/>
    <n v="438775.29580000002"/>
    <n v="21"/>
    <n v="59609.666666666664"/>
    <n v="1024225.2146000001"/>
    <n v="23"/>
    <n v="54597"/>
    <n v="1027439.1042000001"/>
    <m/>
    <m/>
    <n v="0"/>
    <m/>
    <m/>
    <n v="0"/>
    <m/>
    <m/>
    <n v="0"/>
    <m/>
    <m/>
    <n v="0"/>
  </r>
  <r>
    <x v="13"/>
    <s v="Austin Community College "/>
    <m/>
    <n v="222992"/>
    <x v="6"/>
    <n v="37"/>
    <n v="68324.189189189186"/>
    <n v="2527995"/>
    <n v="33"/>
    <n v="69697.272727272721"/>
    <n v="2300010"/>
    <n v="22"/>
    <n v="51844.045454545456"/>
    <n v="1140569"/>
    <n v="24"/>
    <n v="54353.25"/>
    <n v="1304478"/>
    <n v="7"/>
    <n v="45460.285714285717"/>
    <n v="318222"/>
    <n v="8"/>
    <n v="47896.25"/>
    <n v="383170"/>
    <m/>
    <m/>
    <n v="0"/>
    <m/>
    <m/>
    <n v="0"/>
    <m/>
    <m/>
    <n v="0"/>
    <m/>
    <m/>
    <n v="0"/>
    <m/>
    <m/>
    <n v="0"/>
    <m/>
    <m/>
    <n v="0"/>
    <n v="310"/>
    <n v="82320.535483870961"/>
    <n v="20879945.2612"/>
    <n v="323"/>
    <n v="85301.58204334366"/>
    <n v="22543382.680200003"/>
    <n v="150"/>
    <n v="62795.026666666665"/>
    <n v="7706833.6228"/>
    <n v="158"/>
    <n v="65064.240506329115"/>
    <n v="8411218.7300000004"/>
    <n v="63"/>
    <n v="53026.952380952382"/>
    <n v="2733359.1036"/>
    <n v="72"/>
    <n v="57099.805555555555"/>
    <n v="3363772.3852000004"/>
    <m/>
    <m/>
    <n v="0"/>
    <m/>
    <m/>
    <n v="0"/>
    <m/>
    <m/>
    <n v="0"/>
    <m/>
    <m/>
    <n v="0"/>
    <m/>
    <m/>
    <n v="0"/>
    <m/>
    <m/>
    <n v="0"/>
  </r>
  <r>
    <x v="13"/>
    <s v="Blinn College "/>
    <m/>
    <n v="223427"/>
    <x v="6"/>
    <m/>
    <m/>
    <n v="0"/>
    <m/>
    <m/>
    <n v="0"/>
    <m/>
    <m/>
    <n v="0"/>
    <m/>
    <m/>
    <n v="0"/>
    <m/>
    <m/>
    <n v="0"/>
    <m/>
    <m/>
    <n v="0"/>
    <m/>
    <m/>
    <n v="0"/>
    <m/>
    <m/>
    <n v="0"/>
    <m/>
    <m/>
    <n v="0"/>
    <m/>
    <m/>
    <n v="0"/>
    <n v="307"/>
    <n v="49236.296416938108"/>
    <n v="15115543"/>
    <n v="322"/>
    <n v="49080.822981366458"/>
    <n v="15804025"/>
    <m/>
    <m/>
    <n v="0"/>
    <m/>
    <m/>
    <n v="0"/>
    <m/>
    <m/>
    <n v="0"/>
    <m/>
    <m/>
    <n v="0"/>
    <m/>
    <m/>
    <n v="0"/>
    <m/>
    <m/>
    <n v="0"/>
    <m/>
    <m/>
    <n v="0"/>
    <m/>
    <m/>
    <n v="0"/>
    <m/>
    <m/>
    <n v="0"/>
    <m/>
    <m/>
    <n v="0"/>
    <n v="47"/>
    <n v="49524.957446808512"/>
    <n v="1904502.0486000001"/>
    <n v="48"/>
    <n v="50290.104166666664"/>
    <n v="1975073.4350000001"/>
  </r>
  <r>
    <x v="13"/>
    <s v="Brookhaven College (DCCCD)"/>
    <m/>
    <n v="223524"/>
    <x v="6"/>
    <m/>
    <m/>
    <n v="0"/>
    <m/>
    <m/>
    <n v="0"/>
    <m/>
    <m/>
    <n v="0"/>
    <m/>
    <m/>
    <n v="0"/>
    <m/>
    <m/>
    <n v="0"/>
    <m/>
    <m/>
    <n v="0"/>
    <m/>
    <m/>
    <n v="0"/>
    <m/>
    <m/>
    <n v="0"/>
    <m/>
    <m/>
    <n v="0"/>
    <m/>
    <m/>
    <n v="0"/>
    <n v="131"/>
    <n v="57798.358778625952"/>
    <n v="7571585"/>
    <n v="128"/>
    <n v="56701.3984375"/>
    <n v="7257779"/>
    <m/>
    <m/>
    <n v="0"/>
    <m/>
    <m/>
    <n v="0"/>
    <m/>
    <m/>
    <n v="0"/>
    <m/>
    <m/>
    <n v="0"/>
    <m/>
    <m/>
    <n v="0"/>
    <m/>
    <m/>
    <n v="0"/>
    <m/>
    <m/>
    <n v="0"/>
    <m/>
    <m/>
    <n v="0"/>
    <m/>
    <m/>
    <n v="0"/>
    <m/>
    <m/>
    <n v="0"/>
    <m/>
    <m/>
    <n v="0"/>
    <m/>
    <m/>
    <n v="0"/>
  </r>
  <r>
    <x v="13"/>
    <s v="Central Texas College "/>
    <m/>
    <n v="223816"/>
    <x v="6"/>
    <n v="82"/>
    <n v="58177.804878048781"/>
    <n v="4770580"/>
    <n v="85"/>
    <n v="57240.670588235291"/>
    <n v="4865457"/>
    <m/>
    <m/>
    <n v="0"/>
    <m/>
    <m/>
    <n v="0"/>
    <m/>
    <m/>
    <n v="0"/>
    <m/>
    <m/>
    <n v="0"/>
    <m/>
    <m/>
    <n v="0"/>
    <m/>
    <m/>
    <n v="0"/>
    <m/>
    <m/>
    <n v="0"/>
    <m/>
    <m/>
    <n v="0"/>
    <m/>
    <m/>
    <n v="0"/>
    <m/>
    <m/>
    <n v="0"/>
    <n v="83"/>
    <n v="72154.614457831325"/>
    <n v="4900063.1606000001"/>
    <n v="77"/>
    <n v="71393.376623376622"/>
    <n v="4497882.6780000003"/>
    <m/>
    <m/>
    <n v="0"/>
    <m/>
    <m/>
    <n v="0"/>
    <m/>
    <m/>
    <n v="0"/>
    <m/>
    <m/>
    <n v="0"/>
    <n v="82"/>
    <n v="43493.341463414632"/>
    <n v="2918072.6628"/>
    <n v="76"/>
    <n v="44161.631578947367"/>
    <n v="2746111.5688"/>
    <m/>
    <m/>
    <n v="0"/>
    <m/>
    <m/>
    <n v="0"/>
    <m/>
    <m/>
    <n v="0"/>
    <m/>
    <m/>
    <n v="0"/>
  </r>
  <r>
    <x v="13"/>
    <s v="Collin County Community College District"/>
    <m/>
    <n v="247834"/>
    <x v="6"/>
    <m/>
    <m/>
    <n v="0"/>
    <m/>
    <m/>
    <n v="0"/>
    <m/>
    <m/>
    <n v="0"/>
    <m/>
    <m/>
    <n v="0"/>
    <m/>
    <m/>
    <n v="0"/>
    <m/>
    <m/>
    <n v="0"/>
    <m/>
    <m/>
    <n v="0"/>
    <m/>
    <m/>
    <n v="0"/>
    <m/>
    <m/>
    <n v="0"/>
    <m/>
    <m/>
    <n v="0"/>
    <n v="345"/>
    <n v="55549.498550724638"/>
    <n v="19164577"/>
    <n v="356"/>
    <n v="54683.654494382019"/>
    <n v="19467381"/>
    <m/>
    <m/>
    <n v="0"/>
    <m/>
    <m/>
    <n v="0"/>
    <m/>
    <m/>
    <n v="0"/>
    <m/>
    <m/>
    <n v="0"/>
    <m/>
    <m/>
    <n v="0"/>
    <m/>
    <m/>
    <n v="0"/>
    <m/>
    <m/>
    <n v="0"/>
    <m/>
    <m/>
    <n v="0"/>
    <m/>
    <m/>
    <n v="0"/>
    <m/>
    <m/>
    <n v="0"/>
    <n v="2"/>
    <n v="55219"/>
    <n v="90360.371599999999"/>
    <n v="2"/>
    <n v="55219"/>
    <n v="90360.371599999999"/>
  </r>
  <r>
    <x v="13"/>
    <s v="Del Mar College "/>
    <m/>
    <n v="224350"/>
    <x v="6"/>
    <n v="80"/>
    <n v="67454.587499999994"/>
    <n v="5396367"/>
    <n v="83"/>
    <n v="69580.843373493975"/>
    <n v="5775210"/>
    <n v="59"/>
    <n v="56145.508474576272"/>
    <n v="3312585"/>
    <n v="63"/>
    <n v="56514.793650793654"/>
    <n v="3560432"/>
    <n v="62"/>
    <n v="50442.725806451614"/>
    <n v="3127449"/>
    <n v="61"/>
    <n v="50641.852459016394"/>
    <n v="3089153"/>
    <n v="82"/>
    <n v="44289.463414634149"/>
    <n v="3631736"/>
    <n v="79"/>
    <n v="44721.139240506331"/>
    <n v="3532970"/>
    <m/>
    <m/>
    <n v="0"/>
    <m/>
    <m/>
    <n v="0"/>
    <m/>
    <m/>
    <n v="0"/>
    <m/>
    <m/>
    <n v="0"/>
    <n v="3"/>
    <n v="90950.666666666672"/>
    <n v="223247.50640000001"/>
    <n v="4"/>
    <n v="90399"/>
    <n v="295857.84720000002"/>
    <m/>
    <m/>
    <n v="0"/>
    <m/>
    <m/>
    <n v="0"/>
    <m/>
    <m/>
    <n v="0"/>
    <m/>
    <m/>
    <n v="0"/>
    <m/>
    <m/>
    <n v="0"/>
    <m/>
    <m/>
    <n v="0"/>
    <m/>
    <m/>
    <n v="0"/>
    <m/>
    <m/>
    <n v="0"/>
    <m/>
    <m/>
    <n v="0"/>
    <m/>
    <m/>
    <n v="0"/>
  </r>
  <r>
    <x v="13"/>
    <s v="Eastfield College (DCCCD)"/>
    <m/>
    <n v="224572"/>
    <x v="6"/>
    <m/>
    <m/>
    <n v="0"/>
    <m/>
    <m/>
    <n v="0"/>
    <m/>
    <m/>
    <n v="0"/>
    <m/>
    <m/>
    <n v="0"/>
    <m/>
    <m/>
    <n v="0"/>
    <m/>
    <m/>
    <n v="0"/>
    <m/>
    <m/>
    <n v="0"/>
    <m/>
    <m/>
    <n v="0"/>
    <m/>
    <m/>
    <n v="0"/>
    <m/>
    <m/>
    <n v="0"/>
    <n v="121"/>
    <n v="57594.371900826445"/>
    <n v="6968919"/>
    <n v="119"/>
    <n v="55881.193277310922"/>
    <n v="6649862"/>
    <m/>
    <m/>
    <n v="0"/>
    <m/>
    <m/>
    <n v="0"/>
    <m/>
    <m/>
    <n v="0"/>
    <m/>
    <m/>
    <n v="0"/>
    <m/>
    <m/>
    <n v="0"/>
    <m/>
    <m/>
    <n v="0"/>
    <m/>
    <m/>
    <n v="0"/>
    <m/>
    <m/>
    <n v="0"/>
    <m/>
    <m/>
    <n v="0"/>
    <m/>
    <m/>
    <n v="0"/>
    <m/>
    <m/>
    <n v="0"/>
    <m/>
    <m/>
    <n v="0"/>
  </r>
  <r>
    <x v="13"/>
    <s v="El Centro College  (DCCCD)"/>
    <m/>
    <n v="224615"/>
    <x v="6"/>
    <m/>
    <m/>
    <n v="0"/>
    <m/>
    <m/>
    <n v="0"/>
    <m/>
    <m/>
    <n v="0"/>
    <m/>
    <m/>
    <n v="0"/>
    <m/>
    <m/>
    <n v="0"/>
    <m/>
    <m/>
    <n v="0"/>
    <m/>
    <m/>
    <n v="0"/>
    <m/>
    <m/>
    <n v="0"/>
    <m/>
    <m/>
    <n v="0"/>
    <m/>
    <m/>
    <n v="0"/>
    <n v="136"/>
    <n v="53986.566176470587"/>
    <n v="7342173"/>
    <n v="140"/>
    <n v="52333.107142857145"/>
    <n v="7326635"/>
    <m/>
    <m/>
    <n v="0"/>
    <m/>
    <m/>
    <n v="0"/>
    <m/>
    <m/>
    <n v="0"/>
    <m/>
    <m/>
    <n v="0"/>
    <m/>
    <m/>
    <n v="0"/>
    <m/>
    <m/>
    <n v="0"/>
    <m/>
    <m/>
    <n v="0"/>
    <m/>
    <m/>
    <n v="0"/>
    <m/>
    <m/>
    <n v="0"/>
    <m/>
    <m/>
    <n v="0"/>
    <m/>
    <m/>
    <n v="0"/>
    <m/>
    <m/>
    <n v="0"/>
  </r>
  <r>
    <x v="13"/>
    <s v="El Paso County Community College District"/>
    <m/>
    <n v="224642"/>
    <x v="6"/>
    <n v="162"/>
    <n v="64219.919753086418"/>
    <n v="10403627"/>
    <n v="163"/>
    <n v="64766.699386503067"/>
    <n v="10556972"/>
    <n v="119"/>
    <n v="47014.277310924372"/>
    <n v="5594699"/>
    <n v="118"/>
    <n v="43485.279661016946"/>
    <n v="5131263"/>
    <n v="61"/>
    <n v="43597.754098360652"/>
    <n v="2659463"/>
    <n v="58"/>
    <n v="43509.603448275862"/>
    <n v="2523557"/>
    <m/>
    <m/>
    <n v="0"/>
    <m/>
    <m/>
    <n v="0"/>
    <n v="54"/>
    <n v="36405.962962962964"/>
    <n v="1965922"/>
    <n v="53"/>
    <n v="39945.830188679247"/>
    <n v="2117129"/>
    <m/>
    <m/>
    <n v="0"/>
    <m/>
    <m/>
    <n v="0"/>
    <m/>
    <m/>
    <n v="0"/>
    <m/>
    <m/>
    <n v="0"/>
    <m/>
    <m/>
    <n v="0"/>
    <m/>
    <m/>
    <n v="0"/>
    <m/>
    <m/>
    <n v="0"/>
    <m/>
    <m/>
    <n v="0"/>
    <m/>
    <m/>
    <n v="0"/>
    <m/>
    <m/>
    <n v="0"/>
    <n v="23"/>
    <n v="49305.739130434784"/>
    <n v="927864.9824000001"/>
    <n v="22"/>
    <n v="49526.590909090912"/>
    <n v="891498.44700000004"/>
    <m/>
    <m/>
    <n v="0"/>
    <m/>
    <m/>
    <n v="0"/>
  </r>
  <r>
    <x v="13"/>
    <s v="Houston Community College"/>
    <m/>
    <n v="225423"/>
    <x v="6"/>
    <m/>
    <m/>
    <n v="0"/>
    <m/>
    <m/>
    <n v="0"/>
    <m/>
    <m/>
    <n v="0"/>
    <m/>
    <m/>
    <n v="0"/>
    <m/>
    <m/>
    <n v="0"/>
    <m/>
    <m/>
    <n v="0"/>
    <n v="553"/>
    <n v="54823.840867992767"/>
    <n v="30317584"/>
    <n v="732"/>
    <n v="63059.338797814205"/>
    <n v="46159436"/>
    <m/>
    <m/>
    <n v="0"/>
    <m/>
    <m/>
    <n v="0"/>
    <m/>
    <m/>
    <n v="0"/>
    <m/>
    <m/>
    <n v="0"/>
    <m/>
    <m/>
    <n v="0"/>
    <m/>
    <m/>
    <n v="0"/>
    <m/>
    <m/>
    <n v="0"/>
    <m/>
    <m/>
    <n v="0"/>
    <m/>
    <m/>
    <n v="0"/>
    <m/>
    <m/>
    <n v="0"/>
    <n v="357"/>
    <n v="74474.408963585433"/>
    <n v="21753781.224800002"/>
    <n v="77"/>
    <n v="82386.636363636368"/>
    <n v="5190473.4322000006"/>
    <m/>
    <m/>
    <n v="0"/>
    <m/>
    <m/>
    <n v="0"/>
    <m/>
    <m/>
    <n v="0"/>
    <m/>
    <m/>
    <n v="0"/>
  </r>
  <r>
    <x v="13"/>
    <s v="Kilgore College "/>
    <s v="Reclassified: Met criteria for Two-Year 1 in 2009-10, 2010-11 and 2011-12."/>
    <n v="226019"/>
    <x v="6"/>
    <m/>
    <m/>
    <n v="0"/>
    <m/>
    <m/>
    <n v="0"/>
    <m/>
    <m/>
    <n v="0"/>
    <m/>
    <m/>
    <n v="0"/>
    <m/>
    <m/>
    <n v="0"/>
    <m/>
    <m/>
    <n v="0"/>
    <m/>
    <m/>
    <n v="0"/>
    <m/>
    <m/>
    <n v="0"/>
    <m/>
    <m/>
    <n v="0"/>
    <m/>
    <m/>
    <n v="0"/>
    <n v="100"/>
    <n v="52566.8"/>
    <n v="5256680"/>
    <n v="100"/>
    <n v="53347.18"/>
    <n v="5334718"/>
    <m/>
    <m/>
    <n v="0"/>
    <m/>
    <m/>
    <n v="0"/>
    <m/>
    <m/>
    <n v="0"/>
    <m/>
    <m/>
    <n v="0"/>
    <m/>
    <m/>
    <n v="0"/>
    <m/>
    <m/>
    <n v="0"/>
    <m/>
    <m/>
    <n v="0"/>
    <m/>
    <m/>
    <n v="0"/>
    <m/>
    <m/>
    <n v="0"/>
    <m/>
    <m/>
    <n v="0"/>
    <n v="61"/>
    <n v="61125.180327868853"/>
    <n v="3050769.9752000002"/>
    <n v="55"/>
    <n v="61586.145454545454"/>
    <n v="2771438.1316"/>
  </r>
  <r>
    <x v="13"/>
    <s v="Laredo Community College "/>
    <m/>
    <n v="226134"/>
    <x v="6"/>
    <m/>
    <m/>
    <n v="0"/>
    <m/>
    <m/>
    <n v="0"/>
    <m/>
    <m/>
    <n v="0"/>
    <m/>
    <m/>
    <n v="0"/>
    <m/>
    <m/>
    <n v="0"/>
    <m/>
    <m/>
    <n v="0"/>
    <n v="184"/>
    <n v="55429.54891304348"/>
    <n v="10199037"/>
    <n v="184"/>
    <n v="54531.038043478264"/>
    <n v="10033711"/>
    <m/>
    <m/>
    <n v="0"/>
    <m/>
    <m/>
    <n v="0"/>
    <m/>
    <m/>
    <n v="0"/>
    <m/>
    <m/>
    <n v="0"/>
    <m/>
    <m/>
    <n v="0"/>
    <m/>
    <m/>
    <n v="0"/>
    <m/>
    <m/>
    <n v="0"/>
    <m/>
    <m/>
    <n v="0"/>
    <m/>
    <m/>
    <n v="0"/>
    <m/>
    <m/>
    <n v="0"/>
    <n v="13"/>
    <n v="67839.230769230766"/>
    <n v="721578.76199999999"/>
    <n v="12"/>
    <n v="68733.5"/>
    <n v="674852.99640000006"/>
    <m/>
    <m/>
    <n v="0"/>
    <m/>
    <m/>
    <n v="0"/>
    <m/>
    <m/>
    <n v="0"/>
    <m/>
    <m/>
    <n v="0"/>
  </r>
  <r>
    <x v="13"/>
    <s v="Lone Star College System District"/>
    <m/>
    <n v="227182"/>
    <x v="6"/>
    <n v="461"/>
    <n v="68058.347071583514"/>
    <n v="31374898"/>
    <n v="488"/>
    <n v="68336.489754098366"/>
    <n v="33348207.000000004"/>
    <n v="116"/>
    <n v="53034.879310344826"/>
    <n v="6152046"/>
    <n v="100"/>
    <n v="52683.58"/>
    <n v="5268358"/>
    <n v="21"/>
    <n v="49530.190476190473"/>
    <n v="1040134"/>
    <n v="23"/>
    <n v="51677.478260869568"/>
    <n v="1188582"/>
    <n v="1"/>
    <n v="34364"/>
    <n v="34364"/>
    <n v="1"/>
    <n v="28876"/>
    <n v="28876"/>
    <m/>
    <m/>
    <n v="0"/>
    <m/>
    <m/>
    <n v="0"/>
    <m/>
    <m/>
    <n v="0"/>
    <m/>
    <m/>
    <n v="0"/>
    <n v="38"/>
    <n v="73181.210526315786"/>
    <n v="2275320.9251999999"/>
    <n v="43"/>
    <n v="72498.58139534884"/>
    <n v="2550688.5898000002"/>
    <n v="19"/>
    <n v="58113.57894736842"/>
    <n v="903422.0756000001"/>
    <n v="22"/>
    <n v="58248.590909090912"/>
    <n v="1048497.9358000001"/>
    <n v="6"/>
    <n v="55393.5"/>
    <n v="271937.77020000003"/>
    <n v="2"/>
    <n v="56472"/>
    <n v="92410.780800000008"/>
    <n v="3"/>
    <n v="56103"/>
    <n v="137710.42380000002"/>
    <n v="7"/>
    <n v="54765"/>
    <n v="313661.06099999999"/>
    <m/>
    <m/>
    <n v="0"/>
    <m/>
    <m/>
    <n v="0"/>
    <m/>
    <m/>
    <n v="0"/>
    <m/>
    <m/>
    <n v="0"/>
  </r>
  <r>
    <x v="13"/>
    <s v="McLennan Community College "/>
    <m/>
    <n v="226578"/>
    <x v="6"/>
    <m/>
    <m/>
    <n v="0"/>
    <m/>
    <m/>
    <n v="0"/>
    <m/>
    <m/>
    <n v="0"/>
    <m/>
    <m/>
    <n v="0"/>
    <m/>
    <m/>
    <n v="0"/>
    <m/>
    <m/>
    <n v="0"/>
    <m/>
    <m/>
    <n v="0"/>
    <m/>
    <m/>
    <n v="0"/>
    <m/>
    <m/>
    <n v="0"/>
    <m/>
    <m/>
    <n v="0"/>
    <n v="190"/>
    <n v="62395.826315789476"/>
    <n v="11855207"/>
    <n v="182"/>
    <n v="61164.241758241755"/>
    <n v="11131892"/>
    <m/>
    <m/>
    <n v="0"/>
    <m/>
    <m/>
    <n v="0"/>
    <m/>
    <m/>
    <n v="0"/>
    <m/>
    <m/>
    <n v="0"/>
    <m/>
    <m/>
    <n v="0"/>
    <m/>
    <m/>
    <n v="0"/>
    <m/>
    <m/>
    <n v="0"/>
    <m/>
    <m/>
    <n v="0"/>
    <m/>
    <m/>
    <n v="0"/>
    <m/>
    <m/>
    <n v="0"/>
    <n v="20"/>
    <n v="59164.05"/>
    <n v="968160.51420000009"/>
    <n v="21"/>
    <n v="59433.619047619046"/>
    <n v="1021200.3292"/>
  </r>
  <r>
    <x v="13"/>
    <s v="Navarro College "/>
    <m/>
    <n v="227146"/>
    <x v="6"/>
    <n v="38"/>
    <n v="58045.684210526313"/>
    <n v="2205736"/>
    <n v="36"/>
    <n v="59399.333333333336"/>
    <n v="2138376"/>
    <n v="44"/>
    <n v="50585.545454545456"/>
    <n v="2225764"/>
    <n v="46"/>
    <n v="51304.608695652176"/>
    <n v="2360012"/>
    <n v="4"/>
    <n v="49147"/>
    <n v="196588"/>
    <n v="4"/>
    <n v="50267.25"/>
    <n v="201069"/>
    <m/>
    <m/>
    <n v="0"/>
    <m/>
    <m/>
    <n v="0"/>
    <m/>
    <m/>
    <n v="0"/>
    <m/>
    <m/>
    <n v="0"/>
    <m/>
    <m/>
    <n v="0"/>
    <m/>
    <m/>
    <n v="0"/>
    <n v="2"/>
    <n v="51143"/>
    <n v="83690.405200000008"/>
    <n v="2"/>
    <n v="52086"/>
    <n v="85233.530400000003"/>
    <n v="21"/>
    <n v="63836.476190476191"/>
    <n v="1096851.1012000002"/>
    <n v="21"/>
    <n v="66182.523809523816"/>
    <n v="1137161.3606000002"/>
    <n v="13"/>
    <n v="58147.307692307695"/>
    <n v="618489.65300000005"/>
    <n v="13"/>
    <n v="60121.461538461539"/>
    <n v="639487.93780000007"/>
    <m/>
    <m/>
    <n v="0"/>
    <m/>
    <m/>
    <n v="0"/>
    <m/>
    <m/>
    <n v="0"/>
    <m/>
    <m/>
    <n v="0"/>
    <m/>
    <m/>
    <n v="0"/>
    <m/>
    <m/>
    <n v="0"/>
  </r>
  <r>
    <x v="13"/>
    <s v="North Central Texas Community College"/>
    <m/>
    <n v="224110"/>
    <x v="6"/>
    <m/>
    <m/>
    <n v="0"/>
    <m/>
    <m/>
    <n v="0"/>
    <m/>
    <m/>
    <n v="0"/>
    <m/>
    <m/>
    <n v="0"/>
    <m/>
    <m/>
    <n v="0"/>
    <m/>
    <m/>
    <n v="0"/>
    <m/>
    <m/>
    <n v="0"/>
    <m/>
    <m/>
    <n v="0"/>
    <m/>
    <m/>
    <n v="0"/>
    <m/>
    <m/>
    <n v="0"/>
    <n v="89"/>
    <n v="47135.6404494382"/>
    <n v="4195072"/>
    <n v="90"/>
    <n v="47202.444444444445"/>
    <n v="4248220"/>
    <m/>
    <m/>
    <n v="0"/>
    <m/>
    <m/>
    <n v="0"/>
    <m/>
    <m/>
    <n v="0"/>
    <m/>
    <m/>
    <n v="0"/>
    <m/>
    <m/>
    <n v="0"/>
    <m/>
    <m/>
    <n v="0"/>
    <m/>
    <m/>
    <n v="0"/>
    <m/>
    <m/>
    <n v="0"/>
    <m/>
    <m/>
    <n v="0"/>
    <m/>
    <m/>
    <n v="0"/>
    <n v="33"/>
    <n v="55769.272727272728"/>
    <n v="1505803.8252000001"/>
    <n v="35"/>
    <n v="56498.114285714284"/>
    <n v="1617936.4988000002"/>
  </r>
  <r>
    <x v="13"/>
    <s v="North Lake College (DCCCD)"/>
    <m/>
    <n v="227191"/>
    <x v="6"/>
    <m/>
    <m/>
    <n v="0"/>
    <m/>
    <m/>
    <n v="0"/>
    <m/>
    <m/>
    <n v="0"/>
    <m/>
    <m/>
    <n v="0"/>
    <m/>
    <m/>
    <n v="0"/>
    <m/>
    <m/>
    <n v="0"/>
    <m/>
    <m/>
    <n v="0"/>
    <m/>
    <m/>
    <n v="0"/>
    <m/>
    <m/>
    <n v="0"/>
    <m/>
    <m/>
    <n v="0"/>
    <n v="104"/>
    <n v="58365.451923076922"/>
    <n v="6070007"/>
    <n v="108"/>
    <n v="56896.092592592591"/>
    <n v="6144778"/>
    <m/>
    <m/>
    <n v="0"/>
    <m/>
    <m/>
    <n v="0"/>
    <m/>
    <m/>
    <n v="0"/>
    <m/>
    <m/>
    <n v="0"/>
    <m/>
    <m/>
    <n v="0"/>
    <m/>
    <m/>
    <n v="0"/>
    <m/>
    <m/>
    <n v="0"/>
    <m/>
    <m/>
    <n v="0"/>
    <m/>
    <m/>
    <n v="0"/>
    <m/>
    <m/>
    <n v="0"/>
    <m/>
    <m/>
    <n v="0"/>
    <m/>
    <m/>
    <n v="0"/>
  </r>
  <r>
    <x v="13"/>
    <s v="Northwest Vista College (ACCD)"/>
    <m/>
    <n v="420398"/>
    <x v="6"/>
    <n v="5"/>
    <n v="63532.800000000003"/>
    <n v="317664"/>
    <n v="3"/>
    <n v="67705.333333333328"/>
    <n v="203116"/>
    <n v="18"/>
    <n v="57034.777777777781"/>
    <n v="1026626"/>
    <n v="27"/>
    <n v="41560.185185185182"/>
    <n v="1122125"/>
    <n v="41"/>
    <n v="50536.097560975613"/>
    <n v="2071980.0000000002"/>
    <n v="43"/>
    <n v="38584.953488372092"/>
    <n v="1659153"/>
    <n v="69"/>
    <n v="42659.492753623192"/>
    <n v="2943505"/>
    <n v="58"/>
    <n v="25334.896551724138"/>
    <n v="1469424"/>
    <m/>
    <m/>
    <n v="0"/>
    <m/>
    <m/>
    <n v="0"/>
    <m/>
    <m/>
    <n v="0"/>
    <m/>
    <m/>
    <n v="0"/>
    <m/>
    <m/>
    <n v="0"/>
    <m/>
    <m/>
    <n v="0"/>
    <n v="3"/>
    <n v="67123"/>
    <n v="164760.1158"/>
    <n v="2"/>
    <n v="68426"/>
    <n v="111972.3064"/>
    <n v="3"/>
    <n v="56605.666666666664"/>
    <n v="138944.26940000002"/>
    <n v="5"/>
    <n v="59333.2"/>
    <n v="242732.12120000002"/>
    <n v="2"/>
    <n v="51075.5"/>
    <n v="83579.948199999999"/>
    <n v="2"/>
    <n v="52114.5"/>
    <n v="85280.16780000001"/>
    <m/>
    <m/>
    <n v="0"/>
    <m/>
    <m/>
    <n v="0"/>
    <m/>
    <m/>
    <n v="0"/>
    <m/>
    <m/>
    <n v="0"/>
  </r>
  <r>
    <x v="13"/>
    <s v="Palo Alto College (ACCD)"/>
    <m/>
    <n v="246354"/>
    <x v="6"/>
    <n v="21"/>
    <n v="69461.952380952382"/>
    <n v="1458701"/>
    <n v="19"/>
    <n v="64644.526315789473"/>
    <n v="1228246"/>
    <n v="27"/>
    <n v="59905.222222222219"/>
    <n v="1617441"/>
    <n v="23"/>
    <n v="54286.478260869568"/>
    <n v="1248589"/>
    <n v="29"/>
    <n v="55607.34482758621"/>
    <n v="1612613"/>
    <n v="32"/>
    <n v="49992.53125"/>
    <n v="1599761"/>
    <n v="39"/>
    <n v="46469.307692307695"/>
    <n v="1812303"/>
    <n v="32"/>
    <n v="34460.53125"/>
    <n v="1102737"/>
    <m/>
    <m/>
    <n v="0"/>
    <m/>
    <m/>
    <n v="0"/>
    <m/>
    <m/>
    <n v="0"/>
    <m/>
    <m/>
    <n v="0"/>
    <n v="1"/>
    <n v="80989"/>
    <n v="66265.199800000002"/>
    <n v="1"/>
    <n v="81717"/>
    <n v="66860.849400000006"/>
    <n v="4"/>
    <n v="64966.5"/>
    <n v="212622.36120000001"/>
    <n v="1"/>
    <n v="70900"/>
    <n v="58010.380000000005"/>
    <n v="1"/>
    <n v="57448"/>
    <n v="47003.953600000001"/>
    <n v="4"/>
    <n v="58203.25"/>
    <n v="190487.59660000002"/>
    <n v="2"/>
    <n v="49051"/>
    <n v="80267.056400000001"/>
    <n v="2"/>
    <n v="49051"/>
    <n v="80267.056400000001"/>
    <m/>
    <m/>
    <n v="0"/>
    <m/>
    <m/>
    <n v="0"/>
    <m/>
    <m/>
    <n v="0"/>
    <m/>
    <m/>
    <n v="0"/>
  </r>
  <r>
    <x v="13"/>
    <s v="Richland College (DCCCD)"/>
    <m/>
    <n v="227766"/>
    <x v="6"/>
    <m/>
    <m/>
    <n v="0"/>
    <m/>
    <m/>
    <n v="0"/>
    <m/>
    <m/>
    <n v="0"/>
    <m/>
    <m/>
    <n v="0"/>
    <m/>
    <m/>
    <n v="0"/>
    <m/>
    <m/>
    <n v="0"/>
    <m/>
    <m/>
    <n v="0"/>
    <m/>
    <m/>
    <n v="0"/>
    <m/>
    <m/>
    <n v="0"/>
    <m/>
    <m/>
    <n v="0"/>
    <n v="156"/>
    <n v="62238.820512820515"/>
    <n v="9709256"/>
    <n v="137"/>
    <n v="61341.496350364963"/>
    <n v="8403785"/>
    <m/>
    <m/>
    <n v="0"/>
    <m/>
    <m/>
    <n v="0"/>
    <m/>
    <m/>
    <n v="0"/>
    <m/>
    <m/>
    <n v="0"/>
    <m/>
    <m/>
    <n v="0"/>
    <m/>
    <m/>
    <n v="0"/>
    <m/>
    <m/>
    <n v="0"/>
    <m/>
    <m/>
    <n v="0"/>
    <m/>
    <m/>
    <n v="0"/>
    <m/>
    <m/>
    <n v="0"/>
    <m/>
    <m/>
    <n v="0"/>
    <m/>
    <m/>
    <n v="0"/>
  </r>
  <r>
    <x v="13"/>
    <s v="San Antonio College (ACCD)"/>
    <m/>
    <n v="227924"/>
    <x v="6"/>
    <n v="117"/>
    <n v="71633.179487179485"/>
    <n v="8381082"/>
    <n v="107"/>
    <n v="46430.88785046729"/>
    <n v="4968105"/>
    <n v="70"/>
    <n v="59512.1"/>
    <n v="4165847"/>
    <n v="67"/>
    <n v="48533.955223880599"/>
    <n v="3251775"/>
    <n v="99"/>
    <n v="54233.949494949498"/>
    <n v="5369161"/>
    <n v="96"/>
    <n v="36568.708333333336"/>
    <n v="3510596"/>
    <n v="92"/>
    <n v="45937.684782608696"/>
    <n v="4226267"/>
    <n v="67"/>
    <n v="32766.567164179105"/>
    <n v="2195360"/>
    <m/>
    <m/>
    <n v="0"/>
    <m/>
    <m/>
    <n v="0"/>
    <m/>
    <m/>
    <n v="0"/>
    <m/>
    <m/>
    <n v="0"/>
    <n v="14"/>
    <n v="83706.21428571429"/>
    <n v="958837.94339999999"/>
    <n v="13"/>
    <n v="76609.38461538461"/>
    <n v="814863.38039999991"/>
    <n v="6"/>
    <n v="69601.5"/>
    <n v="341687.6838"/>
    <n v="7"/>
    <n v="68760.71428571429"/>
    <n v="393820.11499999999"/>
    <n v="7"/>
    <n v="66053"/>
    <n v="378311.9522"/>
    <n v="6"/>
    <n v="55670.5"/>
    <n v="273297.61859999999"/>
    <n v="6"/>
    <n v="55236.333333333336"/>
    <n v="271166.20760000002"/>
    <n v="5"/>
    <n v="55137.4"/>
    <n v="225567.10340000002"/>
    <m/>
    <m/>
    <n v="0"/>
    <m/>
    <m/>
    <n v="0"/>
    <m/>
    <m/>
    <n v="0"/>
    <m/>
    <m/>
    <n v="0"/>
  </r>
  <r>
    <x v="13"/>
    <s v="San Jacinto College"/>
    <m/>
    <n v="227979"/>
    <x v="6"/>
    <m/>
    <m/>
    <n v="0"/>
    <m/>
    <m/>
    <n v="0"/>
    <m/>
    <m/>
    <n v="0"/>
    <m/>
    <m/>
    <n v="0"/>
    <m/>
    <m/>
    <n v="0"/>
    <m/>
    <m/>
    <n v="0"/>
    <m/>
    <m/>
    <n v="0"/>
    <m/>
    <m/>
    <n v="0"/>
    <m/>
    <m/>
    <n v="0"/>
    <m/>
    <m/>
    <n v="0"/>
    <n v="405"/>
    <n v="57853.002469135805"/>
    <n v="23430466"/>
    <n v="374"/>
    <n v="56419.756684491978"/>
    <n v="21100989"/>
    <m/>
    <m/>
    <n v="0"/>
    <m/>
    <m/>
    <n v="0"/>
    <m/>
    <m/>
    <n v="0"/>
    <m/>
    <m/>
    <n v="0"/>
    <m/>
    <m/>
    <n v="0"/>
    <m/>
    <m/>
    <n v="0"/>
    <m/>
    <m/>
    <n v="0"/>
    <m/>
    <m/>
    <n v="0"/>
    <m/>
    <m/>
    <n v="0"/>
    <m/>
    <m/>
    <n v="0"/>
    <n v="107"/>
    <n v="76774.654205607483"/>
    <n v="6721421.3616000013"/>
    <n v="92"/>
    <n v="75723.184782608689"/>
    <n v="5700017.3005999997"/>
  </r>
  <r>
    <x v="13"/>
    <s v="South Plains College "/>
    <m/>
    <n v="228158"/>
    <x v="6"/>
    <n v="48"/>
    <n v="59394.875"/>
    <n v="2850954"/>
    <n v="59"/>
    <n v="57052.610169491527"/>
    <n v="3366104"/>
    <n v="41"/>
    <n v="50850.756097560974"/>
    <n v="2084881"/>
    <n v="39"/>
    <n v="48777.538461538461"/>
    <n v="1902324"/>
    <n v="96"/>
    <n v="44806.1875"/>
    <n v="4301394"/>
    <n v="92"/>
    <n v="44072.543478260872"/>
    <n v="4054674"/>
    <n v="62"/>
    <n v="39915.467741935485"/>
    <n v="2474759"/>
    <n v="63"/>
    <n v="39745.444444444445"/>
    <n v="2503963"/>
    <m/>
    <m/>
    <n v="0"/>
    <m/>
    <m/>
    <n v="0"/>
    <m/>
    <m/>
    <n v="0"/>
    <m/>
    <m/>
    <n v="0"/>
    <m/>
    <m/>
    <n v="0"/>
    <m/>
    <m/>
    <n v="0"/>
    <n v="1"/>
    <n v="76863"/>
    <n v="62889.306600000004"/>
    <n v="1"/>
    <n v="76863"/>
    <n v="62889.306600000004"/>
    <n v="2"/>
    <n v="55492"/>
    <n v="90807.108800000002"/>
    <n v="2"/>
    <n v="55492"/>
    <n v="90807.108800000002"/>
    <n v="29"/>
    <n v="47991.448275862072"/>
    <n v="1138731.4864000001"/>
    <n v="28"/>
    <n v="51139.5"/>
    <n v="1171585.4892"/>
    <m/>
    <m/>
    <n v="0"/>
    <m/>
    <m/>
    <n v="0"/>
    <m/>
    <m/>
    <n v="0"/>
    <m/>
    <m/>
    <n v="0"/>
  </r>
  <r>
    <x v="13"/>
    <s v="St. Philip's College (ACCD)"/>
    <m/>
    <n v="227854"/>
    <x v="6"/>
    <n v="22"/>
    <n v="67509.681818181823"/>
    <n v="1485213"/>
    <n v="19"/>
    <n v="63465.684210526313"/>
    <n v="1205848"/>
    <n v="25"/>
    <n v="61096.160000000003"/>
    <n v="1527404"/>
    <n v="19"/>
    <n v="54608.42105263158"/>
    <n v="1037560"/>
    <n v="47"/>
    <n v="53568.51063829787"/>
    <n v="2517720"/>
    <n v="33"/>
    <n v="46957.060606060608"/>
    <n v="1549583"/>
    <n v="93"/>
    <n v="45310.741935483871"/>
    <n v="4213899"/>
    <n v="82"/>
    <n v="31904.365853658535"/>
    <n v="2616158"/>
    <m/>
    <m/>
    <n v="0"/>
    <m/>
    <m/>
    <n v="0"/>
    <m/>
    <m/>
    <n v="0"/>
    <m/>
    <m/>
    <n v="0"/>
    <n v="3"/>
    <n v="84923"/>
    <n v="208451.9958"/>
    <n v="3"/>
    <n v="84923"/>
    <n v="208451.9958"/>
    <n v="3"/>
    <n v="64317"/>
    <n v="157872.50820000001"/>
    <n v="2"/>
    <n v="75554"/>
    <n v="123636.5656"/>
    <n v="7"/>
    <n v="65784.142857142855"/>
    <n v="376772.09980000003"/>
    <n v="13"/>
    <n v="62707.538461538461"/>
    <n v="666995.00360000005"/>
    <n v="2"/>
    <n v="49672.5"/>
    <n v="81284.078999999998"/>
    <n v="19"/>
    <n v="51514.894736842107"/>
    <n v="800840.25060000003"/>
    <m/>
    <m/>
    <n v="0"/>
    <m/>
    <m/>
    <n v="0"/>
    <m/>
    <m/>
    <n v="0"/>
    <m/>
    <m/>
    <n v="0"/>
  </r>
  <r>
    <x v="13"/>
    <s v="Tarrant County College"/>
    <m/>
    <n v="228547"/>
    <x v="6"/>
    <n v="74"/>
    <n v="68418.851351351346"/>
    <n v="5062995"/>
    <n v="77"/>
    <n v="67464.870129870134"/>
    <n v="5194795"/>
    <n v="148"/>
    <n v="62588.385135135133"/>
    <n v="9263081"/>
    <n v="133"/>
    <n v="61036.368421052633"/>
    <n v="8117837"/>
    <n v="161"/>
    <n v="61481.881987577639"/>
    <n v="9898583"/>
    <n v="158"/>
    <n v="60845.9746835443"/>
    <n v="9613664"/>
    <n v="252"/>
    <n v="53842.920634920636"/>
    <n v="13568416"/>
    <n v="255"/>
    <n v="53786.784313725489"/>
    <n v="13715630"/>
    <m/>
    <m/>
    <n v="0"/>
    <m/>
    <m/>
    <n v="0"/>
    <m/>
    <m/>
    <n v="0"/>
    <m/>
    <m/>
    <n v="0"/>
    <m/>
    <m/>
    <n v="0"/>
    <m/>
    <m/>
    <n v="0"/>
    <n v="9"/>
    <n v="90502.888888888891"/>
    <n v="666445.17320000008"/>
    <n v="10"/>
    <n v="88063.7"/>
    <n v="720537.19339999999"/>
    <n v="8"/>
    <n v="51624.5"/>
    <n v="337913.3272"/>
    <n v="9"/>
    <n v="69030.555555555562"/>
    <n v="508327.20500000002"/>
    <n v="2"/>
    <n v="67156"/>
    <n v="109894.0784"/>
    <n v="2"/>
    <n v="67156"/>
    <n v="109894.0784"/>
    <m/>
    <m/>
    <n v="0"/>
    <m/>
    <m/>
    <n v="0"/>
    <m/>
    <m/>
    <n v="0"/>
    <m/>
    <m/>
    <n v="0"/>
  </r>
  <r>
    <x v="13"/>
    <s v="Texas Southmost College "/>
    <m/>
    <n v="229072"/>
    <x v="6"/>
    <m/>
    <m/>
    <n v="0"/>
    <m/>
    <m/>
    <n v="0"/>
    <m/>
    <m/>
    <n v="0"/>
    <m/>
    <m/>
    <n v="0"/>
    <m/>
    <m/>
    <n v="0"/>
    <m/>
    <m/>
    <n v="0"/>
    <m/>
    <m/>
    <n v="0"/>
    <m/>
    <m/>
    <n v="0"/>
    <m/>
    <m/>
    <n v="0"/>
    <m/>
    <m/>
    <n v="0"/>
    <m/>
    <m/>
    <n v="0"/>
    <m/>
    <m/>
    <n v="0"/>
    <m/>
    <m/>
    <n v="0"/>
    <m/>
    <m/>
    <n v="0"/>
    <m/>
    <m/>
    <n v="0"/>
    <m/>
    <m/>
    <n v="0"/>
    <m/>
    <m/>
    <n v="0"/>
    <m/>
    <m/>
    <n v="0"/>
    <m/>
    <m/>
    <n v="0"/>
    <m/>
    <m/>
    <n v="0"/>
    <m/>
    <m/>
    <n v="0"/>
    <m/>
    <m/>
    <n v="0"/>
    <m/>
    <m/>
    <n v="0"/>
    <m/>
    <m/>
    <n v="0"/>
  </r>
  <r>
    <x v="13"/>
    <s v="Texas State Technical College-Waco"/>
    <s v="Reclassified: Met criteria for Two-Year 1 in 2009-10, 2010-11 and 2011-12."/>
    <n v="228680"/>
    <x v="6"/>
    <m/>
    <m/>
    <n v="0"/>
    <m/>
    <m/>
    <n v="0"/>
    <n v="3"/>
    <n v="46684"/>
    <n v="140052"/>
    <n v="2"/>
    <n v="51276"/>
    <n v="102552"/>
    <m/>
    <m/>
    <n v="0"/>
    <m/>
    <m/>
    <n v="0"/>
    <n v="21"/>
    <n v="41557.238095238092"/>
    <n v="872701.99999999988"/>
    <n v="23"/>
    <n v="41127.434782608696"/>
    <n v="945931"/>
    <m/>
    <m/>
    <n v="0"/>
    <m/>
    <m/>
    <n v="0"/>
    <m/>
    <m/>
    <n v="0"/>
    <m/>
    <m/>
    <n v="0"/>
    <n v="5"/>
    <n v="66897.600000000006"/>
    <n v="273678.08160000003"/>
    <n v="5"/>
    <n v="66897.600000000006"/>
    <n v="273678.08160000003"/>
    <n v="21"/>
    <n v="52652.571428571428"/>
    <n v="904687.01280000003"/>
    <n v="20"/>
    <n v="52394.400000000001"/>
    <n v="857381.96160000004"/>
    <m/>
    <m/>
    <n v="0"/>
    <m/>
    <m/>
    <n v="0"/>
    <n v="202"/>
    <n v="46693.267326732675"/>
    <n v="7717295.1280000005"/>
    <n v="208"/>
    <n v="46466.567307692305"/>
    <n v="7907940.6372000007"/>
    <m/>
    <m/>
    <n v="0"/>
    <m/>
    <m/>
    <n v="0"/>
    <m/>
    <m/>
    <n v="0"/>
    <m/>
    <m/>
    <n v="0"/>
  </r>
  <r>
    <x v="13"/>
    <s v="Trinity Valley Community College"/>
    <s v="Reclassified: Met criteria for Two-Year 1 in 2009-10, 2010-11 and 2011-12."/>
    <n v="225308"/>
    <x v="6"/>
    <m/>
    <m/>
    <n v="0"/>
    <m/>
    <m/>
    <n v="0"/>
    <m/>
    <m/>
    <n v="0"/>
    <m/>
    <m/>
    <n v="0"/>
    <m/>
    <m/>
    <n v="0"/>
    <m/>
    <m/>
    <n v="0"/>
    <m/>
    <m/>
    <n v="0"/>
    <m/>
    <m/>
    <n v="0"/>
    <m/>
    <m/>
    <n v="0"/>
    <m/>
    <m/>
    <n v="0"/>
    <n v="120"/>
    <n v="51808.26666666667"/>
    <n v="6216992"/>
    <n v="122"/>
    <n v="51580.819672131147"/>
    <n v="6292860"/>
    <m/>
    <m/>
    <n v="0"/>
    <m/>
    <m/>
    <n v="0"/>
    <m/>
    <m/>
    <n v="0"/>
    <m/>
    <m/>
    <n v="0"/>
    <m/>
    <m/>
    <n v="0"/>
    <m/>
    <m/>
    <n v="0"/>
    <m/>
    <m/>
    <n v="0"/>
    <m/>
    <m/>
    <n v="0"/>
    <m/>
    <m/>
    <n v="0"/>
    <m/>
    <m/>
    <n v="0"/>
    <n v="34"/>
    <n v="64816.058823529413"/>
    <n v="1803104.9772000001"/>
    <n v="35"/>
    <n v="63855.428571428572"/>
    <n v="1828627.9080000001"/>
  </r>
  <r>
    <x v="13"/>
    <s v="Tyler Junior College "/>
    <m/>
    <n v="229355"/>
    <x v="6"/>
    <m/>
    <m/>
    <n v="0"/>
    <m/>
    <m/>
    <n v="0"/>
    <m/>
    <m/>
    <n v="0"/>
    <m/>
    <m/>
    <n v="0"/>
    <m/>
    <m/>
    <n v="0"/>
    <m/>
    <m/>
    <n v="0"/>
    <n v="215"/>
    <n v="50170.502325581394"/>
    <n v="10786658"/>
    <n v="223"/>
    <n v="49215.403587443943"/>
    <n v="10975035"/>
    <m/>
    <m/>
    <n v="0"/>
    <m/>
    <m/>
    <n v="0"/>
    <m/>
    <m/>
    <n v="0"/>
    <m/>
    <m/>
    <n v="0"/>
    <m/>
    <m/>
    <n v="0"/>
    <m/>
    <m/>
    <n v="0"/>
    <m/>
    <m/>
    <n v="0"/>
    <m/>
    <m/>
    <n v="0"/>
    <m/>
    <m/>
    <n v="0"/>
    <m/>
    <m/>
    <n v="0"/>
    <n v="59"/>
    <n v="57226.423728813563"/>
    <n v="2762536.9338000002"/>
    <n v="58"/>
    <n v="56925.879310344826"/>
    <n v="2701451.7582"/>
    <m/>
    <m/>
    <n v="0"/>
    <m/>
    <m/>
    <n v="0"/>
    <m/>
    <m/>
    <n v="0"/>
    <m/>
    <m/>
    <n v="0"/>
  </r>
  <r>
    <x v="13"/>
    <s v="Alvin Community College "/>
    <m/>
    <n v="222567"/>
    <x v="7"/>
    <m/>
    <m/>
    <n v="0"/>
    <m/>
    <m/>
    <n v="0"/>
    <m/>
    <m/>
    <n v="0"/>
    <m/>
    <m/>
    <n v="0"/>
    <m/>
    <m/>
    <n v="0"/>
    <m/>
    <m/>
    <n v="0"/>
    <m/>
    <m/>
    <n v="0"/>
    <m/>
    <m/>
    <n v="0"/>
    <m/>
    <m/>
    <n v="0"/>
    <m/>
    <m/>
    <n v="0"/>
    <n v="54"/>
    <n v="53143.074074074073"/>
    <n v="2869726"/>
    <n v="57"/>
    <n v="53550.105263157893"/>
    <n v="3052356"/>
    <m/>
    <m/>
    <n v="0"/>
    <m/>
    <m/>
    <n v="0"/>
    <m/>
    <m/>
    <n v="0"/>
    <m/>
    <m/>
    <n v="0"/>
    <m/>
    <m/>
    <n v="0"/>
    <m/>
    <m/>
    <n v="0"/>
    <m/>
    <m/>
    <n v="0"/>
    <m/>
    <m/>
    <n v="0"/>
    <m/>
    <m/>
    <n v="0"/>
    <m/>
    <m/>
    <n v="0"/>
    <n v="55"/>
    <n v="69922.654545454541"/>
    <n v="3146589.3772"/>
    <n v="48"/>
    <n v="69247.020833333328"/>
    <n v="2719579.7974"/>
  </r>
  <r>
    <x v="13"/>
    <s v="Angelina College "/>
    <m/>
    <n v="222822"/>
    <x v="7"/>
    <m/>
    <m/>
    <n v="0"/>
    <m/>
    <m/>
    <n v="0"/>
    <m/>
    <m/>
    <n v="0"/>
    <m/>
    <m/>
    <n v="0"/>
    <m/>
    <m/>
    <n v="0"/>
    <m/>
    <m/>
    <n v="0"/>
    <n v="101"/>
    <n v="47274.910891089108"/>
    <n v="4774766"/>
    <n v="99"/>
    <n v="46705.858585858587"/>
    <n v="4623880"/>
    <m/>
    <m/>
    <n v="0"/>
    <m/>
    <m/>
    <n v="0"/>
    <m/>
    <m/>
    <n v="0"/>
    <m/>
    <m/>
    <n v="0"/>
    <m/>
    <m/>
    <n v="0"/>
    <m/>
    <m/>
    <n v="0"/>
    <m/>
    <m/>
    <n v="0"/>
    <m/>
    <m/>
    <n v="0"/>
    <m/>
    <m/>
    <n v="0"/>
    <m/>
    <m/>
    <n v="0"/>
    <n v="28"/>
    <n v="51495.857142857145"/>
    <n v="1179749.4888000002"/>
    <n v="25"/>
    <n v="50870.400000000001"/>
    <n v="1040554.032"/>
    <m/>
    <m/>
    <n v="0"/>
    <m/>
    <m/>
    <n v="0"/>
    <m/>
    <m/>
    <n v="0"/>
    <m/>
    <m/>
    <n v="0"/>
  </r>
  <r>
    <x v="13"/>
    <s v="Cedar Valley College (DCCCD)"/>
    <m/>
    <n v="223773"/>
    <x v="7"/>
    <m/>
    <m/>
    <n v="0"/>
    <m/>
    <m/>
    <n v="0"/>
    <m/>
    <m/>
    <n v="0"/>
    <m/>
    <m/>
    <n v="0"/>
    <m/>
    <m/>
    <n v="0"/>
    <m/>
    <m/>
    <n v="0"/>
    <m/>
    <m/>
    <n v="0"/>
    <m/>
    <m/>
    <n v="0"/>
    <m/>
    <m/>
    <n v="0"/>
    <m/>
    <m/>
    <n v="0"/>
    <n v="64"/>
    <n v="56599.640625"/>
    <n v="3622377"/>
    <n v="63"/>
    <n v="55893.761904761908"/>
    <n v="3521307"/>
    <m/>
    <m/>
    <n v="0"/>
    <m/>
    <m/>
    <n v="0"/>
    <m/>
    <m/>
    <n v="0"/>
    <m/>
    <m/>
    <n v="0"/>
    <m/>
    <m/>
    <n v="0"/>
    <m/>
    <m/>
    <n v="0"/>
    <m/>
    <m/>
    <n v="0"/>
    <m/>
    <m/>
    <n v="0"/>
    <m/>
    <m/>
    <n v="0"/>
    <m/>
    <m/>
    <n v="0"/>
    <m/>
    <m/>
    <n v="0"/>
    <m/>
    <m/>
    <n v="0"/>
  </r>
  <r>
    <x v="13"/>
    <s v="Cisco Junior College "/>
    <m/>
    <n v="223898"/>
    <x v="7"/>
    <n v="57"/>
    <n v="39862.807017543862"/>
    <n v="2272180"/>
    <n v="59"/>
    <n v="39079.423728813563"/>
    <n v="2305686"/>
    <m/>
    <m/>
    <n v="0"/>
    <m/>
    <m/>
    <n v="0"/>
    <m/>
    <m/>
    <n v="0"/>
    <m/>
    <m/>
    <n v="0"/>
    <m/>
    <m/>
    <n v="0"/>
    <m/>
    <m/>
    <n v="0"/>
    <m/>
    <m/>
    <n v="0"/>
    <m/>
    <m/>
    <n v="0"/>
    <m/>
    <m/>
    <n v="0"/>
    <m/>
    <m/>
    <n v="0"/>
    <n v="29"/>
    <n v="48480.586206896551"/>
    <n v="1150337.6534"/>
    <n v="27"/>
    <n v="45994.777777777781"/>
    <n v="1016089.0338000001"/>
    <m/>
    <m/>
    <n v="0"/>
    <m/>
    <m/>
    <n v="0"/>
    <m/>
    <m/>
    <n v="0"/>
    <m/>
    <m/>
    <n v="0"/>
    <m/>
    <m/>
    <n v="0"/>
    <m/>
    <m/>
    <n v="0"/>
    <m/>
    <m/>
    <n v="0"/>
    <m/>
    <m/>
    <n v="0"/>
    <m/>
    <m/>
    <n v="0"/>
    <m/>
    <m/>
    <n v="0"/>
  </r>
  <r>
    <x v="13"/>
    <s v="Coastal Bend College"/>
    <m/>
    <n v="223320"/>
    <x v="7"/>
    <n v="65"/>
    <n v="44628.046153846153"/>
    <n v="2900823"/>
    <n v="67"/>
    <n v="44346.820895522389"/>
    <n v="2971237"/>
    <m/>
    <m/>
    <n v="0"/>
    <m/>
    <m/>
    <n v="0"/>
    <m/>
    <m/>
    <n v="0"/>
    <m/>
    <m/>
    <n v="0"/>
    <m/>
    <m/>
    <n v="0"/>
    <m/>
    <m/>
    <n v="0"/>
    <m/>
    <m/>
    <n v="0"/>
    <m/>
    <m/>
    <n v="0"/>
    <m/>
    <m/>
    <n v="0"/>
    <m/>
    <m/>
    <n v="0"/>
    <n v="38"/>
    <n v="50119.868421052633"/>
    <n v="1558306.9010000001"/>
    <n v="38"/>
    <n v="49232.815789473687"/>
    <n v="1530727.0154000001"/>
    <m/>
    <m/>
    <n v="0"/>
    <m/>
    <m/>
    <n v="0"/>
    <m/>
    <m/>
    <n v="0"/>
    <m/>
    <m/>
    <n v="0"/>
    <m/>
    <m/>
    <n v="0"/>
    <m/>
    <m/>
    <n v="0"/>
    <m/>
    <m/>
    <n v="0"/>
    <m/>
    <m/>
    <n v="0"/>
    <m/>
    <m/>
    <n v="0"/>
    <m/>
    <m/>
    <n v="0"/>
  </r>
  <r>
    <x v="13"/>
    <s v="College of the Mainland"/>
    <m/>
    <n v="226408"/>
    <x v="7"/>
    <n v="7"/>
    <n v="58589.571428571428"/>
    <n v="410127"/>
    <n v="3"/>
    <n v="61849"/>
    <n v="185547"/>
    <n v="9"/>
    <n v="50283.555555555555"/>
    <n v="452552"/>
    <n v="3"/>
    <n v="48243.333333333336"/>
    <n v="144730"/>
    <n v="15"/>
    <n v="46703.6"/>
    <n v="700554"/>
    <n v="11"/>
    <n v="48466.727272727272"/>
    <n v="533134"/>
    <m/>
    <m/>
    <n v="0"/>
    <m/>
    <m/>
    <n v="0"/>
    <m/>
    <m/>
    <n v="0"/>
    <m/>
    <m/>
    <n v="0"/>
    <m/>
    <m/>
    <n v="0"/>
    <m/>
    <m/>
    <n v="0"/>
    <n v="25"/>
    <n v="70489.039999999994"/>
    <n v="1441853.3132"/>
    <n v="18"/>
    <n v="74387.5"/>
    <n v="1095549.345"/>
    <n v="19"/>
    <n v="62242.473684210527"/>
    <n v="967609.04740000004"/>
    <n v="37"/>
    <n v="63183"/>
    <n v="1912764.2322000002"/>
    <n v="34"/>
    <n v="59665.294117647056"/>
    <n v="1659816.8840000001"/>
    <n v="41"/>
    <n v="58673.048780487807"/>
    <n v="1968257.8290000001"/>
    <m/>
    <m/>
    <n v="0"/>
    <m/>
    <m/>
    <n v="0"/>
    <m/>
    <m/>
    <n v="0"/>
    <m/>
    <m/>
    <n v="0"/>
    <m/>
    <m/>
    <n v="0"/>
    <m/>
    <m/>
    <n v="0"/>
  </r>
  <r>
    <x v="13"/>
    <s v="Grayson County College "/>
    <m/>
    <n v="225070"/>
    <x v="7"/>
    <m/>
    <m/>
    <n v="0"/>
    <m/>
    <m/>
    <n v="0"/>
    <m/>
    <m/>
    <n v="0"/>
    <m/>
    <m/>
    <n v="0"/>
    <m/>
    <m/>
    <n v="0"/>
    <m/>
    <m/>
    <n v="0"/>
    <m/>
    <m/>
    <n v="0"/>
    <m/>
    <m/>
    <n v="0"/>
    <m/>
    <m/>
    <n v="0"/>
    <m/>
    <m/>
    <n v="0"/>
    <n v="87"/>
    <n v="53011.206896551725"/>
    <n v="4611975"/>
    <n v="87"/>
    <n v="52691"/>
    <n v="4584117"/>
    <m/>
    <m/>
    <n v="0"/>
    <m/>
    <m/>
    <n v="0"/>
    <m/>
    <m/>
    <n v="0"/>
    <m/>
    <m/>
    <n v="0"/>
    <m/>
    <m/>
    <n v="0"/>
    <m/>
    <m/>
    <n v="0"/>
    <m/>
    <m/>
    <n v="0"/>
    <m/>
    <m/>
    <n v="0"/>
    <m/>
    <m/>
    <n v="0"/>
    <m/>
    <m/>
    <n v="0"/>
    <n v="13"/>
    <n v="58699.692307692305"/>
    <n v="624365.14720000001"/>
    <n v="14"/>
    <n v="56691"/>
    <n v="649384.06680000003"/>
  </r>
  <r>
    <x v="13"/>
    <s v="Hill College"/>
    <m/>
    <n v="225371"/>
    <x v="7"/>
    <m/>
    <m/>
    <n v="0"/>
    <m/>
    <m/>
    <n v="0"/>
    <m/>
    <m/>
    <n v="0"/>
    <m/>
    <m/>
    <n v="0"/>
    <m/>
    <m/>
    <n v="0"/>
    <m/>
    <m/>
    <n v="0"/>
    <m/>
    <m/>
    <n v="0"/>
    <m/>
    <m/>
    <n v="0"/>
    <m/>
    <m/>
    <n v="0"/>
    <m/>
    <m/>
    <n v="0"/>
    <n v="73"/>
    <n v="42189.424657534248"/>
    <n v="3079828"/>
    <n v="73"/>
    <n v="41612.849315068495"/>
    <n v="3037738"/>
    <m/>
    <m/>
    <n v="0"/>
    <m/>
    <m/>
    <n v="0"/>
    <m/>
    <m/>
    <n v="0"/>
    <m/>
    <m/>
    <n v="0"/>
    <m/>
    <m/>
    <n v="0"/>
    <m/>
    <m/>
    <n v="0"/>
    <m/>
    <m/>
    <n v="0"/>
    <m/>
    <m/>
    <n v="0"/>
    <m/>
    <m/>
    <n v="0"/>
    <m/>
    <m/>
    <n v="0"/>
    <n v="18"/>
    <n v="52469"/>
    <n v="772742.44440000004"/>
    <n v="12"/>
    <n v="52702"/>
    <n v="517449.31680000003"/>
  </r>
  <r>
    <x v="13"/>
    <s v="Howard College (HCJCD)"/>
    <m/>
    <n v="225520"/>
    <x v="7"/>
    <n v="5"/>
    <n v="54275"/>
    <n v="271375"/>
    <n v="7"/>
    <n v="50987.571428571428"/>
    <n v="356913"/>
    <n v="19"/>
    <n v="41276.210526315786"/>
    <n v="784248"/>
    <n v="18"/>
    <n v="44768"/>
    <n v="805824"/>
    <n v="28"/>
    <n v="42710.964285714283"/>
    <n v="1195907"/>
    <n v="24"/>
    <n v="40052.916666666664"/>
    <n v="961270"/>
    <n v="31"/>
    <n v="39946.580645161288"/>
    <n v="1238344"/>
    <n v="29"/>
    <n v="37728.172413793101"/>
    <n v="1094117"/>
    <m/>
    <m/>
    <n v="0"/>
    <m/>
    <m/>
    <n v="0"/>
    <m/>
    <m/>
    <n v="0"/>
    <m/>
    <m/>
    <n v="0"/>
    <n v="2"/>
    <n v="66340.5"/>
    <n v="108559.59420000001"/>
    <n v="2"/>
    <n v="66340.5"/>
    <n v="108559.59420000001"/>
    <n v="7"/>
    <n v="57392.428571428572"/>
    <n v="328709.39540000004"/>
    <n v="5"/>
    <n v="55967.8"/>
    <n v="228964.26980000001"/>
    <n v="11"/>
    <n v="54532.63636363636"/>
    <n v="490804.63380000001"/>
    <n v="15"/>
    <n v="52825.333333333336"/>
    <n v="648325.31599999999"/>
    <n v="40"/>
    <n v="46662.025000000001"/>
    <n v="1527154.7542000001"/>
    <n v="38"/>
    <n v="46434.76315789474"/>
    <n v="1443731.0822000003"/>
    <m/>
    <m/>
    <n v="0"/>
    <m/>
    <m/>
    <n v="0"/>
    <m/>
    <m/>
    <n v="0"/>
    <m/>
    <m/>
    <n v="0"/>
  </r>
  <r>
    <x v="13"/>
    <s v="Lamar Institute of Technology"/>
    <m/>
    <n v="441760"/>
    <x v="7"/>
    <m/>
    <m/>
    <n v="0"/>
    <m/>
    <m/>
    <n v="0"/>
    <m/>
    <m/>
    <n v="0"/>
    <m/>
    <m/>
    <n v="0"/>
    <m/>
    <m/>
    <n v="0"/>
    <m/>
    <m/>
    <n v="0"/>
    <n v="81"/>
    <n v="41452.765432098764"/>
    <n v="3357674"/>
    <n v="76"/>
    <n v="49356.26315789474"/>
    <n v="3751076.0000000005"/>
    <m/>
    <m/>
    <n v="0"/>
    <m/>
    <m/>
    <n v="0"/>
    <m/>
    <m/>
    <n v="0"/>
    <m/>
    <m/>
    <n v="0"/>
    <m/>
    <m/>
    <n v="0"/>
    <m/>
    <m/>
    <n v="0"/>
    <m/>
    <m/>
    <n v="0"/>
    <m/>
    <m/>
    <n v="0"/>
    <m/>
    <m/>
    <n v="0"/>
    <m/>
    <m/>
    <n v="0"/>
    <m/>
    <m/>
    <n v="0"/>
    <m/>
    <m/>
    <n v="0"/>
    <m/>
    <m/>
    <n v="0"/>
    <m/>
    <m/>
    <n v="0"/>
    <m/>
    <m/>
    <n v="0"/>
    <m/>
    <m/>
    <n v="0"/>
  </r>
  <r>
    <x v="13"/>
    <s v="Lee College "/>
    <m/>
    <n v="226204"/>
    <x v="7"/>
    <m/>
    <m/>
    <n v="0"/>
    <m/>
    <m/>
    <n v="0"/>
    <m/>
    <m/>
    <n v="0"/>
    <m/>
    <m/>
    <n v="0"/>
    <m/>
    <m/>
    <n v="0"/>
    <m/>
    <m/>
    <n v="0"/>
    <m/>
    <m/>
    <n v="0"/>
    <n v="139"/>
    <n v="51745.266187050358"/>
    <n v="7192592"/>
    <m/>
    <m/>
    <n v="0"/>
    <m/>
    <m/>
    <n v="0"/>
    <n v="145"/>
    <n v="50695.896551724138"/>
    <n v="7350905"/>
    <m/>
    <m/>
    <n v="0"/>
    <m/>
    <m/>
    <n v="0"/>
    <m/>
    <m/>
    <n v="0"/>
    <m/>
    <m/>
    <n v="0"/>
    <m/>
    <m/>
    <n v="0"/>
    <m/>
    <m/>
    <n v="0"/>
    <m/>
    <m/>
    <n v="0"/>
    <m/>
    <m/>
    <n v="0"/>
    <n v="16"/>
    <n v="60524.375"/>
    <n v="792336.69800000009"/>
    <m/>
    <m/>
    <n v="0"/>
    <m/>
    <m/>
    <n v="0"/>
    <n v="16"/>
    <n v="59715.75"/>
    <n v="781750.82640000002"/>
    <m/>
    <m/>
    <n v="0"/>
  </r>
  <r>
    <x v="13"/>
    <s v="Mountain View College  (DCCCD)"/>
    <s v="Met the criteria for Two-Year 1 in 2010-11 amd 2011-12."/>
    <n v="226930"/>
    <x v="7"/>
    <m/>
    <m/>
    <n v="0"/>
    <m/>
    <m/>
    <n v="0"/>
    <m/>
    <m/>
    <n v="0"/>
    <m/>
    <m/>
    <n v="0"/>
    <m/>
    <m/>
    <n v="0"/>
    <m/>
    <m/>
    <n v="0"/>
    <m/>
    <m/>
    <n v="0"/>
    <m/>
    <m/>
    <n v="0"/>
    <m/>
    <m/>
    <n v="0"/>
    <m/>
    <m/>
    <n v="0"/>
    <n v="77"/>
    <n v="60219.805194805194"/>
    <n v="4636925"/>
    <n v="70"/>
    <n v="58952.942857142858"/>
    <n v="4126706"/>
    <m/>
    <m/>
    <n v="0"/>
    <m/>
    <m/>
    <n v="0"/>
    <m/>
    <m/>
    <n v="0"/>
    <m/>
    <m/>
    <n v="0"/>
    <m/>
    <m/>
    <n v="0"/>
    <m/>
    <m/>
    <n v="0"/>
    <m/>
    <m/>
    <n v="0"/>
    <m/>
    <m/>
    <n v="0"/>
    <m/>
    <m/>
    <n v="0"/>
    <m/>
    <m/>
    <n v="0"/>
    <m/>
    <m/>
    <n v="0"/>
    <m/>
    <m/>
    <n v="0"/>
  </r>
  <r>
    <x v="13"/>
    <s v="Northeast Texas Community College "/>
    <s v="Reclassified: Met criteria for Two-Year 2 in 2009-10, 2010-11 and 2011-12."/>
    <n v="227225"/>
    <x v="7"/>
    <n v="25"/>
    <n v="58900.28"/>
    <n v="1472507"/>
    <n v="25"/>
    <n v="60194.32"/>
    <n v="1504858"/>
    <n v="10"/>
    <n v="50140.7"/>
    <n v="501407"/>
    <n v="12"/>
    <n v="50143.916666666664"/>
    <n v="601727"/>
    <n v="8"/>
    <n v="45871.75"/>
    <n v="366974"/>
    <n v="6"/>
    <n v="46444.833333333336"/>
    <n v="278669"/>
    <n v="8"/>
    <n v="41739.375"/>
    <n v="333915"/>
    <n v="8"/>
    <n v="42138.625"/>
    <n v="337109"/>
    <m/>
    <m/>
    <n v="0"/>
    <m/>
    <m/>
    <n v="0"/>
    <m/>
    <m/>
    <n v="0"/>
    <m/>
    <m/>
    <n v="0"/>
    <n v="6"/>
    <n v="68531.833333333328"/>
    <n v="336436.47620000003"/>
    <n v="6"/>
    <n v="66353.166666666672"/>
    <n v="325740.96580000001"/>
    <n v="4"/>
    <n v="63325.25"/>
    <n v="207250.87820000001"/>
    <m/>
    <m/>
    <n v="0"/>
    <n v="3"/>
    <n v="54953.666666666664"/>
    <n v="134889.2702"/>
    <n v="5"/>
    <n v="57550.400000000001"/>
    <n v="235438.68640000001"/>
    <n v="8"/>
    <n v="54836.375"/>
    <n v="358936.97620000003"/>
    <n v="7"/>
    <n v="56087.857142857145"/>
    <n v="321237.59299999999"/>
    <m/>
    <m/>
    <n v="0"/>
    <m/>
    <m/>
    <n v="0"/>
    <m/>
    <m/>
    <n v="0"/>
    <m/>
    <m/>
    <n v="0"/>
  </r>
  <r>
    <x v="13"/>
    <s v="Odessa College "/>
    <m/>
    <n v="227304"/>
    <x v="7"/>
    <n v="15"/>
    <n v="60638"/>
    <n v="909570"/>
    <n v="15"/>
    <n v="59823.26666666667"/>
    <n v="897349"/>
    <n v="27"/>
    <n v="44727.925925925927"/>
    <n v="1207654"/>
    <n v="25"/>
    <n v="48737.48"/>
    <n v="1218437"/>
    <n v="24"/>
    <n v="52215.5"/>
    <n v="1253172"/>
    <n v="24"/>
    <n v="50393.166666666664"/>
    <n v="1209436"/>
    <n v="42"/>
    <n v="45795.785714285717"/>
    <n v="1923423.0000000002"/>
    <n v="40"/>
    <n v="45760.35"/>
    <n v="1830414"/>
    <m/>
    <m/>
    <n v="0"/>
    <m/>
    <m/>
    <n v="0"/>
    <m/>
    <m/>
    <n v="0"/>
    <m/>
    <m/>
    <n v="0"/>
    <n v="1"/>
    <n v="75373"/>
    <n v="61670.188600000001"/>
    <n v="2"/>
    <n v="67116.5"/>
    <n v="109829.4406"/>
    <n v="7"/>
    <n v="68973.428571428565"/>
    <n v="395038.41479999997"/>
    <n v="6"/>
    <n v="63711.666666666664"/>
    <n v="312773.31400000001"/>
    <n v="5"/>
    <n v="62089.4"/>
    <n v="254007.73540000001"/>
    <n v="5"/>
    <n v="61313.8"/>
    <n v="250834.75580000001"/>
    <n v="5"/>
    <n v="56600"/>
    <n v="231550.6"/>
    <n v="7"/>
    <n v="59933.857142857145"/>
    <n v="343265.17340000003"/>
    <m/>
    <m/>
    <n v="0"/>
    <m/>
    <m/>
    <n v="0"/>
    <m/>
    <m/>
    <n v="0"/>
    <m/>
    <m/>
    <n v="0"/>
  </r>
  <r>
    <x v="13"/>
    <s v="Paris Junior College"/>
    <m/>
    <n v="227401"/>
    <x v="7"/>
    <m/>
    <m/>
    <n v="0"/>
    <m/>
    <m/>
    <n v="0"/>
    <m/>
    <m/>
    <n v="0"/>
    <m/>
    <m/>
    <n v="0"/>
    <m/>
    <m/>
    <n v="0"/>
    <m/>
    <m/>
    <n v="0"/>
    <m/>
    <m/>
    <n v="0"/>
    <m/>
    <m/>
    <n v="0"/>
    <m/>
    <m/>
    <n v="0"/>
    <m/>
    <m/>
    <n v="0"/>
    <n v="75"/>
    <n v="54048.306666666664"/>
    <n v="4053623"/>
    <n v="69"/>
    <n v="54492.927536231888"/>
    <n v="3760012.0000000005"/>
    <m/>
    <m/>
    <n v="0"/>
    <m/>
    <m/>
    <n v="0"/>
    <m/>
    <m/>
    <n v="0"/>
    <m/>
    <m/>
    <n v="0"/>
    <m/>
    <m/>
    <n v="0"/>
    <m/>
    <m/>
    <n v="0"/>
    <m/>
    <m/>
    <n v="0"/>
    <m/>
    <m/>
    <n v="0"/>
    <m/>
    <m/>
    <n v="0"/>
    <m/>
    <m/>
    <n v="0"/>
    <n v="24"/>
    <n v="74928.041666666672"/>
    <n v="1471346.9686"/>
    <n v="22"/>
    <n v="66220.5"/>
    <n v="1191995.4882"/>
  </r>
  <r>
    <x v="13"/>
    <s v="Southwest Texas Junior College "/>
    <m/>
    <n v="228316"/>
    <x v="7"/>
    <m/>
    <m/>
    <n v="0"/>
    <m/>
    <m/>
    <n v="0"/>
    <m/>
    <m/>
    <n v="0"/>
    <m/>
    <m/>
    <n v="0"/>
    <m/>
    <m/>
    <n v="0"/>
    <m/>
    <m/>
    <n v="0"/>
    <n v="105"/>
    <n v="48019.304761904765"/>
    <n v="5042027"/>
    <n v="110"/>
    <n v="51245.354545454546"/>
    <n v="5636989"/>
    <m/>
    <m/>
    <n v="0"/>
    <m/>
    <m/>
    <n v="0"/>
    <m/>
    <m/>
    <n v="0"/>
    <m/>
    <m/>
    <n v="0"/>
    <m/>
    <m/>
    <n v="0"/>
    <m/>
    <m/>
    <n v="0"/>
    <m/>
    <m/>
    <n v="0"/>
    <m/>
    <m/>
    <n v="0"/>
    <m/>
    <m/>
    <n v="0"/>
    <m/>
    <m/>
    <n v="0"/>
    <n v="10"/>
    <n v="66873.8"/>
    <n v="547161.43160000001"/>
    <n v="8"/>
    <n v="65580.875"/>
    <n v="429266.17540000001"/>
    <m/>
    <m/>
    <n v="0"/>
    <m/>
    <m/>
    <n v="0"/>
    <m/>
    <m/>
    <n v="0"/>
    <m/>
    <m/>
    <n v="0"/>
  </r>
  <r>
    <x v="13"/>
    <s v="Temple College "/>
    <m/>
    <n v="228608"/>
    <x v="7"/>
    <m/>
    <m/>
    <n v="0"/>
    <m/>
    <m/>
    <n v="0"/>
    <m/>
    <m/>
    <n v="0"/>
    <m/>
    <m/>
    <n v="0"/>
    <m/>
    <m/>
    <n v="0"/>
    <m/>
    <m/>
    <n v="0"/>
    <n v="80"/>
    <n v="59986.037499999999"/>
    <n v="4798883"/>
    <n v="83"/>
    <n v="58756.168674698798"/>
    <n v="4876762"/>
    <m/>
    <m/>
    <n v="0"/>
    <m/>
    <m/>
    <n v="0"/>
    <m/>
    <m/>
    <n v="0"/>
    <m/>
    <m/>
    <n v="0"/>
    <m/>
    <m/>
    <n v="0"/>
    <m/>
    <m/>
    <n v="0"/>
    <m/>
    <m/>
    <n v="0"/>
    <m/>
    <m/>
    <n v="0"/>
    <m/>
    <m/>
    <n v="0"/>
    <m/>
    <m/>
    <n v="0"/>
    <n v="37"/>
    <n v="61953.648648648646"/>
    <n v="1875547.5870000001"/>
    <n v="36"/>
    <n v="61098.138888888891"/>
    <n v="1799657.9006000001"/>
    <m/>
    <m/>
    <n v="0"/>
    <m/>
    <m/>
    <n v="0"/>
    <m/>
    <m/>
    <n v="0"/>
    <m/>
    <m/>
    <n v="0"/>
  </r>
  <r>
    <x v="13"/>
    <s v="Texarkana College "/>
    <m/>
    <n v="228699"/>
    <x v="7"/>
    <n v="27"/>
    <n v="61153.592592592591"/>
    <n v="1651147"/>
    <n v="28"/>
    <n v="62089.107142857145"/>
    <n v="1738495"/>
    <n v="27"/>
    <n v="52626.185185185182"/>
    <n v="1420907"/>
    <n v="23"/>
    <n v="53045.17391304348"/>
    <n v="1220039"/>
    <n v="8"/>
    <n v="47379.125"/>
    <n v="379033"/>
    <n v="16"/>
    <n v="48922.3125"/>
    <n v="782757"/>
    <n v="5"/>
    <n v="47412.2"/>
    <n v="237061"/>
    <n v="4"/>
    <n v="48162"/>
    <n v="192648"/>
    <m/>
    <m/>
    <n v="0"/>
    <m/>
    <m/>
    <n v="0"/>
    <m/>
    <m/>
    <n v="0"/>
    <m/>
    <m/>
    <n v="0"/>
    <n v="5"/>
    <n v="82267"/>
    <n v="336554.29700000002"/>
    <n v="2"/>
    <n v="84694"/>
    <n v="138593.2616"/>
    <n v="4"/>
    <n v="71050"/>
    <n v="232532.44"/>
    <n v="2"/>
    <n v="68861"/>
    <n v="112684.1404"/>
    <n v="4"/>
    <n v="61683.25"/>
    <n v="201876.9406"/>
    <n v="3"/>
    <n v="63342"/>
    <n v="155479.2732"/>
    <n v="22"/>
    <n v="60763.63636363636"/>
    <n v="1093769.76"/>
    <n v="22"/>
    <n v="58990.13636363636"/>
    <n v="1061846.0506"/>
    <m/>
    <m/>
    <n v="0"/>
    <m/>
    <m/>
    <n v="0"/>
    <m/>
    <m/>
    <n v="0"/>
    <m/>
    <m/>
    <n v="0"/>
  </r>
  <r>
    <x v="13"/>
    <s v="Texas State Technical College-Harlingen "/>
    <m/>
    <n v="229319"/>
    <x v="7"/>
    <m/>
    <m/>
    <n v="0"/>
    <m/>
    <m/>
    <n v="0"/>
    <n v="1"/>
    <n v="64020"/>
    <n v="64020"/>
    <n v="1"/>
    <n v="61692"/>
    <n v="61692"/>
    <m/>
    <m/>
    <n v="0"/>
    <m/>
    <m/>
    <n v="0"/>
    <n v="31"/>
    <n v="38832.387096774197"/>
    <n v="1203804"/>
    <n v="27"/>
    <n v="38295.555555555555"/>
    <n v="1033980"/>
    <m/>
    <m/>
    <n v="0"/>
    <m/>
    <m/>
    <n v="0"/>
    <m/>
    <m/>
    <n v="0"/>
    <m/>
    <m/>
    <n v="0"/>
    <n v="8"/>
    <n v="64216.5"/>
    <n v="420335.52240000002"/>
    <n v="5"/>
    <n v="65342.400000000001"/>
    <n v="267315.75839999999"/>
    <n v="17"/>
    <n v="52280.470588235294"/>
    <n v="727189.97759999998"/>
    <n v="15"/>
    <n v="52486.400000000001"/>
    <n v="644165.58720000007"/>
    <m/>
    <m/>
    <n v="0"/>
    <m/>
    <m/>
    <n v="0"/>
    <n v="100"/>
    <n v="46221.65"/>
    <n v="3781855.4030000004"/>
    <n v="100"/>
    <n v="46921.32"/>
    <n v="3839102.4024"/>
    <m/>
    <m/>
    <n v="0"/>
    <m/>
    <m/>
    <n v="0"/>
    <m/>
    <m/>
    <n v="0"/>
    <m/>
    <m/>
    <n v="0"/>
  </r>
  <r>
    <x v="13"/>
    <s v="Vernon College "/>
    <m/>
    <n v="229504"/>
    <x v="7"/>
    <m/>
    <m/>
    <n v="0"/>
    <m/>
    <m/>
    <n v="0"/>
    <m/>
    <m/>
    <n v="0"/>
    <m/>
    <m/>
    <n v="0"/>
    <m/>
    <m/>
    <n v="0"/>
    <m/>
    <m/>
    <n v="0"/>
    <n v="51"/>
    <n v="43230.627450980392"/>
    <n v="2204762"/>
    <n v="51"/>
    <n v="42818.01960784314"/>
    <n v="2183719"/>
    <m/>
    <m/>
    <n v="0"/>
    <m/>
    <m/>
    <n v="0"/>
    <m/>
    <m/>
    <n v="0"/>
    <m/>
    <m/>
    <n v="0"/>
    <m/>
    <m/>
    <n v="0"/>
    <m/>
    <m/>
    <n v="0"/>
    <m/>
    <m/>
    <n v="0"/>
    <m/>
    <m/>
    <n v="0"/>
    <m/>
    <m/>
    <n v="0"/>
    <m/>
    <m/>
    <n v="0"/>
    <n v="30"/>
    <n v="53004"/>
    <n v="1301036.1840000001"/>
    <n v="30"/>
    <n v="54190.866666666669"/>
    <n v="1330169.0132000002"/>
    <m/>
    <m/>
    <n v="0"/>
    <m/>
    <m/>
    <n v="0"/>
    <m/>
    <m/>
    <n v="0"/>
    <m/>
    <m/>
    <n v="0"/>
  </r>
  <r>
    <x v="13"/>
    <s v="Victoria College "/>
    <m/>
    <n v="229540"/>
    <x v="7"/>
    <n v="76"/>
    <n v="51981.815789473687"/>
    <n v="3950618"/>
    <n v="70"/>
    <n v="53320.171428571426"/>
    <n v="3732412"/>
    <m/>
    <m/>
    <n v="0"/>
    <m/>
    <m/>
    <n v="0"/>
    <m/>
    <m/>
    <n v="0"/>
    <m/>
    <m/>
    <n v="0"/>
    <m/>
    <m/>
    <n v="0"/>
    <m/>
    <m/>
    <n v="0"/>
    <m/>
    <m/>
    <n v="0"/>
    <m/>
    <m/>
    <n v="0"/>
    <m/>
    <m/>
    <n v="0"/>
    <m/>
    <m/>
    <n v="0"/>
    <n v="29"/>
    <n v="63838.172413793101"/>
    <n v="1514739.3874000001"/>
    <n v="26"/>
    <n v="62213.884615384617"/>
    <n v="1323488.4102"/>
    <m/>
    <m/>
    <n v="0"/>
    <m/>
    <m/>
    <n v="0"/>
    <m/>
    <m/>
    <n v="0"/>
    <m/>
    <m/>
    <n v="0"/>
    <m/>
    <m/>
    <n v="0"/>
    <m/>
    <m/>
    <n v="0"/>
    <m/>
    <m/>
    <n v="0"/>
    <m/>
    <m/>
    <n v="0"/>
    <m/>
    <m/>
    <n v="0"/>
    <m/>
    <m/>
    <n v="0"/>
  </r>
  <r>
    <x v="13"/>
    <s v="Weatherford College "/>
    <m/>
    <n v="229799"/>
    <x v="7"/>
    <m/>
    <m/>
    <n v="0"/>
    <m/>
    <m/>
    <n v="0"/>
    <m/>
    <m/>
    <n v="0"/>
    <m/>
    <m/>
    <n v="0"/>
    <m/>
    <m/>
    <n v="0"/>
    <m/>
    <m/>
    <n v="0"/>
    <n v="92"/>
    <n v="50978.82608695652"/>
    <n v="4690052"/>
    <n v="90"/>
    <n v="49692.73333333333"/>
    <n v="4472346"/>
    <m/>
    <m/>
    <n v="0"/>
    <m/>
    <m/>
    <n v="0"/>
    <m/>
    <m/>
    <n v="0"/>
    <m/>
    <m/>
    <n v="0"/>
    <m/>
    <m/>
    <n v="0"/>
    <m/>
    <m/>
    <n v="0"/>
    <m/>
    <m/>
    <n v="0"/>
    <m/>
    <m/>
    <n v="0"/>
    <m/>
    <m/>
    <n v="0"/>
    <m/>
    <m/>
    <n v="0"/>
    <n v="38"/>
    <n v="58437.73684210526"/>
    <n v="1816922.7388000002"/>
    <n v="41"/>
    <n v="57075.097560975613"/>
    <n v="1914652.6378000001"/>
    <m/>
    <m/>
    <n v="0"/>
    <m/>
    <m/>
    <n v="0"/>
    <m/>
    <m/>
    <n v="0"/>
    <m/>
    <m/>
    <n v="0"/>
  </r>
  <r>
    <x v="13"/>
    <s v="Wharton County Junior College "/>
    <m/>
    <n v="229841"/>
    <x v="7"/>
    <m/>
    <m/>
    <n v="0"/>
    <m/>
    <m/>
    <n v="0"/>
    <m/>
    <m/>
    <n v="0"/>
    <m/>
    <m/>
    <n v="0"/>
    <m/>
    <m/>
    <n v="0"/>
    <m/>
    <m/>
    <n v="0"/>
    <m/>
    <m/>
    <n v="0"/>
    <m/>
    <m/>
    <n v="0"/>
    <m/>
    <m/>
    <n v="0"/>
    <m/>
    <m/>
    <n v="0"/>
    <n v="108"/>
    <n v="50298.518518518518"/>
    <n v="5432240"/>
    <n v="110"/>
    <n v="51043.1"/>
    <n v="5614741"/>
    <m/>
    <m/>
    <n v="0"/>
    <m/>
    <m/>
    <n v="0"/>
    <m/>
    <m/>
    <n v="0"/>
    <m/>
    <m/>
    <n v="0"/>
    <m/>
    <m/>
    <n v="0"/>
    <m/>
    <m/>
    <n v="0"/>
    <m/>
    <m/>
    <n v="0"/>
    <m/>
    <m/>
    <n v="0"/>
    <m/>
    <m/>
    <n v="0"/>
    <m/>
    <m/>
    <n v="0"/>
    <n v="54"/>
    <n v="61683.407407407409"/>
    <n v="2725345.6528000003"/>
    <n v="52"/>
    <n v="61997.942307692305"/>
    <n v="2637789.2526000002"/>
  </r>
  <r>
    <x v="13"/>
    <s v="Clarendon College "/>
    <m/>
    <n v="223922"/>
    <x v="8"/>
    <n v="3"/>
    <n v="46055"/>
    <n v="138165"/>
    <n v="3"/>
    <n v="46055"/>
    <n v="138165"/>
    <n v="6"/>
    <n v="41229.666666666664"/>
    <n v="247378"/>
    <n v="5"/>
    <n v="42375.6"/>
    <n v="211878"/>
    <n v="8"/>
    <n v="39525.625"/>
    <n v="316205"/>
    <n v="6"/>
    <n v="40778.5"/>
    <n v="244671"/>
    <n v="11"/>
    <n v="35815"/>
    <n v="393965"/>
    <n v="12"/>
    <n v="34829.583333333336"/>
    <n v="417955"/>
    <m/>
    <m/>
    <n v="0"/>
    <m/>
    <m/>
    <n v="0"/>
    <m/>
    <m/>
    <n v="0"/>
    <m/>
    <m/>
    <n v="0"/>
    <m/>
    <m/>
    <n v="0"/>
    <m/>
    <m/>
    <n v="0"/>
    <m/>
    <m/>
    <n v="0"/>
    <m/>
    <m/>
    <n v="0"/>
    <n v="1"/>
    <n v="47269"/>
    <n v="38675.495800000004"/>
    <n v="1"/>
    <n v="47269"/>
    <n v="38675.495800000004"/>
    <n v="8"/>
    <n v="49239.25"/>
    <n v="322300.43479999999"/>
    <n v="8"/>
    <n v="40754.875"/>
    <n v="266765.10980000003"/>
    <m/>
    <m/>
    <n v="0"/>
    <m/>
    <m/>
    <n v="0"/>
    <m/>
    <m/>
    <n v="0"/>
    <m/>
    <m/>
    <n v="0"/>
  </r>
  <r>
    <x v="13"/>
    <s v="Frank Phillips College "/>
    <m/>
    <n v="224891"/>
    <x v="8"/>
    <m/>
    <m/>
    <n v="0"/>
    <m/>
    <m/>
    <n v="0"/>
    <m/>
    <m/>
    <n v="0"/>
    <m/>
    <m/>
    <n v="0"/>
    <m/>
    <m/>
    <n v="0"/>
    <m/>
    <m/>
    <n v="0"/>
    <n v="25"/>
    <n v="36380.76"/>
    <n v="909519"/>
    <n v="23"/>
    <n v="38700"/>
    <n v="890100"/>
    <m/>
    <m/>
    <n v="0"/>
    <m/>
    <m/>
    <n v="0"/>
    <m/>
    <m/>
    <n v="0"/>
    <m/>
    <m/>
    <n v="0"/>
    <m/>
    <m/>
    <n v="0"/>
    <m/>
    <m/>
    <n v="0"/>
    <m/>
    <m/>
    <n v="0"/>
    <m/>
    <m/>
    <n v="0"/>
    <m/>
    <m/>
    <n v="0"/>
    <m/>
    <m/>
    <n v="0"/>
    <n v="6"/>
    <n v="37406.666666666664"/>
    <n v="183636.80800000002"/>
    <n v="8"/>
    <n v="37546"/>
    <n v="245761.09760000001"/>
    <m/>
    <m/>
    <n v="0"/>
    <m/>
    <m/>
    <n v="0"/>
    <m/>
    <m/>
    <n v="0"/>
    <m/>
    <m/>
    <n v="0"/>
  </r>
  <r>
    <x v="13"/>
    <s v="Galveston College "/>
    <m/>
    <n v="224961"/>
    <x v="8"/>
    <n v="6"/>
    <n v="77226.833333333328"/>
    <n v="463361"/>
    <n v="6"/>
    <n v="79268.833333333328"/>
    <n v="475613"/>
    <n v="4"/>
    <n v="72009.25"/>
    <n v="288037"/>
    <n v="5"/>
    <n v="71351.8"/>
    <n v="356759"/>
    <n v="6"/>
    <n v="66662.166666666672"/>
    <n v="399973"/>
    <n v="6"/>
    <n v="65636.5"/>
    <n v="393819"/>
    <n v="28"/>
    <n v="59305.535714285717"/>
    <n v="1660555"/>
    <n v="23"/>
    <n v="60679.043478260872"/>
    <n v="1395618"/>
    <m/>
    <m/>
    <n v="0"/>
    <m/>
    <m/>
    <n v="0"/>
    <m/>
    <m/>
    <n v="0"/>
    <m/>
    <m/>
    <n v="0"/>
    <m/>
    <m/>
    <n v="0"/>
    <m/>
    <m/>
    <n v="0"/>
    <m/>
    <m/>
    <n v="0"/>
    <m/>
    <m/>
    <n v="0"/>
    <m/>
    <m/>
    <n v="0"/>
    <m/>
    <m/>
    <n v="0"/>
    <n v="9"/>
    <n v="74983.111111111109"/>
    <n v="552160.63360000006"/>
    <n v="7"/>
    <n v="77982.142857142855"/>
    <n v="446634.92500000005"/>
    <m/>
    <m/>
    <n v="0"/>
    <m/>
    <m/>
    <n v="0"/>
    <m/>
    <m/>
    <n v="0"/>
    <m/>
    <m/>
    <n v="0"/>
  </r>
  <r>
    <x v="13"/>
    <s v="Lamar State College-Orange"/>
    <m/>
    <n v="226107"/>
    <x v="8"/>
    <n v="2"/>
    <n v="52524"/>
    <n v="105048"/>
    <n v="2"/>
    <n v="52524"/>
    <n v="105048"/>
    <n v="2"/>
    <n v="49063.5"/>
    <n v="98127"/>
    <n v="2"/>
    <n v="49063.5"/>
    <n v="98127"/>
    <n v="7"/>
    <n v="52944.285714285717"/>
    <n v="370610"/>
    <n v="8"/>
    <n v="53407"/>
    <n v="427256"/>
    <n v="32"/>
    <n v="39990.09375"/>
    <n v="1279683"/>
    <n v="37"/>
    <n v="40305.2972972973"/>
    <n v="1491296"/>
    <m/>
    <m/>
    <n v="0"/>
    <m/>
    <m/>
    <n v="0"/>
    <m/>
    <m/>
    <n v="0"/>
    <m/>
    <m/>
    <n v="0"/>
    <m/>
    <m/>
    <n v="0"/>
    <m/>
    <m/>
    <n v="0"/>
    <m/>
    <m/>
    <n v="0"/>
    <m/>
    <m/>
    <n v="0"/>
    <n v="1"/>
    <n v="56646"/>
    <n v="46347.7572"/>
    <m/>
    <m/>
    <n v="0"/>
    <n v="7"/>
    <n v="41455.285714285717"/>
    <n v="237431.00340000002"/>
    <m/>
    <m/>
    <n v="0"/>
    <m/>
    <m/>
    <n v="0"/>
    <m/>
    <m/>
    <n v="0"/>
    <m/>
    <m/>
    <n v="0"/>
    <m/>
    <m/>
    <n v="0"/>
  </r>
  <r>
    <x v="13"/>
    <s v="Lamar State College-Port Arthur"/>
    <s v="Met the criteria for Two-Year 2 in 2010-11 and 2011-12."/>
    <n v="226116"/>
    <x v="8"/>
    <n v="1"/>
    <n v="54875"/>
    <n v="54875"/>
    <n v="3"/>
    <n v="51670.333333333336"/>
    <n v="155011"/>
    <n v="3"/>
    <n v="49630.666666666664"/>
    <n v="148892"/>
    <n v="1"/>
    <n v="46321"/>
    <n v="46321"/>
    <n v="5"/>
    <n v="45598"/>
    <n v="227990"/>
    <n v="4"/>
    <n v="45417.25"/>
    <n v="181669"/>
    <n v="32"/>
    <n v="41089.0625"/>
    <n v="1314850"/>
    <n v="32"/>
    <n v="39568.1875"/>
    <n v="1266182"/>
    <m/>
    <m/>
    <n v="0"/>
    <m/>
    <m/>
    <n v="0"/>
    <m/>
    <m/>
    <n v="0"/>
    <m/>
    <m/>
    <n v="0"/>
    <m/>
    <m/>
    <n v="0"/>
    <m/>
    <m/>
    <n v="0"/>
    <m/>
    <m/>
    <n v="0"/>
    <m/>
    <m/>
    <n v="0"/>
    <n v="1"/>
    <n v="73449"/>
    <n v="60095.971799999999"/>
    <n v="1"/>
    <n v="73449"/>
    <n v="60095.971799999999"/>
    <n v="33"/>
    <n v="45374.242424242424"/>
    <n v="1225131.77"/>
    <n v="29"/>
    <n v="44576.103448275862"/>
    <n v="1057692.8674000001"/>
    <m/>
    <m/>
    <n v="0"/>
    <m/>
    <m/>
    <n v="0"/>
    <m/>
    <m/>
    <n v="0"/>
    <m/>
    <m/>
    <n v="0"/>
  </r>
  <r>
    <x v="13"/>
    <s v="Northeast Lakeview College (ACCD)"/>
    <m/>
    <s v="???"/>
    <x v="8"/>
    <m/>
    <m/>
    <n v="0"/>
    <m/>
    <m/>
    <n v="0"/>
    <m/>
    <m/>
    <n v="0"/>
    <m/>
    <m/>
    <n v="0"/>
    <m/>
    <m/>
    <n v="0"/>
    <m/>
    <m/>
    <n v="0"/>
    <m/>
    <m/>
    <n v="0"/>
    <m/>
    <m/>
    <n v="0"/>
    <m/>
    <m/>
    <n v="0"/>
    <m/>
    <m/>
    <n v="0"/>
    <m/>
    <m/>
    <n v="0"/>
    <m/>
    <m/>
    <n v="0"/>
    <m/>
    <m/>
    <n v="0"/>
    <m/>
    <m/>
    <n v="0"/>
    <m/>
    <m/>
    <n v="0"/>
    <m/>
    <m/>
    <n v="0"/>
    <m/>
    <m/>
    <n v="0"/>
    <m/>
    <m/>
    <n v="0"/>
    <m/>
    <m/>
    <n v="0"/>
    <m/>
    <m/>
    <n v="0"/>
    <m/>
    <m/>
    <n v="0"/>
    <m/>
    <m/>
    <n v="0"/>
    <m/>
    <m/>
    <n v="0"/>
    <m/>
    <m/>
    <n v="0"/>
  </r>
  <r>
    <x v="13"/>
    <s v="Panola College"/>
    <m/>
    <n v="227386"/>
    <x v="8"/>
    <n v="38"/>
    <n v="51694.526315789473"/>
    <n v="1964392"/>
    <n v="39"/>
    <n v="51011.769230769234"/>
    <n v="1989459.0000000002"/>
    <m/>
    <m/>
    <n v="0"/>
    <m/>
    <m/>
    <n v="0"/>
    <m/>
    <m/>
    <n v="0"/>
    <m/>
    <m/>
    <n v="0"/>
    <n v="11"/>
    <n v="42630.181818181816"/>
    <n v="468932"/>
    <n v="12"/>
    <n v="45718.5"/>
    <n v="548622"/>
    <m/>
    <m/>
    <n v="0"/>
    <m/>
    <m/>
    <n v="0"/>
    <m/>
    <m/>
    <n v="0"/>
    <m/>
    <m/>
    <n v="0"/>
    <n v="5"/>
    <n v="61327"/>
    <n v="250888.75700000001"/>
    <n v="3"/>
    <n v="71418"/>
    <n v="175302.62280000001"/>
    <m/>
    <m/>
    <n v="0"/>
    <m/>
    <m/>
    <n v="0"/>
    <m/>
    <m/>
    <n v="0"/>
    <m/>
    <m/>
    <n v="0"/>
    <n v="8"/>
    <n v="54177.75"/>
    <n v="354625.88040000002"/>
    <n v="7"/>
    <n v="53775.142857142855"/>
    <n v="307991.75320000004"/>
    <m/>
    <m/>
    <n v="0"/>
    <m/>
    <m/>
    <n v="0"/>
    <m/>
    <m/>
    <n v="0"/>
    <m/>
    <m/>
    <n v="0"/>
  </r>
  <r>
    <x v="13"/>
    <s v="Ranger College "/>
    <m/>
    <n v="227687"/>
    <x v="8"/>
    <n v="2"/>
    <n v="41731"/>
    <n v="83462"/>
    <n v="1"/>
    <n v="39581"/>
    <n v="39581"/>
    <n v="4"/>
    <n v="35065"/>
    <n v="140260"/>
    <n v="4"/>
    <n v="35065"/>
    <n v="140260"/>
    <n v="3"/>
    <n v="29203"/>
    <n v="87609"/>
    <n v="1"/>
    <n v="29988"/>
    <n v="29988"/>
    <n v="6"/>
    <n v="19443.5"/>
    <n v="116661"/>
    <n v="3"/>
    <n v="28708"/>
    <n v="86124"/>
    <m/>
    <m/>
    <n v="0"/>
    <m/>
    <m/>
    <n v="0"/>
    <m/>
    <m/>
    <n v="0"/>
    <n v="13"/>
    <n v="26771.153846153848"/>
    <n v="348025"/>
    <m/>
    <m/>
    <n v="0"/>
    <m/>
    <m/>
    <n v="0"/>
    <m/>
    <m/>
    <n v="0"/>
    <m/>
    <m/>
    <n v="0"/>
    <n v="5"/>
    <n v="34240"/>
    <n v="140075.84"/>
    <n v="2"/>
    <n v="31800"/>
    <n v="52037.520000000004"/>
    <n v="15"/>
    <n v="37586.666666666664"/>
    <n v="461301.16000000003"/>
    <n v="12"/>
    <n v="36050"/>
    <n v="353953.32"/>
    <m/>
    <m/>
    <n v="0"/>
    <m/>
    <m/>
    <n v="0"/>
    <m/>
    <m/>
    <n v="0"/>
    <n v="2"/>
    <n v="40000"/>
    <n v="65456"/>
  </r>
  <r>
    <x v="13"/>
    <s v="Southwest Collegiate Institute for the Deaf (HCJCD)"/>
    <m/>
    <n v="382911"/>
    <x v="8"/>
    <m/>
    <m/>
    <n v="0"/>
    <m/>
    <m/>
    <n v="0"/>
    <m/>
    <m/>
    <n v="0"/>
    <m/>
    <m/>
    <n v="0"/>
    <m/>
    <m/>
    <n v="0"/>
    <m/>
    <m/>
    <n v="0"/>
    <m/>
    <m/>
    <n v="0"/>
    <m/>
    <m/>
    <n v="0"/>
    <m/>
    <m/>
    <n v="0"/>
    <m/>
    <m/>
    <n v="0"/>
    <m/>
    <m/>
    <n v="0"/>
    <m/>
    <m/>
    <n v="0"/>
    <m/>
    <m/>
    <n v="0"/>
    <m/>
    <m/>
    <n v="0"/>
    <m/>
    <m/>
    <n v="0"/>
    <m/>
    <m/>
    <n v="0"/>
    <m/>
    <m/>
    <n v="0"/>
    <m/>
    <m/>
    <n v="0"/>
    <m/>
    <m/>
    <n v="0"/>
    <m/>
    <m/>
    <n v="0"/>
    <m/>
    <m/>
    <n v="0"/>
    <m/>
    <m/>
    <n v="0"/>
    <m/>
    <m/>
    <n v="0"/>
    <m/>
    <m/>
    <n v="0"/>
  </r>
  <r>
    <x v="13"/>
    <s v="Texas State Technical College-Marshall"/>
    <m/>
    <n v="408394"/>
    <x v="8"/>
    <m/>
    <m/>
    <n v="0"/>
    <m/>
    <m/>
    <n v="0"/>
    <m/>
    <m/>
    <n v="0"/>
    <m/>
    <m/>
    <n v="0"/>
    <m/>
    <m/>
    <n v="0"/>
    <m/>
    <m/>
    <n v="0"/>
    <m/>
    <m/>
    <n v="0"/>
    <n v="1"/>
    <n v="40008"/>
    <n v="40008"/>
    <m/>
    <m/>
    <n v="0"/>
    <m/>
    <m/>
    <n v="0"/>
    <m/>
    <m/>
    <n v="0"/>
    <m/>
    <m/>
    <n v="0"/>
    <m/>
    <m/>
    <n v="0"/>
    <m/>
    <m/>
    <n v="0"/>
    <n v="1"/>
    <n v="55464"/>
    <n v="45380.644800000002"/>
    <n v="1"/>
    <n v="55464"/>
    <n v="45380.644800000002"/>
    <m/>
    <m/>
    <n v="0"/>
    <m/>
    <m/>
    <n v="0"/>
    <n v="39"/>
    <n v="44653.538461538461"/>
    <n v="1424885.4816000001"/>
    <n v="35"/>
    <n v="44125.714285714283"/>
    <n v="1263628.08"/>
    <m/>
    <m/>
    <n v="0"/>
    <m/>
    <m/>
    <n v="0"/>
    <m/>
    <m/>
    <n v="0"/>
    <m/>
    <m/>
    <n v="0"/>
  </r>
  <r>
    <x v="13"/>
    <s v="Texas State Technical College-West Texas"/>
    <m/>
    <n v="229328"/>
    <x v="8"/>
    <m/>
    <m/>
    <n v="0"/>
    <m/>
    <m/>
    <n v="0"/>
    <m/>
    <m/>
    <n v="0"/>
    <m/>
    <m/>
    <n v="0"/>
    <m/>
    <m/>
    <n v="0"/>
    <m/>
    <m/>
    <n v="0"/>
    <m/>
    <m/>
    <n v="0"/>
    <m/>
    <m/>
    <n v="0"/>
    <m/>
    <m/>
    <n v="0"/>
    <m/>
    <m/>
    <n v="0"/>
    <m/>
    <m/>
    <n v="0"/>
    <m/>
    <m/>
    <n v="0"/>
    <m/>
    <m/>
    <n v="0"/>
    <m/>
    <m/>
    <n v="0"/>
    <n v="2"/>
    <n v="50328"/>
    <n v="82356.739200000011"/>
    <n v="4"/>
    <n v="46527"/>
    <n v="152273.5656"/>
    <m/>
    <m/>
    <n v="0"/>
    <m/>
    <m/>
    <n v="0"/>
    <n v="86"/>
    <n v="43418.255813953489"/>
    <n v="3055134.2540000002"/>
    <n v="80"/>
    <n v="43935.9"/>
    <n v="2875868.2704000003"/>
    <m/>
    <m/>
    <n v="0"/>
    <m/>
    <m/>
    <n v="0"/>
    <m/>
    <m/>
    <n v="0"/>
    <m/>
    <m/>
    <n v="0"/>
  </r>
  <r>
    <x v="13"/>
    <s v="Western Texas College "/>
    <m/>
    <n v="229832"/>
    <x v="8"/>
    <n v="1"/>
    <n v="66729"/>
    <n v="66729"/>
    <n v="1"/>
    <n v="66729"/>
    <n v="66729"/>
    <n v="1"/>
    <n v="61832"/>
    <n v="61832"/>
    <n v="1"/>
    <n v="61832"/>
    <n v="61832"/>
    <n v="10"/>
    <n v="51646.3"/>
    <n v="516463"/>
    <n v="8"/>
    <n v="52421.75"/>
    <n v="419374"/>
    <n v="20"/>
    <n v="44891.85"/>
    <n v="897837"/>
    <n v="22"/>
    <n v="47462.681818181816"/>
    <n v="1044179"/>
    <m/>
    <m/>
    <n v="0"/>
    <m/>
    <m/>
    <n v="0"/>
    <m/>
    <m/>
    <n v="0"/>
    <m/>
    <m/>
    <n v="0"/>
    <m/>
    <m/>
    <n v="0"/>
    <m/>
    <m/>
    <n v="0"/>
    <n v="1"/>
    <n v="67771"/>
    <n v="55450.232200000006"/>
    <n v="1"/>
    <n v="67771"/>
    <n v="55450.232200000006"/>
    <n v="2"/>
    <n v="66400.5"/>
    <n v="108657.7782"/>
    <n v="2"/>
    <n v="66400.5"/>
    <n v="108657.7782"/>
    <n v="11"/>
    <n v="55211.272727272728"/>
    <n v="496912.49680000002"/>
    <n v="10"/>
    <n v="59036.2"/>
    <n v="483034.18840000004"/>
    <m/>
    <m/>
    <n v="0"/>
    <m/>
    <m/>
    <n v="0"/>
    <m/>
    <m/>
    <n v="0"/>
    <m/>
    <m/>
    <n v="0"/>
  </r>
  <r>
    <x v="13"/>
    <s v="University of North Texas at Dallas"/>
    <s v="New fall 2009. No degrees yet granted."/>
    <m/>
    <x v="12"/>
    <n v="186"/>
    <n v="134854.75806451612"/>
    <n v="25082985"/>
    <m/>
    <m/>
    <n v="0"/>
    <n v="116"/>
    <n v="105920.1724137931"/>
    <n v="12286740"/>
    <m/>
    <m/>
    <n v="0"/>
    <n v="101"/>
    <n v="92433.415841584152"/>
    <n v="9335775"/>
    <m/>
    <m/>
    <n v="0"/>
    <m/>
    <m/>
    <n v="0"/>
    <m/>
    <m/>
    <n v="0"/>
    <n v="177"/>
    <n v="63568.310734463274"/>
    <n v="11251591"/>
    <m/>
    <m/>
    <n v="0"/>
    <n v="8"/>
    <n v="84603.875"/>
    <n v="676831"/>
    <m/>
    <m/>
    <n v="0"/>
    <m/>
    <m/>
    <n v="0"/>
    <m/>
    <m/>
    <n v="0"/>
    <m/>
    <m/>
    <n v="0"/>
    <m/>
    <m/>
    <n v="0"/>
    <m/>
    <m/>
    <n v="0"/>
    <m/>
    <m/>
    <n v="0"/>
    <m/>
    <m/>
    <n v="0"/>
    <m/>
    <m/>
    <n v="0"/>
    <m/>
    <m/>
    <n v="0"/>
    <m/>
    <m/>
    <n v="0"/>
    <m/>
    <m/>
    <n v="0"/>
    <m/>
    <m/>
    <n v="0"/>
  </r>
  <r>
    <x v="13"/>
    <s v="Texas A &amp; M University - Central Texas"/>
    <s v="New fall 2009. Met the criteria for Four-Year 4 in 2010-11 and 2011-12."/>
    <m/>
    <x v="12"/>
    <m/>
    <m/>
    <n v="0"/>
    <m/>
    <m/>
    <n v="0"/>
    <m/>
    <m/>
    <n v="0"/>
    <m/>
    <m/>
    <n v="0"/>
    <m/>
    <m/>
    <n v="0"/>
    <m/>
    <m/>
    <n v="0"/>
    <m/>
    <m/>
    <n v="0"/>
    <m/>
    <m/>
    <n v="0"/>
    <m/>
    <m/>
    <n v="0"/>
    <m/>
    <m/>
    <n v="0"/>
    <m/>
    <m/>
    <n v="0"/>
    <m/>
    <m/>
    <n v="0"/>
    <m/>
    <m/>
    <n v="0"/>
    <m/>
    <m/>
    <n v="0"/>
    <m/>
    <m/>
    <n v="0"/>
    <m/>
    <m/>
    <n v="0"/>
    <m/>
    <m/>
    <n v="0"/>
    <m/>
    <m/>
    <n v="0"/>
    <m/>
    <m/>
    <n v="0"/>
    <m/>
    <m/>
    <n v="0"/>
    <m/>
    <m/>
    <n v="0"/>
    <m/>
    <m/>
    <n v="0"/>
    <m/>
    <m/>
    <n v="0"/>
    <m/>
    <m/>
    <n v="0"/>
  </r>
  <r>
    <x v="13"/>
    <s v="Texas A &amp; M University - San Antonio"/>
    <s v="New fall 2009. Met the criteria for Four-Year 5 in 2010-11 and 2011-12."/>
    <n v="870501"/>
    <x v="12"/>
    <m/>
    <m/>
    <n v="0"/>
    <m/>
    <m/>
    <n v="0"/>
    <m/>
    <m/>
    <n v="0"/>
    <m/>
    <m/>
    <n v="0"/>
    <m/>
    <m/>
    <n v="0"/>
    <m/>
    <m/>
    <n v="0"/>
    <m/>
    <m/>
    <n v="0"/>
    <m/>
    <m/>
    <n v="0"/>
    <m/>
    <m/>
    <n v="0"/>
    <m/>
    <m/>
    <n v="0"/>
    <m/>
    <m/>
    <n v="0"/>
    <m/>
    <m/>
    <n v="0"/>
    <m/>
    <m/>
    <n v="0"/>
    <m/>
    <m/>
    <n v="0"/>
    <m/>
    <m/>
    <n v="0"/>
    <m/>
    <m/>
    <n v="0"/>
    <m/>
    <m/>
    <n v="0"/>
    <m/>
    <m/>
    <n v="0"/>
    <m/>
    <m/>
    <n v="0"/>
    <m/>
    <m/>
    <n v="0"/>
    <m/>
    <m/>
    <n v="0"/>
    <m/>
    <m/>
    <n v="0"/>
    <m/>
    <m/>
    <n v="0"/>
    <m/>
    <m/>
    <n v="0"/>
  </r>
  <r>
    <x v="14"/>
    <s v="George Mason University "/>
    <m/>
    <n v="232186"/>
    <x v="0"/>
    <n v="309"/>
    <n v="125447"/>
    <n v="38763123"/>
    <n v="312"/>
    <n v="129456"/>
    <n v="40390272"/>
    <n v="358"/>
    <n v="83567"/>
    <n v="29916986"/>
    <n v="362"/>
    <n v="85546"/>
    <n v="30967652"/>
    <n v="347"/>
    <n v="68864"/>
    <n v="23895808"/>
    <n v="350"/>
    <n v="71500"/>
    <n v="25025000"/>
    <n v="62"/>
    <n v="55340"/>
    <n v="3431080"/>
    <n v="67"/>
    <n v="57650"/>
    <n v="3862550"/>
    <m/>
    <m/>
    <n v="0"/>
    <m/>
    <m/>
    <n v="0"/>
    <m/>
    <m/>
    <n v="0"/>
    <m/>
    <m/>
    <n v="0"/>
    <n v="29"/>
    <n v="179882"/>
    <n v="4268204.1195999999"/>
    <n v="34"/>
    <n v="176712"/>
    <n v="4915915.7856000001"/>
    <n v="15"/>
    <n v="89427"/>
    <n v="1097537.571"/>
    <n v="14"/>
    <n v="98886"/>
    <n v="1132719.3528"/>
    <n v="17"/>
    <n v="75638"/>
    <n v="1052079.1972000001"/>
    <n v="24"/>
    <n v="77896"/>
    <n v="1529628.1728000001"/>
    <n v="7"/>
    <n v="73718"/>
    <n v="422212.47320000001"/>
    <n v="8"/>
    <n v="79594"/>
    <n v="520990.48640000005"/>
    <m/>
    <m/>
    <n v="0"/>
    <m/>
    <m/>
    <n v="0"/>
    <m/>
    <m/>
    <n v="0"/>
    <m/>
    <m/>
    <n v="0"/>
  </r>
  <r>
    <x v="14"/>
    <s v="Old Dominion University "/>
    <m/>
    <n v="232982"/>
    <x v="0"/>
    <n v="140"/>
    <n v="101918"/>
    <n v="14268520"/>
    <n v="147"/>
    <n v="106372"/>
    <n v="15636684"/>
    <n v="178"/>
    <n v="73358"/>
    <n v="13057724"/>
    <n v="178"/>
    <n v="76121"/>
    <n v="13549538"/>
    <n v="144"/>
    <n v="66590"/>
    <n v="9588960"/>
    <n v="160"/>
    <n v="66507"/>
    <n v="10641120"/>
    <n v="33"/>
    <n v="44726"/>
    <n v="1475958"/>
    <n v="27"/>
    <n v="49705"/>
    <n v="1342035"/>
    <n v="125"/>
    <n v="49694"/>
    <n v="6211750"/>
    <n v="131"/>
    <n v="50934"/>
    <n v="6672354"/>
    <m/>
    <m/>
    <n v="0"/>
    <m/>
    <m/>
    <n v="0"/>
    <n v="60"/>
    <n v="133719"/>
    <n v="6564533.148"/>
    <n v="60"/>
    <n v="132760"/>
    <n v="6517453.9199999999"/>
    <n v="21"/>
    <n v="94967"/>
    <n v="1631741.9874"/>
    <n v="21"/>
    <n v="100927"/>
    <n v="1734147.8994"/>
    <n v="5"/>
    <n v="82736"/>
    <n v="338472.97600000002"/>
    <n v="5"/>
    <n v="81164"/>
    <n v="332041.924"/>
    <n v="1"/>
    <n v="63654"/>
    <n v="52081.702799999999"/>
    <n v="1"/>
    <n v="110000"/>
    <n v="90002"/>
    <n v="16"/>
    <n v="50957"/>
    <n v="667088.27840000007"/>
    <n v="16"/>
    <n v="53440"/>
    <n v="699593.728"/>
    <m/>
    <m/>
    <n v="0"/>
    <m/>
    <m/>
    <n v="0"/>
  </r>
  <r>
    <x v="14"/>
    <s v="University of Virginia"/>
    <m/>
    <n v="234076"/>
    <x v="0"/>
    <n v="404"/>
    <n v="138189"/>
    <n v="55828356"/>
    <n v="417"/>
    <n v="143132"/>
    <n v="59686044"/>
    <n v="246"/>
    <n v="95237"/>
    <n v="23428302"/>
    <n v="258"/>
    <n v="97200"/>
    <n v="25077600"/>
    <n v="194"/>
    <n v="76759"/>
    <n v="14891246"/>
    <n v="168"/>
    <n v="81052"/>
    <n v="13616736"/>
    <n v="5"/>
    <n v="51160"/>
    <n v="255800"/>
    <n v="5"/>
    <n v="49860"/>
    <n v="249300"/>
    <n v="57"/>
    <n v="52928"/>
    <n v="3016896"/>
    <n v="62"/>
    <n v="55789"/>
    <n v="3458918"/>
    <m/>
    <m/>
    <n v="0"/>
    <m/>
    <m/>
    <n v="0"/>
    <n v="118"/>
    <n v="163611"/>
    <n v="15796249.3836"/>
    <n v="115"/>
    <n v="166437"/>
    <n v="15660556.641000001"/>
    <n v="65"/>
    <n v="100620"/>
    <n v="5351273.46"/>
    <n v="66"/>
    <n v="105515"/>
    <n v="5697936.6180000007"/>
    <n v="38"/>
    <n v="93032"/>
    <n v="2892513.7312000003"/>
    <n v="29"/>
    <n v="92566"/>
    <n v="2196387.5348"/>
    <n v="1"/>
    <n v="60000"/>
    <n v="49092"/>
    <n v="1"/>
    <n v="66000"/>
    <n v="54001.200000000004"/>
    <n v="24"/>
    <n v="66218"/>
    <n v="1300309.6224"/>
    <n v="26"/>
    <n v="69158"/>
    <n v="1471211.9656"/>
    <m/>
    <m/>
    <n v="0"/>
    <m/>
    <m/>
    <n v="0"/>
  </r>
  <r>
    <x v="14"/>
    <s v="Virginia Tech "/>
    <m/>
    <n v="233921"/>
    <x v="0"/>
    <n v="299"/>
    <n v="112321"/>
    <n v="33583979"/>
    <n v="307"/>
    <n v="116777"/>
    <n v="35850539"/>
    <n v="347"/>
    <n v="82171"/>
    <n v="28513337"/>
    <n v="359"/>
    <n v="83689"/>
    <n v="30044351"/>
    <n v="244"/>
    <n v="70698"/>
    <n v="17250312"/>
    <n v="263"/>
    <n v="72989"/>
    <n v="19196107"/>
    <n v="169"/>
    <n v="44751"/>
    <n v="7562919"/>
    <n v="176"/>
    <n v="46631"/>
    <n v="8207056"/>
    <m/>
    <m/>
    <n v="0"/>
    <m/>
    <m/>
    <n v="0"/>
    <m/>
    <m/>
    <n v="0"/>
    <m/>
    <m/>
    <n v="0"/>
    <n v="143"/>
    <n v="154019"/>
    <n v="18020623.4494"/>
    <n v="147"/>
    <n v="161158"/>
    <n v="19383342.913200002"/>
    <n v="64"/>
    <n v="99250"/>
    <n v="5197206.4000000004"/>
    <n v="76"/>
    <n v="107179"/>
    <n v="6664733.1928000003"/>
    <n v="22"/>
    <n v="89384"/>
    <n v="1608947.7536000002"/>
    <n v="20"/>
    <n v="94175"/>
    <n v="1541079.7000000002"/>
    <n v="14"/>
    <n v="58810"/>
    <n v="673656.78800000006"/>
    <n v="17"/>
    <n v="58674"/>
    <n v="816120.13560000004"/>
    <n v="4"/>
    <n v="58710"/>
    <n v="192146.08800000002"/>
    <n v="3"/>
    <n v="69232"/>
    <n v="169936.86720000001"/>
    <m/>
    <m/>
    <n v="0"/>
    <m/>
    <m/>
    <n v="0"/>
  </r>
  <r>
    <x v="14"/>
    <s v="College of William &amp; Mary"/>
    <m/>
    <n v="231624"/>
    <x v="1"/>
    <n v="194"/>
    <n v="114044"/>
    <n v="22124536"/>
    <n v="196"/>
    <n v="120114"/>
    <n v="23542344"/>
    <n v="179"/>
    <n v="81468"/>
    <n v="14582772"/>
    <n v="175"/>
    <n v="87350"/>
    <n v="15286250"/>
    <n v="146"/>
    <n v="66589"/>
    <n v="9721994"/>
    <n v="155"/>
    <n v="65954"/>
    <n v="10222870"/>
    <n v="39"/>
    <n v="42922"/>
    <n v="1673958"/>
    <n v="26"/>
    <n v="45783"/>
    <n v="1190358"/>
    <n v="8"/>
    <n v="59388"/>
    <n v="475104"/>
    <n v="8"/>
    <n v="65925"/>
    <n v="527400"/>
    <m/>
    <m/>
    <n v="0"/>
    <m/>
    <m/>
    <n v="0"/>
    <n v="29"/>
    <n v="116893"/>
    <n v="2773613.7254000003"/>
    <n v="29"/>
    <n v="123014"/>
    <n v="2918851.5892000003"/>
    <n v="10"/>
    <n v="91250"/>
    <n v="746607.5"/>
    <n v="13"/>
    <n v="97775"/>
    <n v="1039993.5650000001"/>
    <n v="8"/>
    <n v="74863"/>
    <n v="490023.25280000002"/>
    <n v="7"/>
    <n v="78286"/>
    <n v="448375.23639999999"/>
    <m/>
    <m/>
    <n v="0"/>
    <n v="1"/>
    <n v="50000"/>
    <n v="40910"/>
    <n v="1"/>
    <n v="100000"/>
    <n v="81820"/>
    <n v="2"/>
    <n v="85000"/>
    <n v="139094"/>
    <m/>
    <m/>
    <n v="0"/>
    <m/>
    <m/>
    <n v="0"/>
  </r>
  <r>
    <x v="14"/>
    <s v="Virginia Commonwealth University"/>
    <s v="Met the criteria for Four-Year 1 in 2011-2012"/>
    <n v="234030"/>
    <x v="1"/>
    <n v="131"/>
    <n v="107158"/>
    <n v="14037698"/>
    <n v="135"/>
    <n v="109430"/>
    <n v="14773050"/>
    <n v="225"/>
    <n v="77158"/>
    <n v="17360550"/>
    <n v="234"/>
    <n v="76925"/>
    <n v="18000450"/>
    <n v="223"/>
    <n v="58564"/>
    <n v="13059772"/>
    <n v="230"/>
    <n v="60567"/>
    <n v="13930410"/>
    <n v="126"/>
    <n v="46810"/>
    <n v="5898060"/>
    <n v="122"/>
    <n v="46463"/>
    <n v="5668486"/>
    <m/>
    <m/>
    <n v="0"/>
    <m/>
    <m/>
    <n v="0"/>
    <m/>
    <m/>
    <n v="0"/>
    <m/>
    <m/>
    <n v="0"/>
    <n v="82"/>
    <n v="140488"/>
    <n v="9425677.0911999997"/>
    <n v="72"/>
    <n v="141899"/>
    <n v="8359326.8496000003"/>
    <n v="76"/>
    <n v="100657"/>
    <n v="6259174.3624"/>
    <n v="88"/>
    <n v="102672"/>
    <n v="7392548.2752"/>
    <n v="134"/>
    <n v="84025"/>
    <n v="9212400.1699999999"/>
    <n v="148"/>
    <n v="84188"/>
    <n v="10194627.9968"/>
    <n v="109"/>
    <n v="59208"/>
    <n v="5280394.4304"/>
    <n v="96"/>
    <n v="65109"/>
    <n v="5114129.6447999999"/>
    <m/>
    <m/>
    <n v="0"/>
    <m/>
    <m/>
    <n v="0"/>
    <m/>
    <m/>
    <n v="0"/>
    <m/>
    <m/>
    <n v="0"/>
  </r>
  <r>
    <x v="14"/>
    <s v="James Madison University  "/>
    <m/>
    <n v="232423"/>
    <x v="2"/>
    <n v="216"/>
    <n v="85434"/>
    <n v="18453744"/>
    <n v="227"/>
    <n v="85570"/>
    <n v="19424390"/>
    <n v="210"/>
    <n v="65451"/>
    <n v="13744710"/>
    <n v="217"/>
    <n v="65139"/>
    <n v="14135163"/>
    <n v="270"/>
    <n v="58095"/>
    <n v="15685650"/>
    <n v="269"/>
    <n v="60185"/>
    <n v="16189765"/>
    <n v="112"/>
    <n v="49969"/>
    <n v="5596528"/>
    <n v="117"/>
    <n v="50732"/>
    <n v="5935644"/>
    <m/>
    <m/>
    <n v="0"/>
    <m/>
    <m/>
    <n v="0"/>
    <m/>
    <m/>
    <n v="0"/>
    <m/>
    <m/>
    <n v="0"/>
    <n v="51"/>
    <n v="113423"/>
    <n v="4732937.6286000004"/>
    <n v="51"/>
    <n v="116522"/>
    <n v="4862253.3204000005"/>
    <n v="22"/>
    <n v="99196"/>
    <n v="1785567.6784000001"/>
    <n v="19"/>
    <n v="100131"/>
    <n v="1556616.4998000001"/>
    <n v="11"/>
    <n v="79172"/>
    <n v="712563.83440000005"/>
    <n v="11"/>
    <n v="79682"/>
    <n v="717153.93640000001"/>
    <n v="14"/>
    <n v="61442"/>
    <n v="703805.82160000002"/>
    <n v="13"/>
    <n v="64998"/>
    <n v="691357.72680000006"/>
    <m/>
    <m/>
    <n v="0"/>
    <m/>
    <m/>
    <n v="0"/>
    <m/>
    <m/>
    <n v="0"/>
    <m/>
    <m/>
    <n v="0"/>
  </r>
  <r>
    <x v="14"/>
    <s v="Norfolk State University "/>
    <m/>
    <n v="232937"/>
    <x v="2"/>
    <n v="66"/>
    <n v="81225"/>
    <n v="5360850"/>
    <n v="56"/>
    <n v="84445"/>
    <n v="4728920"/>
    <n v="47"/>
    <n v="68730"/>
    <n v="3230310"/>
    <n v="50"/>
    <n v="70119"/>
    <n v="3505950"/>
    <n v="77"/>
    <n v="56547"/>
    <n v="4354119"/>
    <n v="74"/>
    <n v="58776"/>
    <n v="4349424"/>
    <n v="42"/>
    <n v="51349"/>
    <n v="2156658"/>
    <n v="45"/>
    <n v="52950"/>
    <n v="2382750"/>
    <m/>
    <m/>
    <n v="0"/>
    <m/>
    <m/>
    <n v="0"/>
    <m/>
    <m/>
    <n v="0"/>
    <m/>
    <m/>
    <n v="0"/>
    <n v="13"/>
    <n v="96775"/>
    <n v="1029356.9650000001"/>
    <n v="16"/>
    <n v="101847"/>
    <n v="1333299.4464"/>
    <n v="12"/>
    <n v="87421"/>
    <n v="858334.34640000004"/>
    <n v="9"/>
    <n v="88369"/>
    <n v="650731.6422"/>
    <n v="5"/>
    <n v="69666"/>
    <n v="285003.60600000003"/>
    <n v="6"/>
    <n v="68619"/>
    <n v="336864.39480000001"/>
    <n v="7"/>
    <n v="55480"/>
    <n v="317756.152"/>
    <n v="6"/>
    <n v="59396"/>
    <n v="291586.8432"/>
    <m/>
    <m/>
    <n v="0"/>
    <m/>
    <m/>
    <n v="0"/>
    <m/>
    <m/>
    <n v="0"/>
    <m/>
    <m/>
    <n v="0"/>
  </r>
  <r>
    <x v="14"/>
    <s v="Radford University"/>
    <s v="Met the criteria for Four-Year 3 in 2011-2012"/>
    <n v="233277"/>
    <x v="3"/>
    <n v="113"/>
    <n v="76721"/>
    <n v="8669473"/>
    <n v="119"/>
    <n v="78808"/>
    <n v="9378152"/>
    <n v="91"/>
    <n v="64429"/>
    <n v="5863039"/>
    <n v="109"/>
    <n v="65477"/>
    <n v="7136993"/>
    <n v="127"/>
    <n v="56543"/>
    <n v="7180961"/>
    <n v="117"/>
    <n v="58240"/>
    <n v="6814080"/>
    <n v="55"/>
    <n v="49254"/>
    <n v="2708970"/>
    <n v="50"/>
    <n v="51276"/>
    <n v="2563800"/>
    <m/>
    <m/>
    <n v="0"/>
    <m/>
    <m/>
    <n v="0"/>
    <m/>
    <m/>
    <n v="0"/>
    <m/>
    <m/>
    <n v="0"/>
    <n v="1"/>
    <n v="100000"/>
    <n v="81820"/>
    <n v="4"/>
    <n v="94407"/>
    <n v="308975.22960000002"/>
    <n v="2"/>
    <n v="106072"/>
    <n v="173576.22080000001"/>
    <n v="3"/>
    <n v="101086"/>
    <n v="248125.69560000001"/>
    <n v="2"/>
    <n v="82750"/>
    <n v="135412.1"/>
    <n v="2"/>
    <n v="86013"/>
    <n v="140751.67320000002"/>
    <n v="2"/>
    <n v="51698"/>
    <n v="84598.607199999999"/>
    <n v="2"/>
    <n v="94407"/>
    <n v="154487.61480000001"/>
    <m/>
    <m/>
    <n v="0"/>
    <m/>
    <m/>
    <n v="0"/>
    <m/>
    <m/>
    <n v="0"/>
    <m/>
    <m/>
    <n v="0"/>
  </r>
  <r>
    <x v="14"/>
    <s v="Virginia State University "/>
    <s v="Met the criteria for Four-Year 3 in 2011-2012"/>
    <n v="234155"/>
    <x v="3"/>
    <n v="29"/>
    <n v="73233"/>
    <n v="2123757"/>
    <n v="32"/>
    <n v="77415"/>
    <n v="2477280"/>
    <n v="74"/>
    <n v="63762"/>
    <n v="4718388"/>
    <n v="78"/>
    <n v="64722"/>
    <n v="5048316"/>
    <n v="73"/>
    <n v="62855"/>
    <n v="4588415"/>
    <n v="69"/>
    <n v="64798"/>
    <n v="4471062"/>
    <n v="12"/>
    <n v="52517"/>
    <n v="630204"/>
    <n v="29"/>
    <n v="47032"/>
    <n v="1363928"/>
    <m/>
    <m/>
    <n v="0"/>
    <n v="1"/>
    <n v="40000"/>
    <n v="40000"/>
    <m/>
    <m/>
    <n v="0"/>
    <m/>
    <m/>
    <n v="0"/>
    <n v="21"/>
    <n v="102453"/>
    <n v="1760367.9366000001"/>
    <n v="17"/>
    <n v="106733"/>
    <n v="1484591.9902000001"/>
    <n v="19"/>
    <n v="81896"/>
    <n v="1273138.8368000002"/>
    <n v="20"/>
    <n v="85039"/>
    <n v="1391578.196"/>
    <n v="14"/>
    <n v="90713"/>
    <n v="1039099.2724"/>
    <n v="15"/>
    <n v="72239"/>
    <n v="886589.24700000009"/>
    <n v="4"/>
    <n v="52780"/>
    <n v="172738.38400000002"/>
    <n v="2"/>
    <n v="53510"/>
    <n v="87563.76400000001"/>
    <n v="1"/>
    <n v="50529"/>
    <n v="41342.827799999999"/>
    <n v="1"/>
    <n v="53055"/>
    <n v="43409.601000000002"/>
    <m/>
    <m/>
    <n v="0"/>
    <m/>
    <m/>
    <n v="0"/>
  </r>
  <r>
    <x v="14"/>
    <s v="Christopher Newport University"/>
    <s v="Met the criteria for Four-Year 4 in 2011-2012"/>
    <n v="231712"/>
    <x v="4"/>
    <n v="39"/>
    <n v="97432"/>
    <n v="3799848"/>
    <n v="36"/>
    <n v="95784"/>
    <n v="3448224"/>
    <n v="78"/>
    <n v="73087"/>
    <n v="5700786"/>
    <n v="82"/>
    <n v="71978"/>
    <n v="5902196"/>
    <n v="65"/>
    <n v="56727"/>
    <n v="3687255"/>
    <n v="59"/>
    <n v="58973"/>
    <n v="3479407"/>
    <n v="61"/>
    <n v="50135"/>
    <n v="3058235"/>
    <n v="32"/>
    <n v="49906"/>
    <n v="1596992"/>
    <m/>
    <m/>
    <n v="0"/>
    <n v="37"/>
    <n v="52886"/>
    <n v="1956782"/>
    <m/>
    <m/>
    <n v="0"/>
    <m/>
    <m/>
    <n v="0"/>
    <m/>
    <m/>
    <n v="0"/>
    <m/>
    <m/>
    <n v="0"/>
    <m/>
    <m/>
    <n v="0"/>
    <m/>
    <m/>
    <n v="0"/>
    <m/>
    <m/>
    <n v="0"/>
    <m/>
    <m/>
    <n v="0"/>
    <m/>
    <m/>
    <n v="0"/>
    <m/>
    <m/>
    <n v="0"/>
    <m/>
    <m/>
    <n v="0"/>
    <m/>
    <m/>
    <n v="0"/>
    <m/>
    <m/>
    <n v="0"/>
    <m/>
    <m/>
    <n v="0"/>
  </r>
  <r>
    <x v="14"/>
    <s v="Longwood University "/>
    <s v="Met the criteria for Four-Year 3 in 2011-2012"/>
    <n v="232566"/>
    <x v="4"/>
    <n v="45"/>
    <n v="77287"/>
    <n v="3477915"/>
    <n v="43"/>
    <n v="77296"/>
    <n v="3323728"/>
    <n v="70"/>
    <n v="62978"/>
    <n v="4408460"/>
    <n v="70"/>
    <n v="61219"/>
    <n v="4285330"/>
    <n v="68"/>
    <n v="53778"/>
    <n v="3656904"/>
    <n v="71"/>
    <n v="55006"/>
    <n v="3905426"/>
    <n v="4"/>
    <n v="56383"/>
    <n v="225532"/>
    <n v="1"/>
    <n v="61181"/>
    <n v="61181"/>
    <n v="27"/>
    <n v="42861"/>
    <n v="1157247"/>
    <n v="2"/>
    <n v="56500"/>
    <n v="113000"/>
    <m/>
    <m/>
    <n v="0"/>
    <m/>
    <m/>
    <n v="0"/>
    <m/>
    <m/>
    <n v="0"/>
    <m/>
    <m/>
    <n v="0"/>
    <m/>
    <m/>
    <n v="0"/>
    <n v="3"/>
    <n v="79029"/>
    <n v="193984.5834"/>
    <m/>
    <m/>
    <n v="0"/>
    <n v="1"/>
    <n v="70000"/>
    <n v="57274"/>
    <m/>
    <m/>
    <n v="0"/>
    <n v="1"/>
    <n v="68250"/>
    <n v="55842.15"/>
    <m/>
    <m/>
    <n v="0"/>
    <m/>
    <m/>
    <n v="0"/>
    <m/>
    <m/>
    <n v="0"/>
    <m/>
    <m/>
    <n v="0"/>
  </r>
  <r>
    <x v="14"/>
    <s v="University of Mary Washington "/>
    <s v="Met the criteria for Four-Year 3 in 2011-2012"/>
    <n v="232681"/>
    <x v="4"/>
    <n v="72"/>
    <n v="83191"/>
    <n v="5989752"/>
    <n v="76"/>
    <n v="82919"/>
    <n v="6301844"/>
    <n v="69"/>
    <n v="63386"/>
    <n v="4373634"/>
    <n v="73"/>
    <n v="62903"/>
    <n v="4591919"/>
    <n v="58"/>
    <n v="53768"/>
    <n v="3118544"/>
    <n v="54"/>
    <n v="55161"/>
    <n v="2978694"/>
    <n v="3"/>
    <n v="52667"/>
    <n v="158001"/>
    <n v="3"/>
    <n v="48167"/>
    <n v="144501"/>
    <n v="14"/>
    <n v="57386"/>
    <n v="803404"/>
    <n v="17"/>
    <n v="57549"/>
    <n v="978333"/>
    <m/>
    <m/>
    <n v="0"/>
    <m/>
    <m/>
    <n v="0"/>
    <n v="5"/>
    <n v="83308"/>
    <n v="340813.02799999999"/>
    <n v="5"/>
    <n v="85726"/>
    <n v="350705.06599999999"/>
    <n v="11"/>
    <n v="71975"/>
    <n v="647789.39500000002"/>
    <n v="12"/>
    <n v="74264"/>
    <n v="729153.65760000004"/>
    <n v="5"/>
    <n v="67400"/>
    <n v="275733.40000000002"/>
    <n v="4"/>
    <n v="71161"/>
    <n v="232895.72080000001"/>
    <n v="2"/>
    <n v="64046"/>
    <n v="104804.8744"/>
    <n v="2"/>
    <n v="67249"/>
    <n v="110046.26360000001"/>
    <m/>
    <m/>
    <n v="0"/>
    <m/>
    <m/>
    <n v="0"/>
    <m/>
    <m/>
    <n v="0"/>
    <m/>
    <m/>
    <n v="0"/>
  </r>
  <r>
    <x v="14"/>
    <s v="University of Virginia's College at Wise "/>
    <m/>
    <n v="233897"/>
    <x v="5"/>
    <n v="18"/>
    <n v="73928"/>
    <n v="1330704"/>
    <n v="15"/>
    <n v="76540"/>
    <n v="1148100"/>
    <n v="29"/>
    <n v="60041"/>
    <n v="1741189"/>
    <n v="30"/>
    <n v="60247"/>
    <n v="1807410"/>
    <n v="20"/>
    <n v="55810"/>
    <n v="1116200"/>
    <n v="15"/>
    <n v="56807"/>
    <n v="852105"/>
    <n v="21"/>
    <n v="43300"/>
    <n v="909300"/>
    <n v="24"/>
    <n v="44046"/>
    <n v="1057104"/>
    <n v="1"/>
    <n v="41100"/>
    <n v="41100"/>
    <n v="1"/>
    <n v="60300"/>
    <n v="60300"/>
    <m/>
    <m/>
    <n v="0"/>
    <m/>
    <m/>
    <n v="0"/>
    <n v="1"/>
    <n v="115000"/>
    <n v="94093"/>
    <m/>
    <m/>
    <n v="0"/>
    <m/>
    <m/>
    <n v="0"/>
    <n v="1"/>
    <n v="115000"/>
    <n v="94093"/>
    <m/>
    <m/>
    <n v="0"/>
    <m/>
    <m/>
    <n v="0"/>
    <n v="1"/>
    <n v="52300"/>
    <n v="42791.86"/>
    <n v="1"/>
    <n v="52300"/>
    <n v="42791.86"/>
    <m/>
    <m/>
    <n v="0"/>
    <m/>
    <m/>
    <n v="0"/>
    <m/>
    <m/>
    <n v="0"/>
    <m/>
    <m/>
    <n v="0"/>
  </r>
  <r>
    <x v="14"/>
    <s v="J.S. Reynolds Community College"/>
    <m/>
    <n v="232414"/>
    <x v="6"/>
    <m/>
    <m/>
    <n v="0"/>
    <m/>
    <m/>
    <n v="0"/>
    <m/>
    <m/>
    <n v="0"/>
    <m/>
    <m/>
    <n v="0"/>
    <m/>
    <m/>
    <n v="0"/>
    <m/>
    <m/>
    <n v="0"/>
    <m/>
    <m/>
    <n v="0"/>
    <m/>
    <m/>
    <n v="0"/>
    <m/>
    <m/>
    <n v="0"/>
    <m/>
    <m/>
    <n v="0"/>
    <m/>
    <m/>
    <n v="0"/>
    <m/>
    <m/>
    <n v="0"/>
    <m/>
    <m/>
    <n v="0"/>
    <m/>
    <m/>
    <n v="0"/>
    <m/>
    <m/>
    <n v="0"/>
    <m/>
    <m/>
    <n v="0"/>
    <m/>
    <m/>
    <n v="0"/>
    <m/>
    <m/>
    <n v="0"/>
    <m/>
    <m/>
    <n v="0"/>
    <m/>
    <m/>
    <n v="0"/>
    <m/>
    <m/>
    <n v="0"/>
    <m/>
    <m/>
    <n v="0"/>
    <m/>
    <m/>
    <n v="0"/>
    <m/>
    <m/>
    <n v="0"/>
  </r>
  <r>
    <x v="14"/>
    <s v="Northern Virginia Community College "/>
    <m/>
    <n v="232946"/>
    <x v="6"/>
    <m/>
    <m/>
    <n v="0"/>
    <m/>
    <m/>
    <n v="0"/>
    <m/>
    <m/>
    <n v="0"/>
    <m/>
    <m/>
    <n v="0"/>
    <m/>
    <m/>
    <n v="0"/>
    <m/>
    <m/>
    <n v="0"/>
    <m/>
    <m/>
    <n v="0"/>
    <m/>
    <m/>
    <n v="0"/>
    <m/>
    <m/>
    <n v="0"/>
    <m/>
    <m/>
    <n v="0"/>
    <m/>
    <m/>
    <n v="0"/>
    <m/>
    <m/>
    <n v="0"/>
    <m/>
    <m/>
    <n v="0"/>
    <m/>
    <m/>
    <n v="0"/>
    <m/>
    <m/>
    <n v="0"/>
    <m/>
    <m/>
    <n v="0"/>
    <m/>
    <m/>
    <n v="0"/>
    <m/>
    <m/>
    <n v="0"/>
    <m/>
    <m/>
    <n v="0"/>
    <m/>
    <m/>
    <n v="0"/>
    <m/>
    <m/>
    <n v="0"/>
    <m/>
    <m/>
    <n v="0"/>
    <m/>
    <m/>
    <n v="0"/>
    <m/>
    <m/>
    <n v="0"/>
  </r>
  <r>
    <x v="14"/>
    <s v="Thomas Nelson Community College "/>
    <m/>
    <n v="233754"/>
    <x v="6"/>
    <m/>
    <m/>
    <n v="0"/>
    <m/>
    <m/>
    <n v="0"/>
    <m/>
    <m/>
    <n v="0"/>
    <m/>
    <m/>
    <n v="0"/>
    <m/>
    <m/>
    <n v="0"/>
    <m/>
    <m/>
    <n v="0"/>
    <m/>
    <m/>
    <n v="0"/>
    <m/>
    <m/>
    <n v="0"/>
    <m/>
    <m/>
    <n v="0"/>
    <m/>
    <m/>
    <n v="0"/>
    <m/>
    <m/>
    <n v="0"/>
    <m/>
    <m/>
    <n v="0"/>
    <m/>
    <m/>
    <n v="0"/>
    <m/>
    <m/>
    <n v="0"/>
    <m/>
    <m/>
    <n v="0"/>
    <m/>
    <m/>
    <n v="0"/>
    <m/>
    <m/>
    <n v="0"/>
    <m/>
    <m/>
    <n v="0"/>
    <m/>
    <m/>
    <n v="0"/>
    <m/>
    <m/>
    <n v="0"/>
    <m/>
    <m/>
    <n v="0"/>
    <m/>
    <m/>
    <n v="0"/>
    <m/>
    <m/>
    <n v="0"/>
    <m/>
    <m/>
    <n v="0"/>
  </r>
  <r>
    <x v="14"/>
    <s v="Tidewater Community College "/>
    <m/>
    <n v="233772"/>
    <x v="6"/>
    <m/>
    <m/>
    <n v="0"/>
    <m/>
    <m/>
    <n v="0"/>
    <m/>
    <m/>
    <n v="0"/>
    <m/>
    <m/>
    <n v="0"/>
    <m/>
    <m/>
    <n v="0"/>
    <m/>
    <m/>
    <n v="0"/>
    <m/>
    <m/>
    <n v="0"/>
    <m/>
    <m/>
    <n v="0"/>
    <m/>
    <m/>
    <n v="0"/>
    <m/>
    <m/>
    <n v="0"/>
    <m/>
    <m/>
    <n v="0"/>
    <m/>
    <m/>
    <n v="0"/>
    <m/>
    <m/>
    <n v="0"/>
    <m/>
    <m/>
    <n v="0"/>
    <m/>
    <m/>
    <n v="0"/>
    <m/>
    <m/>
    <n v="0"/>
    <m/>
    <m/>
    <n v="0"/>
    <m/>
    <m/>
    <n v="0"/>
    <m/>
    <m/>
    <n v="0"/>
    <m/>
    <m/>
    <n v="0"/>
    <m/>
    <m/>
    <n v="0"/>
    <m/>
    <m/>
    <n v="0"/>
    <m/>
    <m/>
    <n v="0"/>
    <m/>
    <m/>
    <n v="0"/>
  </r>
  <r>
    <x v="14"/>
    <s v="Blue Ridge Community College "/>
    <m/>
    <n v="231536"/>
    <x v="7"/>
    <m/>
    <m/>
    <n v="0"/>
    <m/>
    <m/>
    <n v="0"/>
    <m/>
    <m/>
    <n v="0"/>
    <m/>
    <m/>
    <n v="0"/>
    <m/>
    <m/>
    <n v="0"/>
    <m/>
    <m/>
    <n v="0"/>
    <m/>
    <m/>
    <n v="0"/>
    <m/>
    <m/>
    <n v="0"/>
    <m/>
    <m/>
    <n v="0"/>
    <m/>
    <m/>
    <n v="0"/>
    <m/>
    <m/>
    <n v="0"/>
    <m/>
    <m/>
    <n v="0"/>
    <m/>
    <m/>
    <n v="0"/>
    <m/>
    <m/>
    <n v="0"/>
    <m/>
    <m/>
    <n v="0"/>
    <m/>
    <m/>
    <n v="0"/>
    <m/>
    <m/>
    <n v="0"/>
    <m/>
    <m/>
    <n v="0"/>
    <m/>
    <m/>
    <n v="0"/>
    <m/>
    <m/>
    <n v="0"/>
    <m/>
    <m/>
    <n v="0"/>
    <m/>
    <m/>
    <n v="0"/>
    <m/>
    <m/>
    <n v="0"/>
    <m/>
    <m/>
    <n v="0"/>
  </r>
  <r>
    <x v="14"/>
    <s v="Central Virginia Community College "/>
    <m/>
    <n v="231697"/>
    <x v="7"/>
    <m/>
    <m/>
    <n v="0"/>
    <m/>
    <m/>
    <n v="0"/>
    <m/>
    <m/>
    <n v="0"/>
    <m/>
    <m/>
    <n v="0"/>
    <m/>
    <m/>
    <n v="0"/>
    <m/>
    <m/>
    <n v="0"/>
    <m/>
    <m/>
    <n v="0"/>
    <m/>
    <m/>
    <n v="0"/>
    <m/>
    <m/>
    <n v="0"/>
    <m/>
    <m/>
    <n v="0"/>
    <m/>
    <m/>
    <n v="0"/>
    <m/>
    <m/>
    <n v="0"/>
    <m/>
    <m/>
    <n v="0"/>
    <m/>
    <m/>
    <n v="0"/>
    <m/>
    <m/>
    <n v="0"/>
    <m/>
    <m/>
    <n v="0"/>
    <m/>
    <m/>
    <n v="0"/>
    <m/>
    <m/>
    <n v="0"/>
    <m/>
    <m/>
    <n v="0"/>
    <m/>
    <m/>
    <n v="0"/>
    <m/>
    <m/>
    <n v="0"/>
    <m/>
    <m/>
    <n v="0"/>
    <m/>
    <m/>
    <n v="0"/>
    <m/>
    <m/>
    <n v="0"/>
  </r>
  <r>
    <x v="14"/>
    <s v="Danville Community College "/>
    <m/>
    <n v="231882"/>
    <x v="7"/>
    <m/>
    <m/>
    <n v="0"/>
    <m/>
    <m/>
    <n v="0"/>
    <m/>
    <m/>
    <n v="0"/>
    <m/>
    <m/>
    <n v="0"/>
    <m/>
    <m/>
    <n v="0"/>
    <m/>
    <m/>
    <n v="0"/>
    <m/>
    <m/>
    <n v="0"/>
    <m/>
    <m/>
    <n v="0"/>
    <m/>
    <m/>
    <n v="0"/>
    <m/>
    <m/>
    <n v="0"/>
    <m/>
    <m/>
    <n v="0"/>
    <m/>
    <m/>
    <n v="0"/>
    <m/>
    <m/>
    <n v="0"/>
    <m/>
    <m/>
    <n v="0"/>
    <m/>
    <m/>
    <n v="0"/>
    <m/>
    <m/>
    <n v="0"/>
    <m/>
    <m/>
    <n v="0"/>
    <m/>
    <m/>
    <n v="0"/>
    <m/>
    <m/>
    <n v="0"/>
    <m/>
    <m/>
    <n v="0"/>
    <m/>
    <m/>
    <n v="0"/>
    <m/>
    <m/>
    <n v="0"/>
    <m/>
    <m/>
    <n v="0"/>
    <m/>
    <m/>
    <n v="0"/>
  </r>
  <r>
    <x v="14"/>
    <s v="Germanna Community College"/>
    <m/>
    <n v="232195"/>
    <x v="7"/>
    <m/>
    <m/>
    <n v="0"/>
    <m/>
    <m/>
    <n v="0"/>
    <m/>
    <m/>
    <n v="0"/>
    <m/>
    <m/>
    <n v="0"/>
    <m/>
    <m/>
    <n v="0"/>
    <m/>
    <m/>
    <n v="0"/>
    <m/>
    <m/>
    <n v="0"/>
    <m/>
    <m/>
    <n v="0"/>
    <m/>
    <m/>
    <n v="0"/>
    <m/>
    <m/>
    <n v="0"/>
    <m/>
    <m/>
    <n v="0"/>
    <m/>
    <m/>
    <n v="0"/>
    <m/>
    <m/>
    <n v="0"/>
    <m/>
    <m/>
    <n v="0"/>
    <m/>
    <m/>
    <n v="0"/>
    <m/>
    <m/>
    <n v="0"/>
    <m/>
    <m/>
    <n v="0"/>
    <m/>
    <m/>
    <n v="0"/>
    <m/>
    <m/>
    <n v="0"/>
    <m/>
    <m/>
    <n v="0"/>
    <m/>
    <m/>
    <n v="0"/>
    <m/>
    <m/>
    <n v="0"/>
    <m/>
    <m/>
    <n v="0"/>
    <m/>
    <m/>
    <n v="0"/>
  </r>
  <r>
    <x v="14"/>
    <s v="John Tyler Community College"/>
    <s v="Met the criteria for Two-Year 1 in 2011-12."/>
    <n v="232450"/>
    <x v="7"/>
    <m/>
    <m/>
    <n v="0"/>
    <m/>
    <m/>
    <n v="0"/>
    <m/>
    <m/>
    <n v="0"/>
    <m/>
    <m/>
    <n v="0"/>
    <m/>
    <m/>
    <n v="0"/>
    <m/>
    <m/>
    <n v="0"/>
    <m/>
    <m/>
    <n v="0"/>
    <m/>
    <m/>
    <n v="0"/>
    <m/>
    <m/>
    <n v="0"/>
    <m/>
    <m/>
    <n v="0"/>
    <m/>
    <m/>
    <n v="0"/>
    <m/>
    <m/>
    <n v="0"/>
    <m/>
    <m/>
    <n v="0"/>
    <m/>
    <m/>
    <n v="0"/>
    <m/>
    <m/>
    <n v="0"/>
    <m/>
    <m/>
    <n v="0"/>
    <m/>
    <m/>
    <n v="0"/>
    <m/>
    <m/>
    <n v="0"/>
    <m/>
    <m/>
    <n v="0"/>
    <m/>
    <m/>
    <n v="0"/>
    <m/>
    <m/>
    <n v="0"/>
    <m/>
    <m/>
    <n v="0"/>
    <m/>
    <m/>
    <n v="0"/>
    <m/>
    <m/>
    <n v="0"/>
  </r>
  <r>
    <x v="14"/>
    <s v="Lord Fairfax Community College  "/>
    <m/>
    <n v="232575"/>
    <x v="7"/>
    <m/>
    <m/>
    <n v="0"/>
    <m/>
    <m/>
    <n v="0"/>
    <m/>
    <m/>
    <n v="0"/>
    <m/>
    <m/>
    <n v="0"/>
    <m/>
    <m/>
    <n v="0"/>
    <m/>
    <m/>
    <n v="0"/>
    <m/>
    <m/>
    <n v="0"/>
    <m/>
    <m/>
    <n v="0"/>
    <m/>
    <m/>
    <n v="0"/>
    <m/>
    <m/>
    <n v="0"/>
    <m/>
    <m/>
    <n v="0"/>
    <m/>
    <m/>
    <n v="0"/>
    <m/>
    <m/>
    <n v="0"/>
    <m/>
    <m/>
    <n v="0"/>
    <m/>
    <m/>
    <n v="0"/>
    <m/>
    <m/>
    <n v="0"/>
    <m/>
    <m/>
    <n v="0"/>
    <m/>
    <m/>
    <n v="0"/>
    <m/>
    <m/>
    <n v="0"/>
    <m/>
    <m/>
    <n v="0"/>
    <m/>
    <m/>
    <n v="0"/>
    <m/>
    <m/>
    <n v="0"/>
    <m/>
    <m/>
    <n v="0"/>
    <m/>
    <m/>
    <n v="0"/>
  </r>
  <r>
    <x v="14"/>
    <s v="New River Community College "/>
    <m/>
    <n v="232867"/>
    <x v="7"/>
    <m/>
    <m/>
    <n v="0"/>
    <m/>
    <m/>
    <n v="0"/>
    <m/>
    <m/>
    <n v="0"/>
    <m/>
    <m/>
    <n v="0"/>
    <m/>
    <m/>
    <n v="0"/>
    <m/>
    <m/>
    <n v="0"/>
    <m/>
    <m/>
    <n v="0"/>
    <m/>
    <m/>
    <n v="0"/>
    <m/>
    <m/>
    <n v="0"/>
    <m/>
    <m/>
    <n v="0"/>
    <m/>
    <m/>
    <n v="0"/>
    <m/>
    <m/>
    <n v="0"/>
    <m/>
    <m/>
    <n v="0"/>
    <m/>
    <m/>
    <n v="0"/>
    <m/>
    <m/>
    <n v="0"/>
    <m/>
    <m/>
    <n v="0"/>
    <m/>
    <m/>
    <n v="0"/>
    <m/>
    <m/>
    <n v="0"/>
    <m/>
    <m/>
    <n v="0"/>
    <m/>
    <m/>
    <n v="0"/>
    <m/>
    <m/>
    <n v="0"/>
    <m/>
    <m/>
    <n v="0"/>
    <m/>
    <m/>
    <n v="0"/>
    <m/>
    <m/>
    <n v="0"/>
  </r>
  <r>
    <x v="14"/>
    <s v="Patrick Henry Community College "/>
    <s v="Reclassified: Met the criteria for Two-Year 2 in 2009-10, 2010-11, and 2011-12."/>
    <n v="233019"/>
    <x v="7"/>
    <m/>
    <m/>
    <n v="0"/>
    <m/>
    <m/>
    <n v="0"/>
    <m/>
    <m/>
    <n v="0"/>
    <m/>
    <m/>
    <n v="0"/>
    <m/>
    <m/>
    <n v="0"/>
    <m/>
    <m/>
    <n v="0"/>
    <m/>
    <m/>
    <n v="0"/>
    <m/>
    <m/>
    <n v="0"/>
    <m/>
    <m/>
    <n v="0"/>
    <m/>
    <m/>
    <n v="0"/>
    <m/>
    <m/>
    <n v="0"/>
    <m/>
    <m/>
    <n v="0"/>
    <m/>
    <m/>
    <n v="0"/>
    <m/>
    <m/>
    <n v="0"/>
    <m/>
    <m/>
    <n v="0"/>
    <m/>
    <m/>
    <n v="0"/>
    <m/>
    <m/>
    <n v="0"/>
    <m/>
    <m/>
    <n v="0"/>
    <m/>
    <m/>
    <n v="0"/>
    <m/>
    <m/>
    <n v="0"/>
    <m/>
    <m/>
    <n v="0"/>
    <m/>
    <m/>
    <n v="0"/>
    <m/>
    <m/>
    <n v="0"/>
    <m/>
    <m/>
    <n v="0"/>
  </r>
  <r>
    <x v="14"/>
    <s v="Piedmont Virginia Community College "/>
    <m/>
    <n v="233116"/>
    <x v="7"/>
    <m/>
    <m/>
    <n v="0"/>
    <m/>
    <m/>
    <n v="0"/>
    <m/>
    <m/>
    <n v="0"/>
    <m/>
    <m/>
    <n v="0"/>
    <m/>
    <m/>
    <n v="0"/>
    <m/>
    <m/>
    <n v="0"/>
    <m/>
    <m/>
    <n v="0"/>
    <m/>
    <m/>
    <n v="0"/>
    <m/>
    <m/>
    <n v="0"/>
    <m/>
    <m/>
    <n v="0"/>
    <m/>
    <m/>
    <n v="0"/>
    <m/>
    <m/>
    <n v="0"/>
    <m/>
    <m/>
    <n v="0"/>
    <m/>
    <m/>
    <n v="0"/>
    <m/>
    <m/>
    <n v="0"/>
    <m/>
    <m/>
    <n v="0"/>
    <m/>
    <m/>
    <n v="0"/>
    <m/>
    <m/>
    <n v="0"/>
    <m/>
    <m/>
    <n v="0"/>
    <m/>
    <m/>
    <n v="0"/>
    <m/>
    <m/>
    <n v="0"/>
    <m/>
    <m/>
    <n v="0"/>
    <m/>
    <m/>
    <n v="0"/>
    <m/>
    <m/>
    <n v="0"/>
  </r>
  <r>
    <x v="14"/>
    <s v="Southside Virginia Community College  "/>
    <m/>
    <n v="233639"/>
    <x v="7"/>
    <m/>
    <m/>
    <n v="0"/>
    <m/>
    <m/>
    <n v="0"/>
    <m/>
    <m/>
    <n v="0"/>
    <m/>
    <m/>
    <n v="0"/>
    <m/>
    <m/>
    <n v="0"/>
    <m/>
    <m/>
    <n v="0"/>
    <m/>
    <m/>
    <n v="0"/>
    <m/>
    <m/>
    <n v="0"/>
    <m/>
    <m/>
    <n v="0"/>
    <m/>
    <m/>
    <n v="0"/>
    <m/>
    <m/>
    <n v="0"/>
    <m/>
    <m/>
    <n v="0"/>
    <m/>
    <m/>
    <n v="0"/>
    <m/>
    <m/>
    <n v="0"/>
    <m/>
    <m/>
    <n v="0"/>
    <m/>
    <m/>
    <n v="0"/>
    <m/>
    <m/>
    <n v="0"/>
    <m/>
    <m/>
    <n v="0"/>
    <m/>
    <m/>
    <n v="0"/>
    <m/>
    <m/>
    <n v="0"/>
    <m/>
    <m/>
    <n v="0"/>
    <m/>
    <m/>
    <n v="0"/>
    <m/>
    <m/>
    <n v="0"/>
    <m/>
    <m/>
    <n v="0"/>
  </r>
  <r>
    <x v="14"/>
    <s v="Southwest Virginia Community College "/>
    <m/>
    <n v="233648"/>
    <x v="7"/>
    <m/>
    <m/>
    <n v="0"/>
    <m/>
    <m/>
    <n v="0"/>
    <m/>
    <m/>
    <n v="0"/>
    <m/>
    <m/>
    <n v="0"/>
    <m/>
    <m/>
    <n v="0"/>
    <m/>
    <m/>
    <n v="0"/>
    <m/>
    <m/>
    <n v="0"/>
    <m/>
    <m/>
    <n v="0"/>
    <m/>
    <m/>
    <n v="0"/>
    <m/>
    <m/>
    <n v="0"/>
    <m/>
    <m/>
    <n v="0"/>
    <m/>
    <m/>
    <n v="0"/>
    <m/>
    <m/>
    <n v="0"/>
    <m/>
    <m/>
    <n v="0"/>
    <m/>
    <m/>
    <n v="0"/>
    <m/>
    <m/>
    <n v="0"/>
    <m/>
    <m/>
    <n v="0"/>
    <m/>
    <m/>
    <n v="0"/>
    <m/>
    <m/>
    <n v="0"/>
    <m/>
    <m/>
    <n v="0"/>
    <m/>
    <m/>
    <n v="0"/>
    <m/>
    <m/>
    <n v="0"/>
    <m/>
    <m/>
    <n v="0"/>
    <m/>
    <m/>
    <n v="0"/>
  </r>
  <r>
    <x v="14"/>
    <s v="Virginia Western Community College "/>
    <m/>
    <n v="233949"/>
    <x v="7"/>
    <m/>
    <m/>
    <n v="0"/>
    <m/>
    <m/>
    <n v="0"/>
    <m/>
    <m/>
    <n v="0"/>
    <m/>
    <m/>
    <n v="0"/>
    <m/>
    <m/>
    <n v="0"/>
    <m/>
    <m/>
    <n v="0"/>
    <m/>
    <m/>
    <n v="0"/>
    <m/>
    <m/>
    <n v="0"/>
    <m/>
    <m/>
    <n v="0"/>
    <m/>
    <m/>
    <n v="0"/>
    <m/>
    <m/>
    <n v="0"/>
    <m/>
    <m/>
    <n v="0"/>
    <m/>
    <m/>
    <n v="0"/>
    <m/>
    <m/>
    <n v="0"/>
    <m/>
    <m/>
    <n v="0"/>
    <m/>
    <m/>
    <n v="0"/>
    <m/>
    <m/>
    <n v="0"/>
    <m/>
    <m/>
    <n v="0"/>
    <m/>
    <m/>
    <n v="0"/>
    <m/>
    <m/>
    <n v="0"/>
    <m/>
    <m/>
    <n v="0"/>
    <m/>
    <m/>
    <n v="0"/>
    <m/>
    <m/>
    <n v="0"/>
    <m/>
    <m/>
    <n v="0"/>
  </r>
  <r>
    <x v="14"/>
    <s v="Wytheville Community College "/>
    <s v="Reclassified: Met the criteria for Two-Year 2 in 2009-10, 2010-11, and 2011-12."/>
    <n v="234377"/>
    <x v="7"/>
    <m/>
    <m/>
    <n v="0"/>
    <m/>
    <m/>
    <n v="0"/>
    <m/>
    <m/>
    <n v="0"/>
    <m/>
    <m/>
    <n v="0"/>
    <m/>
    <m/>
    <n v="0"/>
    <m/>
    <m/>
    <n v="0"/>
    <m/>
    <m/>
    <n v="0"/>
    <m/>
    <m/>
    <n v="0"/>
    <m/>
    <m/>
    <n v="0"/>
    <m/>
    <m/>
    <n v="0"/>
    <m/>
    <m/>
    <n v="0"/>
    <m/>
    <m/>
    <n v="0"/>
    <m/>
    <m/>
    <n v="0"/>
    <m/>
    <m/>
    <n v="0"/>
    <m/>
    <m/>
    <n v="0"/>
    <m/>
    <m/>
    <n v="0"/>
    <m/>
    <m/>
    <n v="0"/>
    <m/>
    <m/>
    <n v="0"/>
    <m/>
    <m/>
    <n v="0"/>
    <m/>
    <m/>
    <n v="0"/>
    <m/>
    <m/>
    <n v="0"/>
    <m/>
    <m/>
    <n v="0"/>
    <m/>
    <m/>
    <n v="0"/>
    <m/>
    <m/>
    <n v="0"/>
  </r>
  <r>
    <x v="14"/>
    <s v="D.S. Lancaster Community College "/>
    <m/>
    <n v="231873"/>
    <x v="8"/>
    <m/>
    <m/>
    <n v="0"/>
    <m/>
    <m/>
    <n v="0"/>
    <m/>
    <m/>
    <n v="0"/>
    <m/>
    <m/>
    <n v="0"/>
    <m/>
    <m/>
    <n v="0"/>
    <m/>
    <m/>
    <n v="0"/>
    <m/>
    <m/>
    <n v="0"/>
    <m/>
    <m/>
    <n v="0"/>
    <m/>
    <m/>
    <n v="0"/>
    <m/>
    <m/>
    <n v="0"/>
    <m/>
    <m/>
    <n v="0"/>
    <m/>
    <m/>
    <n v="0"/>
    <m/>
    <m/>
    <n v="0"/>
    <m/>
    <m/>
    <n v="0"/>
    <m/>
    <m/>
    <n v="0"/>
    <m/>
    <m/>
    <n v="0"/>
    <m/>
    <m/>
    <n v="0"/>
    <m/>
    <m/>
    <n v="0"/>
    <m/>
    <m/>
    <n v="0"/>
    <m/>
    <m/>
    <n v="0"/>
    <m/>
    <m/>
    <n v="0"/>
    <m/>
    <m/>
    <n v="0"/>
    <m/>
    <m/>
    <n v="0"/>
    <m/>
    <m/>
    <n v="0"/>
  </r>
  <r>
    <x v="14"/>
    <s v="Eastern Shore Community College  "/>
    <m/>
    <n v="232052"/>
    <x v="8"/>
    <m/>
    <m/>
    <n v="0"/>
    <m/>
    <m/>
    <n v="0"/>
    <m/>
    <m/>
    <n v="0"/>
    <m/>
    <m/>
    <n v="0"/>
    <m/>
    <m/>
    <n v="0"/>
    <m/>
    <m/>
    <n v="0"/>
    <m/>
    <m/>
    <n v="0"/>
    <m/>
    <m/>
    <n v="0"/>
    <m/>
    <m/>
    <n v="0"/>
    <m/>
    <m/>
    <n v="0"/>
    <m/>
    <m/>
    <n v="0"/>
    <m/>
    <m/>
    <n v="0"/>
    <m/>
    <m/>
    <n v="0"/>
    <m/>
    <m/>
    <n v="0"/>
    <m/>
    <m/>
    <n v="0"/>
    <m/>
    <m/>
    <n v="0"/>
    <m/>
    <m/>
    <n v="0"/>
    <m/>
    <m/>
    <n v="0"/>
    <m/>
    <m/>
    <n v="0"/>
    <m/>
    <m/>
    <n v="0"/>
    <m/>
    <m/>
    <n v="0"/>
    <m/>
    <m/>
    <n v="0"/>
    <m/>
    <m/>
    <n v="0"/>
    <m/>
    <m/>
    <n v="0"/>
  </r>
  <r>
    <x v="14"/>
    <s v="Mountain Empire Community College"/>
    <s v="Met the criteria for Two-Year 2 in 2010-11 and 2011-12."/>
    <n v="232788"/>
    <x v="8"/>
    <m/>
    <m/>
    <n v="0"/>
    <m/>
    <m/>
    <n v="0"/>
    <m/>
    <m/>
    <n v="0"/>
    <m/>
    <m/>
    <n v="0"/>
    <m/>
    <m/>
    <n v="0"/>
    <m/>
    <m/>
    <n v="0"/>
    <m/>
    <m/>
    <n v="0"/>
    <m/>
    <m/>
    <n v="0"/>
    <m/>
    <m/>
    <n v="0"/>
    <m/>
    <m/>
    <n v="0"/>
    <m/>
    <m/>
    <n v="0"/>
    <m/>
    <m/>
    <n v="0"/>
    <m/>
    <m/>
    <n v="0"/>
    <m/>
    <m/>
    <n v="0"/>
    <m/>
    <m/>
    <n v="0"/>
    <m/>
    <m/>
    <n v="0"/>
    <m/>
    <m/>
    <n v="0"/>
    <m/>
    <m/>
    <n v="0"/>
    <m/>
    <m/>
    <n v="0"/>
    <m/>
    <m/>
    <n v="0"/>
    <m/>
    <m/>
    <n v="0"/>
    <m/>
    <m/>
    <n v="0"/>
    <m/>
    <m/>
    <n v="0"/>
    <m/>
    <m/>
    <n v="0"/>
  </r>
  <r>
    <x v="14"/>
    <s v="Paul D. Camp Community College  "/>
    <m/>
    <n v="233037"/>
    <x v="8"/>
    <m/>
    <m/>
    <n v="0"/>
    <m/>
    <m/>
    <n v="0"/>
    <m/>
    <m/>
    <n v="0"/>
    <m/>
    <m/>
    <n v="0"/>
    <m/>
    <m/>
    <n v="0"/>
    <m/>
    <m/>
    <n v="0"/>
    <m/>
    <m/>
    <n v="0"/>
    <m/>
    <m/>
    <n v="0"/>
    <m/>
    <m/>
    <n v="0"/>
    <m/>
    <m/>
    <n v="0"/>
    <m/>
    <m/>
    <n v="0"/>
    <m/>
    <m/>
    <n v="0"/>
    <m/>
    <m/>
    <n v="0"/>
    <m/>
    <m/>
    <n v="0"/>
    <m/>
    <m/>
    <n v="0"/>
    <m/>
    <m/>
    <n v="0"/>
    <m/>
    <m/>
    <n v="0"/>
    <m/>
    <m/>
    <n v="0"/>
    <m/>
    <m/>
    <n v="0"/>
    <m/>
    <m/>
    <n v="0"/>
    <m/>
    <m/>
    <n v="0"/>
    <m/>
    <m/>
    <n v="0"/>
    <m/>
    <m/>
    <n v="0"/>
    <m/>
    <m/>
    <n v="0"/>
  </r>
  <r>
    <x v="14"/>
    <s v="Rappahannock Community College  "/>
    <s v="Met the criteria for Two-Year 2 in 2011-12."/>
    <n v="233310"/>
    <x v="8"/>
    <m/>
    <m/>
    <n v="0"/>
    <m/>
    <m/>
    <n v="0"/>
    <m/>
    <m/>
    <n v="0"/>
    <m/>
    <m/>
    <n v="0"/>
    <m/>
    <m/>
    <n v="0"/>
    <m/>
    <m/>
    <n v="0"/>
    <m/>
    <m/>
    <n v="0"/>
    <m/>
    <m/>
    <n v="0"/>
    <m/>
    <m/>
    <n v="0"/>
    <m/>
    <m/>
    <n v="0"/>
    <m/>
    <m/>
    <n v="0"/>
    <m/>
    <m/>
    <n v="0"/>
    <m/>
    <m/>
    <n v="0"/>
    <m/>
    <m/>
    <n v="0"/>
    <m/>
    <m/>
    <n v="0"/>
    <m/>
    <m/>
    <n v="0"/>
    <m/>
    <m/>
    <n v="0"/>
    <m/>
    <m/>
    <n v="0"/>
    <m/>
    <m/>
    <n v="0"/>
    <m/>
    <m/>
    <n v="0"/>
    <m/>
    <m/>
    <n v="0"/>
    <m/>
    <m/>
    <n v="0"/>
    <m/>
    <m/>
    <n v="0"/>
    <m/>
    <m/>
    <n v="0"/>
  </r>
  <r>
    <x v="14"/>
    <s v="Richard Bland College "/>
    <m/>
    <n v="233338"/>
    <x v="8"/>
    <n v="9"/>
    <n v="68644"/>
    <n v="617796"/>
    <n v="11"/>
    <n v="67085"/>
    <n v="737935"/>
    <n v="13"/>
    <n v="52611"/>
    <n v="683943"/>
    <n v="13"/>
    <n v="54003"/>
    <n v="702039"/>
    <n v="11"/>
    <n v="44964"/>
    <n v="494604"/>
    <n v="10"/>
    <n v="46268"/>
    <n v="462680"/>
    <m/>
    <m/>
    <n v="0"/>
    <m/>
    <m/>
    <n v="0"/>
    <m/>
    <m/>
    <n v="0"/>
    <m/>
    <m/>
    <n v="0"/>
    <m/>
    <m/>
    <n v="0"/>
    <m/>
    <m/>
    <n v="0"/>
    <m/>
    <m/>
    <n v="0"/>
    <m/>
    <m/>
    <n v="0"/>
    <m/>
    <m/>
    <n v="0"/>
    <m/>
    <m/>
    <n v="0"/>
    <m/>
    <m/>
    <n v="0"/>
    <m/>
    <m/>
    <n v="0"/>
    <m/>
    <m/>
    <n v="0"/>
    <m/>
    <m/>
    <n v="0"/>
    <m/>
    <m/>
    <n v="0"/>
    <m/>
    <m/>
    <n v="0"/>
    <m/>
    <m/>
    <n v="0"/>
    <m/>
    <m/>
    <n v="0"/>
  </r>
  <r>
    <x v="14"/>
    <s v="Virginia Highlands Community College "/>
    <m/>
    <n v="233903"/>
    <x v="8"/>
    <m/>
    <m/>
    <n v="0"/>
    <m/>
    <m/>
    <n v="0"/>
    <m/>
    <m/>
    <n v="0"/>
    <m/>
    <m/>
    <n v="0"/>
    <m/>
    <m/>
    <n v="0"/>
    <m/>
    <m/>
    <n v="0"/>
    <m/>
    <m/>
    <n v="0"/>
    <m/>
    <m/>
    <n v="0"/>
    <m/>
    <m/>
    <n v="0"/>
    <m/>
    <m/>
    <n v="0"/>
    <m/>
    <m/>
    <n v="0"/>
    <m/>
    <m/>
    <n v="0"/>
    <m/>
    <m/>
    <n v="0"/>
    <m/>
    <m/>
    <n v="0"/>
    <m/>
    <m/>
    <n v="0"/>
    <m/>
    <m/>
    <n v="0"/>
    <m/>
    <m/>
    <n v="0"/>
    <m/>
    <m/>
    <n v="0"/>
    <m/>
    <m/>
    <n v="0"/>
    <m/>
    <m/>
    <n v="0"/>
    <m/>
    <m/>
    <n v="0"/>
    <m/>
    <m/>
    <n v="0"/>
    <m/>
    <m/>
    <n v="0"/>
    <m/>
    <m/>
    <n v="0"/>
  </r>
  <r>
    <x v="14"/>
    <s v="All Community Colleges except R.Bland"/>
    <m/>
    <s v="All CC x Bland"/>
    <x v="13"/>
    <n v="417"/>
    <n v="66796"/>
    <n v="27853932"/>
    <n v="412"/>
    <n v="68523"/>
    <n v="28231476"/>
    <n v="612"/>
    <n v="59915"/>
    <n v="36667980"/>
    <n v="644"/>
    <n v="61598"/>
    <n v="39669112"/>
    <n v="634"/>
    <n v="53959"/>
    <n v="34210006"/>
    <n v="626"/>
    <n v="55537"/>
    <n v="34766162"/>
    <n v="380"/>
    <n v="47970"/>
    <n v="18228600"/>
    <n v="451"/>
    <n v="49754"/>
    <n v="22439054"/>
    <m/>
    <m/>
    <n v="0"/>
    <n v="1"/>
    <n v="48008"/>
    <n v="48008"/>
    <m/>
    <m/>
    <n v="0"/>
    <m/>
    <m/>
    <n v="0"/>
    <n v="27"/>
    <n v="78248"/>
    <n v="1728607.8672"/>
    <n v="31"/>
    <n v="81865"/>
    <n v="2076440.233"/>
    <n v="55"/>
    <n v="69234"/>
    <n v="3115599.2340000002"/>
    <n v="55"/>
    <n v="73824"/>
    <n v="3322153.824"/>
    <n v="49"/>
    <n v="62329"/>
    <n v="2498881.8022000003"/>
    <n v="52"/>
    <n v="62780"/>
    <n v="2671062.9920000001"/>
    <n v="51"/>
    <n v="60754"/>
    <n v="2535155.0628"/>
    <n v="69"/>
    <n v="61697"/>
    <n v="3483153.4926"/>
    <n v="1"/>
    <n v="88025"/>
    <n v="72022.055000000008"/>
    <n v="1"/>
    <n v="72818"/>
    <n v="59579.687600000005"/>
    <m/>
    <m/>
    <n v="0"/>
    <m/>
    <m/>
    <n v="0"/>
  </r>
  <r>
    <x v="15"/>
    <s v="West Virginia University"/>
    <m/>
    <n v="238032"/>
    <x v="0"/>
    <n v="216"/>
    <n v="101758"/>
    <n v="21979728"/>
    <n v="211"/>
    <n v="106277"/>
    <n v="22424447"/>
    <n v="210"/>
    <n v="73711"/>
    <n v="15479310"/>
    <n v="221"/>
    <n v="78128"/>
    <n v="17266288"/>
    <n v="313"/>
    <n v="59289"/>
    <n v="18557457"/>
    <n v="321"/>
    <n v="63129"/>
    <n v="20264409"/>
    <n v="43"/>
    <n v="40520"/>
    <n v="1742360"/>
    <n v="47"/>
    <n v="42526"/>
    <n v="1998722"/>
    <n v="17"/>
    <n v="49073"/>
    <n v="834241"/>
    <n v="19"/>
    <n v="53371"/>
    <n v="1014049"/>
    <m/>
    <m/>
    <n v="0"/>
    <m/>
    <m/>
    <n v="0"/>
    <n v="77"/>
    <n v="129442"/>
    <n v="8155027.2188000008"/>
    <n v="81"/>
    <n v="136547"/>
    <n v="9049543.1874000002"/>
    <n v="37"/>
    <n v="100167"/>
    <n v="3032395.6578000002"/>
    <n v="41"/>
    <n v="104706"/>
    <n v="3512488.4172"/>
    <n v="39"/>
    <n v="85752"/>
    <n v="2736329.1696000001"/>
    <n v="39"/>
    <n v="88309"/>
    <n v="2817922.5282000001"/>
    <n v="8"/>
    <n v="48554"/>
    <n v="317815.0624"/>
    <n v="4"/>
    <n v="46404"/>
    <n v="151871.01120000001"/>
    <n v="4"/>
    <n v="58602"/>
    <n v="191792.6256"/>
    <n v="6"/>
    <n v="71918"/>
    <n v="353059.8456"/>
    <m/>
    <m/>
    <n v="0"/>
    <m/>
    <m/>
    <n v="0"/>
  </r>
  <r>
    <x v="15"/>
    <s v="Marshall University "/>
    <m/>
    <n v="237525"/>
    <x v="2"/>
    <n v="179"/>
    <n v="72969"/>
    <n v="13061451"/>
    <n v="181"/>
    <n v="73330"/>
    <n v="13272730"/>
    <n v="116"/>
    <n v="60006"/>
    <n v="6960696"/>
    <n v="114"/>
    <n v="61236"/>
    <n v="6980904"/>
    <n v="114"/>
    <n v="51708"/>
    <n v="5894712"/>
    <n v="113"/>
    <n v="51656"/>
    <n v="5837128"/>
    <n v="42"/>
    <n v="34784"/>
    <n v="1460928"/>
    <n v="62"/>
    <n v="36401"/>
    <n v="2256862"/>
    <m/>
    <m/>
    <n v="0"/>
    <m/>
    <m/>
    <n v="0"/>
    <m/>
    <m/>
    <n v="0"/>
    <m/>
    <m/>
    <n v="0"/>
    <n v="20"/>
    <n v="100885"/>
    <n v="1650882.1400000001"/>
    <n v="22"/>
    <n v="110381"/>
    <n v="1986902.1524"/>
    <n v="2"/>
    <n v="79081"/>
    <n v="129408.14840000001"/>
    <n v="4"/>
    <n v="94841"/>
    <n v="310395.62479999999"/>
    <n v="5"/>
    <n v="60037"/>
    <n v="245611.367"/>
    <n v="4"/>
    <n v="70836"/>
    <n v="231832.06080000001"/>
    <m/>
    <m/>
    <n v="0"/>
    <m/>
    <m/>
    <n v="0"/>
    <m/>
    <m/>
    <n v="0"/>
    <m/>
    <m/>
    <n v="0"/>
    <m/>
    <m/>
    <n v="0"/>
    <m/>
    <m/>
    <n v="0"/>
  </r>
  <r>
    <x v="15"/>
    <s v="Fairmont State University"/>
    <m/>
    <n v="237367"/>
    <x v="4"/>
    <n v="45"/>
    <n v="71493"/>
    <n v="3217185"/>
    <n v="50"/>
    <n v="73018"/>
    <n v="3650900"/>
    <n v="38"/>
    <n v="59881"/>
    <n v="2275478"/>
    <n v="33"/>
    <n v="63946"/>
    <n v="2110218"/>
    <n v="54"/>
    <n v="49639"/>
    <n v="2680506"/>
    <n v="54"/>
    <n v="50711"/>
    <n v="2738394"/>
    <n v="9"/>
    <n v="42749"/>
    <n v="384741"/>
    <n v="9"/>
    <n v="44751"/>
    <n v="402759"/>
    <m/>
    <m/>
    <n v="0"/>
    <n v="3"/>
    <n v="48344"/>
    <n v="145032"/>
    <m/>
    <m/>
    <n v="0"/>
    <m/>
    <m/>
    <n v="0"/>
    <n v="6"/>
    <n v="115621"/>
    <n v="567606.61320000002"/>
    <n v="6"/>
    <n v="119467"/>
    <n v="586487.39640000009"/>
    <n v="1"/>
    <n v="77884"/>
    <n v="63724.688800000004"/>
    <n v="4"/>
    <n v="73335"/>
    <n v="240010.788"/>
    <n v="4"/>
    <n v="54861"/>
    <n v="179549.0808"/>
    <n v="3"/>
    <n v="61248"/>
    <n v="150339.34080000001"/>
    <n v="6"/>
    <n v="45149"/>
    <n v="221645.47080000001"/>
    <n v="6"/>
    <n v="50070"/>
    <n v="245803.644"/>
    <m/>
    <m/>
    <n v="0"/>
    <n v="1"/>
    <n v="78012"/>
    <n v="63829.418400000002"/>
    <m/>
    <m/>
    <n v="0"/>
    <m/>
    <m/>
    <n v="0"/>
  </r>
  <r>
    <x v="15"/>
    <s v="Shepherd University "/>
    <m/>
    <n v="237792"/>
    <x v="4"/>
    <n v="26"/>
    <n v="73437"/>
    <n v="1909362"/>
    <n v="28"/>
    <n v="75656"/>
    <n v="2118368"/>
    <n v="37"/>
    <n v="62217"/>
    <n v="2302029"/>
    <n v="40"/>
    <n v="64031"/>
    <n v="2561240"/>
    <n v="45"/>
    <n v="53109"/>
    <n v="2389905"/>
    <n v="52"/>
    <n v="55730"/>
    <n v="2897960"/>
    <m/>
    <m/>
    <n v="0"/>
    <m/>
    <m/>
    <n v="0"/>
    <n v="13"/>
    <n v="48551"/>
    <n v="631163"/>
    <n v="11"/>
    <n v="52470"/>
    <n v="577170"/>
    <m/>
    <m/>
    <n v="0"/>
    <m/>
    <m/>
    <n v="0"/>
    <n v="2"/>
    <n v="95952"/>
    <n v="157015.85279999999"/>
    <n v="2"/>
    <n v="89742"/>
    <n v="146853.8088"/>
    <n v="1"/>
    <n v="71874"/>
    <n v="58807.306800000006"/>
    <m/>
    <m/>
    <n v="0"/>
    <m/>
    <m/>
    <n v="0"/>
    <m/>
    <m/>
    <n v="0"/>
    <m/>
    <m/>
    <n v="0"/>
    <m/>
    <m/>
    <n v="0"/>
    <n v="1"/>
    <n v="51102"/>
    <n v="41811.6564"/>
    <n v="1"/>
    <n v="56217"/>
    <n v="45996.749400000001"/>
    <m/>
    <m/>
    <n v="0"/>
    <m/>
    <m/>
    <n v="0"/>
  </r>
  <r>
    <x v="15"/>
    <s v="Bluefield State College "/>
    <m/>
    <n v="237215"/>
    <x v="5"/>
    <n v="23"/>
    <n v="67627"/>
    <n v="1555421"/>
    <n v="21"/>
    <n v="66730"/>
    <n v="1401330"/>
    <n v="16"/>
    <n v="57152"/>
    <n v="914432"/>
    <n v="18"/>
    <n v="57999"/>
    <n v="1043982"/>
    <n v="28"/>
    <n v="51091"/>
    <n v="1430548"/>
    <n v="27"/>
    <n v="53040"/>
    <n v="1432080"/>
    <n v="3"/>
    <n v="41900"/>
    <n v="125700"/>
    <n v="2"/>
    <n v="42576"/>
    <n v="85152"/>
    <n v="1"/>
    <n v="39504"/>
    <n v="39504"/>
    <n v="1"/>
    <n v="39564"/>
    <n v="39564"/>
    <m/>
    <m/>
    <n v="0"/>
    <m/>
    <m/>
    <n v="0"/>
    <n v="3"/>
    <n v="76840"/>
    <n v="188611.46400000001"/>
    <n v="2"/>
    <n v="74370"/>
    <n v="121699.068"/>
    <n v="1"/>
    <n v="52164"/>
    <n v="42680.584800000004"/>
    <n v="1"/>
    <n v="52224"/>
    <n v="42729.676800000001"/>
    <n v="1"/>
    <n v="53004"/>
    <n v="43367.872800000005"/>
    <n v="1"/>
    <n v="53064"/>
    <n v="43416.964800000002"/>
    <m/>
    <m/>
    <n v="0"/>
    <m/>
    <m/>
    <n v="0"/>
    <m/>
    <m/>
    <n v="0"/>
    <m/>
    <m/>
    <n v="0"/>
    <m/>
    <m/>
    <n v="0"/>
    <m/>
    <m/>
    <n v="0"/>
  </r>
  <r>
    <x v="15"/>
    <s v="Concord University "/>
    <m/>
    <n v="237330"/>
    <x v="5"/>
    <n v="25"/>
    <n v="68598"/>
    <n v="1714950"/>
    <n v="29"/>
    <n v="69777"/>
    <n v="2023533"/>
    <n v="26"/>
    <n v="57437"/>
    <n v="1493362"/>
    <n v="25"/>
    <n v="58941"/>
    <n v="1473525"/>
    <n v="41"/>
    <n v="48591"/>
    <n v="1992231"/>
    <n v="41"/>
    <n v="51853"/>
    <n v="2125973"/>
    <n v="15"/>
    <n v="41403"/>
    <n v="621045"/>
    <n v="16"/>
    <n v="42155"/>
    <n v="674480"/>
    <m/>
    <m/>
    <n v="0"/>
    <n v="5"/>
    <n v="31500"/>
    <n v="157500"/>
    <m/>
    <m/>
    <n v="0"/>
    <m/>
    <m/>
    <n v="0"/>
    <n v="4"/>
    <n v="88190"/>
    <n v="288628.23200000002"/>
    <n v="4"/>
    <n v="90751"/>
    <n v="297009.87280000001"/>
    <m/>
    <m/>
    <n v="0"/>
    <m/>
    <m/>
    <n v="0"/>
    <m/>
    <m/>
    <n v="0"/>
    <m/>
    <m/>
    <n v="0"/>
    <n v="1"/>
    <n v="38500"/>
    <n v="31500.7"/>
    <n v="2"/>
    <n v="42774"/>
    <n v="69995.373600000006"/>
    <m/>
    <m/>
    <n v="0"/>
    <m/>
    <m/>
    <n v="0"/>
    <m/>
    <m/>
    <n v="0"/>
    <m/>
    <m/>
    <n v="0"/>
  </r>
  <r>
    <x v="15"/>
    <s v="Glenville State College "/>
    <m/>
    <n v="237385"/>
    <x v="5"/>
    <n v="9"/>
    <n v="66117"/>
    <n v="595053"/>
    <n v="8"/>
    <n v="70207"/>
    <n v="561656"/>
    <n v="11"/>
    <n v="60644"/>
    <n v="667084"/>
    <n v="11"/>
    <n v="64470"/>
    <n v="709170"/>
    <n v="24"/>
    <n v="46426"/>
    <n v="1114224"/>
    <n v="28"/>
    <n v="50086"/>
    <n v="1402408"/>
    <n v="19"/>
    <n v="37939"/>
    <n v="720841"/>
    <n v="16"/>
    <n v="43752"/>
    <n v="700032"/>
    <m/>
    <m/>
    <n v="0"/>
    <m/>
    <m/>
    <n v="0"/>
    <m/>
    <m/>
    <n v="0"/>
    <m/>
    <m/>
    <n v="0"/>
    <m/>
    <m/>
    <n v="0"/>
    <m/>
    <m/>
    <n v="0"/>
    <n v="2"/>
    <n v="71898"/>
    <n v="117653.88720000001"/>
    <n v="2"/>
    <n v="69366"/>
    <n v="113510.5224"/>
    <m/>
    <m/>
    <n v="0"/>
    <m/>
    <m/>
    <n v="0"/>
    <n v="1"/>
    <n v="32760"/>
    <n v="26804.232"/>
    <n v="1"/>
    <n v="37289"/>
    <n v="30509.859800000002"/>
    <n v="1"/>
    <n v="42816"/>
    <n v="35032.051200000002"/>
    <n v="1"/>
    <n v="45636"/>
    <n v="37339.375200000002"/>
    <m/>
    <m/>
    <n v="0"/>
    <m/>
    <m/>
    <n v="0"/>
  </r>
  <r>
    <x v="15"/>
    <s v="West Liberty University"/>
    <m/>
    <n v="237932"/>
    <x v="5"/>
    <n v="15"/>
    <n v="67650"/>
    <n v="1014750"/>
    <n v="16"/>
    <n v="67681"/>
    <n v="1082896"/>
    <n v="30"/>
    <n v="57070"/>
    <n v="1712100"/>
    <n v="34"/>
    <n v="64271"/>
    <n v="2185214"/>
    <n v="35"/>
    <n v="50316"/>
    <n v="1761060"/>
    <n v="41"/>
    <n v="51374"/>
    <n v="2106334"/>
    <n v="26"/>
    <n v="43529"/>
    <n v="1131754"/>
    <n v="32"/>
    <n v="47811"/>
    <n v="1529952"/>
    <n v="3"/>
    <n v="37457"/>
    <n v="112371"/>
    <n v="2"/>
    <n v="39226"/>
    <n v="78452"/>
    <m/>
    <m/>
    <n v="0"/>
    <m/>
    <m/>
    <n v="0"/>
    <n v="1"/>
    <n v="61750"/>
    <n v="50523.850000000006"/>
    <n v="3"/>
    <n v="90662"/>
    <n v="222538.94520000002"/>
    <n v="2"/>
    <n v="57583"/>
    <n v="94228.821200000006"/>
    <n v="1"/>
    <n v="66496"/>
    <n v="54407.027200000004"/>
    <n v="2"/>
    <n v="88837"/>
    <n v="145372.86680000002"/>
    <n v="1"/>
    <n v="96000"/>
    <n v="78547.199999999997"/>
    <n v="4"/>
    <n v="48729"/>
    <n v="159480.27120000002"/>
    <n v="1"/>
    <n v="56563"/>
    <n v="46279.846600000004"/>
    <m/>
    <m/>
    <n v="0"/>
    <m/>
    <m/>
    <n v="0"/>
    <m/>
    <m/>
    <n v="0"/>
    <m/>
    <m/>
    <n v="0"/>
  </r>
  <r>
    <x v="15"/>
    <s v="West Virginia State University "/>
    <m/>
    <n v="237899"/>
    <x v="5"/>
    <n v="19"/>
    <n v="62118"/>
    <n v="1180242"/>
    <n v="28"/>
    <n v="63376"/>
    <n v="1774528"/>
    <n v="35"/>
    <n v="57950"/>
    <n v="2028250"/>
    <n v="40"/>
    <n v="54692"/>
    <n v="2187680"/>
    <n v="52"/>
    <n v="48101"/>
    <n v="2501252"/>
    <n v="42"/>
    <n v="49013"/>
    <n v="2058546"/>
    <n v="11"/>
    <n v="37433"/>
    <n v="411763"/>
    <n v="8"/>
    <n v="38757"/>
    <n v="310056"/>
    <n v="1"/>
    <n v="65000"/>
    <n v="65000"/>
    <m/>
    <m/>
    <n v="0"/>
    <m/>
    <m/>
    <n v="0"/>
    <m/>
    <m/>
    <n v="0"/>
    <m/>
    <m/>
    <n v="0"/>
    <n v="1"/>
    <n v="76013"/>
    <n v="62193.836600000002"/>
    <n v="1"/>
    <n v="74753"/>
    <n v="61162.904600000002"/>
    <n v="1"/>
    <n v="58212"/>
    <n v="47629.058400000002"/>
    <n v="1"/>
    <n v="51954"/>
    <n v="42508.762800000004"/>
    <m/>
    <m/>
    <n v="0"/>
    <m/>
    <m/>
    <n v="0"/>
    <m/>
    <m/>
    <n v="0"/>
    <m/>
    <m/>
    <n v="0"/>
    <m/>
    <m/>
    <n v="0"/>
    <m/>
    <m/>
    <n v="0"/>
    <m/>
    <m/>
    <n v="0"/>
  </r>
  <r>
    <x v="15"/>
    <s v="West Virginia University Institute of Technology"/>
    <m/>
    <n v="237950"/>
    <x v="5"/>
    <n v="28"/>
    <n v="73632"/>
    <n v="2061696"/>
    <n v="21"/>
    <n v="77059"/>
    <n v="1618239"/>
    <n v="19"/>
    <n v="56662"/>
    <n v="1076578"/>
    <n v="14"/>
    <n v="57187"/>
    <n v="800618"/>
    <n v="26"/>
    <n v="51214"/>
    <n v="1331564"/>
    <n v="29"/>
    <n v="53919"/>
    <n v="1563651"/>
    <n v="2"/>
    <n v="39960"/>
    <n v="79920"/>
    <n v="1"/>
    <n v="35000"/>
    <n v="35000"/>
    <n v="9"/>
    <n v="46680"/>
    <n v="420120"/>
    <n v="11"/>
    <n v="50755"/>
    <n v="558305"/>
    <m/>
    <m/>
    <n v="0"/>
    <m/>
    <m/>
    <n v="0"/>
    <m/>
    <m/>
    <n v="0"/>
    <m/>
    <m/>
    <n v="0"/>
    <n v="3"/>
    <n v="63773"/>
    <n v="156537.2058"/>
    <n v="2"/>
    <n v="61725"/>
    <n v="101006.79000000001"/>
    <n v="3"/>
    <n v="56097"/>
    <n v="137695.69620000001"/>
    <n v="3"/>
    <n v="66746"/>
    <n v="163834.7316"/>
    <m/>
    <m/>
    <n v="0"/>
    <m/>
    <m/>
    <n v="0"/>
    <m/>
    <m/>
    <n v="0"/>
    <m/>
    <m/>
    <n v="0"/>
    <m/>
    <m/>
    <n v="0"/>
    <m/>
    <m/>
    <n v="0"/>
  </r>
  <r>
    <x v="15"/>
    <s v="Potomac State College of West Virginia University"/>
    <m/>
    <n v="237701"/>
    <x v="11"/>
    <n v="13"/>
    <n v="66239"/>
    <n v="861107"/>
    <n v="12"/>
    <n v="69242"/>
    <n v="830904"/>
    <n v="4"/>
    <n v="48469"/>
    <n v="193876"/>
    <n v="4"/>
    <n v="50574"/>
    <n v="202296"/>
    <n v="11"/>
    <n v="42574"/>
    <n v="468314"/>
    <n v="11"/>
    <n v="44116"/>
    <n v="485276"/>
    <n v="13"/>
    <n v="38090"/>
    <n v="495170"/>
    <n v="12"/>
    <n v="41292"/>
    <n v="495504"/>
    <m/>
    <m/>
    <n v="0"/>
    <n v="2"/>
    <n v="36250"/>
    <n v="72500"/>
    <m/>
    <m/>
    <n v="0"/>
    <m/>
    <m/>
    <n v="0"/>
    <m/>
    <m/>
    <n v="0"/>
    <m/>
    <m/>
    <n v="0"/>
    <m/>
    <m/>
    <n v="0"/>
    <m/>
    <m/>
    <n v="0"/>
    <m/>
    <m/>
    <n v="0"/>
    <m/>
    <m/>
    <n v="0"/>
    <m/>
    <m/>
    <n v="0"/>
    <m/>
    <m/>
    <n v="0"/>
    <m/>
    <m/>
    <n v="0"/>
    <m/>
    <m/>
    <n v="0"/>
    <m/>
    <m/>
    <n v="0"/>
    <m/>
    <m/>
    <n v="0"/>
  </r>
  <r>
    <x v="15"/>
    <s v="West Virginia University at Parkersburg"/>
    <m/>
    <n v="237686"/>
    <x v="11"/>
    <n v="28"/>
    <n v="55679"/>
    <n v="1559012"/>
    <n v="27"/>
    <n v="57994"/>
    <n v="1565838"/>
    <n v="9"/>
    <n v="52504"/>
    <n v="472536"/>
    <n v="7"/>
    <n v="55756"/>
    <n v="390292"/>
    <n v="11"/>
    <n v="43689"/>
    <n v="480579"/>
    <n v="18"/>
    <n v="44602"/>
    <n v="802836"/>
    <n v="33"/>
    <n v="36833"/>
    <n v="1215489"/>
    <n v="24"/>
    <n v="38434"/>
    <n v="922416"/>
    <n v="4"/>
    <n v="36070"/>
    <n v="144280"/>
    <n v="9"/>
    <n v="36102"/>
    <n v="324918"/>
    <m/>
    <m/>
    <n v="0"/>
    <m/>
    <m/>
    <n v="0"/>
    <n v="2"/>
    <n v="69431"/>
    <n v="113616.88840000001"/>
    <n v="2"/>
    <n v="72532"/>
    <n v="118691.36480000001"/>
    <n v="1"/>
    <n v="71081"/>
    <n v="58158.474200000004"/>
    <m/>
    <m/>
    <n v="0"/>
    <n v="2"/>
    <n v="59257"/>
    <n v="96968.154800000004"/>
    <n v="2"/>
    <n v="60785"/>
    <n v="99468.574000000008"/>
    <m/>
    <m/>
    <n v="0"/>
    <n v="1"/>
    <n v="43080"/>
    <n v="35248.056000000004"/>
    <n v="2"/>
    <n v="47348"/>
    <n v="77480.267200000002"/>
    <n v="1"/>
    <n v="46932"/>
    <n v="38399.7624"/>
    <m/>
    <m/>
    <n v="0"/>
    <m/>
    <m/>
    <n v="0"/>
  </r>
  <r>
    <x v="15"/>
    <s v="West Virginia Northern Community College"/>
    <s v="Reclassified: met the criteria for Two-Year 2 in 2009-10, 2010-11 and 2011-12."/>
    <n v="238014"/>
    <x v="7"/>
    <n v="23"/>
    <n v="56966"/>
    <n v="1310218"/>
    <n v="22"/>
    <n v="58966"/>
    <n v="1297252"/>
    <n v="10"/>
    <n v="45621"/>
    <n v="456210"/>
    <n v="9"/>
    <n v="47293"/>
    <n v="425637"/>
    <n v="8"/>
    <n v="39465"/>
    <n v="315720"/>
    <n v="6"/>
    <n v="41841"/>
    <n v="251046"/>
    <n v="20"/>
    <n v="33318"/>
    <n v="666360"/>
    <n v="20"/>
    <n v="35305"/>
    <n v="706100"/>
    <m/>
    <m/>
    <n v="0"/>
    <m/>
    <m/>
    <n v="0"/>
    <m/>
    <m/>
    <n v="0"/>
    <m/>
    <m/>
    <n v="0"/>
    <m/>
    <m/>
    <n v="0"/>
    <m/>
    <m/>
    <n v="0"/>
    <m/>
    <m/>
    <n v="0"/>
    <m/>
    <m/>
    <n v="0"/>
    <m/>
    <m/>
    <n v="0"/>
    <n v="1"/>
    <n v="40500"/>
    <n v="33137.1"/>
    <n v="1"/>
    <n v="31500"/>
    <n v="25773.300000000003"/>
    <n v="4"/>
    <n v="32500"/>
    <n v="106366"/>
    <m/>
    <m/>
    <n v="0"/>
    <m/>
    <m/>
    <n v="0"/>
    <m/>
    <m/>
    <n v="0"/>
    <m/>
    <m/>
    <n v="0"/>
  </r>
  <r>
    <x v="15"/>
    <s v="Blue Ridge Community &amp; Technical College"/>
    <m/>
    <n v="446774"/>
    <x v="8"/>
    <m/>
    <m/>
    <n v="0"/>
    <m/>
    <m/>
    <n v="0"/>
    <n v="3"/>
    <n v="61550"/>
    <n v="184650"/>
    <n v="3"/>
    <n v="64649"/>
    <n v="193947"/>
    <n v="7"/>
    <n v="47243"/>
    <n v="330701"/>
    <n v="11"/>
    <n v="47381"/>
    <n v="521191"/>
    <n v="6"/>
    <n v="40363"/>
    <n v="242178"/>
    <n v="3"/>
    <n v="39762"/>
    <n v="119286"/>
    <n v="7"/>
    <n v="36975"/>
    <n v="258825"/>
    <n v="9"/>
    <n v="39474"/>
    <n v="355266"/>
    <m/>
    <m/>
    <n v="0"/>
    <m/>
    <m/>
    <n v="0"/>
    <m/>
    <m/>
    <n v="0"/>
    <n v="1"/>
    <n v="95270"/>
    <n v="77949.914000000004"/>
    <n v="1"/>
    <n v="84670"/>
    <n v="69276.994000000006"/>
    <m/>
    <m/>
    <n v="0"/>
    <n v="2"/>
    <n v="55944"/>
    <n v="91546.761599999998"/>
    <n v="6"/>
    <n v="58360"/>
    <n v="286500.91200000001"/>
    <n v="9"/>
    <n v="46606"/>
    <n v="343197.26280000003"/>
    <n v="4"/>
    <n v="44367"/>
    <n v="145204.31760000001"/>
    <n v="6"/>
    <n v="41610"/>
    <n v="204271.81200000001"/>
    <n v="6"/>
    <n v="47071"/>
    <n v="231080.95320000002"/>
    <m/>
    <m/>
    <n v="0"/>
    <m/>
    <m/>
    <n v="0"/>
  </r>
  <r>
    <x v="15"/>
    <s v="Bridgemont Community &amp; Technical College"/>
    <m/>
    <n v="445674"/>
    <x v="8"/>
    <n v="5"/>
    <n v="77867"/>
    <n v="389335"/>
    <n v="6"/>
    <n v="77245"/>
    <n v="463470"/>
    <n v="5"/>
    <n v="62327"/>
    <n v="311635"/>
    <n v="8"/>
    <n v="64381"/>
    <n v="515048"/>
    <n v="8"/>
    <n v="52798"/>
    <n v="422384"/>
    <n v="8"/>
    <n v="51285"/>
    <n v="410280"/>
    <n v="9"/>
    <n v="41928"/>
    <n v="377352"/>
    <n v="8"/>
    <n v="39712"/>
    <n v="317696"/>
    <m/>
    <m/>
    <n v="0"/>
    <m/>
    <m/>
    <n v="0"/>
    <m/>
    <m/>
    <n v="0"/>
    <m/>
    <m/>
    <n v="0"/>
    <n v="4"/>
    <n v="78735"/>
    <n v="257683.90800000002"/>
    <n v="2"/>
    <n v="87278"/>
    <n v="142821.71919999999"/>
    <m/>
    <m/>
    <n v="0"/>
    <n v="1"/>
    <n v="80180"/>
    <n v="65603.275999999998"/>
    <n v="1"/>
    <n v="66135"/>
    <n v="54111.656999999999"/>
    <m/>
    <m/>
    <n v="0"/>
    <n v="3"/>
    <n v="54884"/>
    <n v="134718.26639999999"/>
    <n v="2"/>
    <n v="59549"/>
    <n v="97445.983600000007"/>
    <m/>
    <m/>
    <n v="0"/>
    <n v="3"/>
    <n v="51722"/>
    <n v="126956.82120000001"/>
    <m/>
    <m/>
    <n v="0"/>
    <m/>
    <m/>
    <n v="0"/>
  </r>
  <r>
    <x v="15"/>
    <s v="Eastern West Virginia Community &amp; Technical College"/>
    <m/>
    <n v="438708"/>
    <x v="8"/>
    <m/>
    <m/>
    <n v="0"/>
    <m/>
    <m/>
    <n v="0"/>
    <m/>
    <m/>
    <n v="0"/>
    <m/>
    <m/>
    <n v="0"/>
    <m/>
    <m/>
    <n v="0"/>
    <m/>
    <m/>
    <n v="0"/>
    <m/>
    <m/>
    <n v="0"/>
    <m/>
    <m/>
    <n v="0"/>
    <m/>
    <m/>
    <n v="0"/>
    <m/>
    <m/>
    <n v="0"/>
    <m/>
    <m/>
    <n v="0"/>
    <m/>
    <m/>
    <n v="0"/>
    <m/>
    <m/>
    <n v="0"/>
    <m/>
    <m/>
    <n v="0"/>
    <m/>
    <m/>
    <n v="0"/>
    <m/>
    <m/>
    <n v="0"/>
    <m/>
    <m/>
    <n v="0"/>
    <m/>
    <m/>
    <n v="0"/>
    <m/>
    <m/>
    <n v="0"/>
    <m/>
    <m/>
    <n v="0"/>
    <n v="5"/>
    <n v="45497"/>
    <n v="186128.22700000001"/>
    <n v="5"/>
    <n v="39614"/>
    <n v="162060.87400000001"/>
    <m/>
    <m/>
    <n v="0"/>
    <m/>
    <m/>
    <n v="0"/>
  </r>
  <r>
    <x v="15"/>
    <s v="Kanawha Valley Community &amp; Technical College"/>
    <m/>
    <n v="445018"/>
    <x v="8"/>
    <n v="2"/>
    <n v="62865"/>
    <n v="125730"/>
    <n v="2"/>
    <n v="63421"/>
    <n v="126842"/>
    <n v="3"/>
    <n v="62516"/>
    <n v="187548"/>
    <n v="2"/>
    <n v="62582"/>
    <n v="125164"/>
    <n v="8"/>
    <n v="54709"/>
    <n v="437672"/>
    <n v="7"/>
    <n v="52108"/>
    <n v="364756"/>
    <n v="12"/>
    <n v="45465"/>
    <n v="545580"/>
    <n v="20"/>
    <n v="44983"/>
    <n v="899660"/>
    <n v="11"/>
    <n v="43521"/>
    <n v="478731"/>
    <n v="8"/>
    <n v="46080"/>
    <n v="368640"/>
    <m/>
    <m/>
    <n v="0"/>
    <m/>
    <m/>
    <n v="0"/>
    <m/>
    <m/>
    <n v="0"/>
    <m/>
    <m/>
    <n v="0"/>
    <n v="1"/>
    <n v="63538"/>
    <n v="51986.791600000004"/>
    <m/>
    <m/>
    <n v="0"/>
    <n v="1"/>
    <n v="53828"/>
    <n v="44042.069600000003"/>
    <n v="2"/>
    <n v="57049"/>
    <n v="93354.983600000007"/>
    <n v="6"/>
    <n v="53679"/>
    <n v="263520.94680000003"/>
    <n v="11"/>
    <n v="50675"/>
    <n v="456085.13500000001"/>
    <m/>
    <m/>
    <n v="0"/>
    <n v="2"/>
    <n v="60955"/>
    <n v="99746.762000000002"/>
    <m/>
    <m/>
    <n v="0"/>
    <m/>
    <m/>
    <n v="0"/>
  </r>
  <r>
    <x v="15"/>
    <s v="Mountwest Community &amp; Technical College"/>
    <m/>
    <n v="444954"/>
    <x v="8"/>
    <n v="11"/>
    <n v="63055"/>
    <n v="693605"/>
    <n v="10"/>
    <n v="65720"/>
    <n v="657200"/>
    <n v="10"/>
    <n v="55605"/>
    <n v="556050"/>
    <n v="10"/>
    <n v="55921"/>
    <n v="559210"/>
    <n v="19"/>
    <n v="42584"/>
    <n v="809096"/>
    <n v="20"/>
    <n v="41227"/>
    <n v="824540"/>
    <n v="8"/>
    <n v="38894"/>
    <n v="311152"/>
    <n v="8"/>
    <n v="39654"/>
    <n v="317232"/>
    <m/>
    <m/>
    <n v="0"/>
    <m/>
    <m/>
    <n v="0"/>
    <m/>
    <m/>
    <n v="0"/>
    <m/>
    <m/>
    <n v="0"/>
    <m/>
    <m/>
    <n v="0"/>
    <m/>
    <m/>
    <n v="0"/>
    <m/>
    <m/>
    <n v="0"/>
    <m/>
    <m/>
    <n v="0"/>
    <n v="2"/>
    <n v="50465"/>
    <n v="82580.926000000007"/>
    <n v="2"/>
    <n v="50997"/>
    <n v="83451.4908"/>
    <n v="3"/>
    <n v="43285"/>
    <n v="106247.361"/>
    <n v="2"/>
    <n v="43509"/>
    <n v="71198.127600000007"/>
    <m/>
    <m/>
    <n v="0"/>
    <m/>
    <m/>
    <n v="0"/>
    <m/>
    <m/>
    <n v="0"/>
    <m/>
    <m/>
    <n v="0"/>
  </r>
  <r>
    <x v="15"/>
    <s v="New River Community &amp; Technical College"/>
    <s v="Met criteria for Two-Year 2 in 2010-11 and 2011-12."/>
    <n v="447582"/>
    <x v="8"/>
    <n v="7"/>
    <n v="64179"/>
    <n v="449253"/>
    <n v="7"/>
    <n v="66705"/>
    <n v="466935"/>
    <n v="5"/>
    <n v="55255"/>
    <n v="276275"/>
    <n v="6"/>
    <n v="56202"/>
    <n v="337212"/>
    <n v="7"/>
    <n v="45132"/>
    <n v="315924"/>
    <n v="6"/>
    <n v="46876"/>
    <n v="281256"/>
    <n v="15"/>
    <n v="39267"/>
    <n v="589005"/>
    <n v="15"/>
    <n v="40177"/>
    <n v="602655"/>
    <m/>
    <m/>
    <n v="0"/>
    <m/>
    <m/>
    <n v="0"/>
    <m/>
    <m/>
    <n v="0"/>
    <m/>
    <m/>
    <n v="0"/>
    <m/>
    <m/>
    <n v="0"/>
    <m/>
    <m/>
    <n v="0"/>
    <n v="1"/>
    <n v="67380"/>
    <n v="55130.316000000006"/>
    <n v="1"/>
    <n v="69048"/>
    <n v="56495.073600000003"/>
    <m/>
    <m/>
    <n v="0"/>
    <m/>
    <m/>
    <n v="0"/>
    <n v="9"/>
    <n v="47189"/>
    <n v="347490.35820000002"/>
    <n v="15"/>
    <n v="50133"/>
    <n v="615282.30900000001"/>
    <m/>
    <m/>
    <n v="0"/>
    <m/>
    <m/>
    <n v="0"/>
    <m/>
    <m/>
    <n v="0"/>
    <m/>
    <m/>
    <n v="0"/>
  </r>
  <r>
    <x v="15"/>
    <s v="Pierpont Community &amp; Technical College"/>
    <s v="Met criteria for Two-Year 2 in 2010-11 and 2011-12."/>
    <n v="443492"/>
    <x v="8"/>
    <n v="4"/>
    <n v="70135"/>
    <n v="280540"/>
    <n v="3"/>
    <n v="73844"/>
    <n v="221532"/>
    <n v="4"/>
    <n v="54143"/>
    <n v="216572"/>
    <n v="3"/>
    <n v="49692"/>
    <n v="149076"/>
    <n v="29"/>
    <n v="48554"/>
    <n v="1408066"/>
    <n v="28"/>
    <n v="50162"/>
    <n v="1404536"/>
    <n v="12"/>
    <n v="45014"/>
    <n v="540168"/>
    <n v="13"/>
    <n v="44795"/>
    <n v="582335"/>
    <m/>
    <m/>
    <n v="0"/>
    <n v="2"/>
    <n v="41670"/>
    <n v="83340"/>
    <m/>
    <m/>
    <n v="0"/>
    <m/>
    <m/>
    <n v="0"/>
    <n v="4"/>
    <n v="98217"/>
    <n v="321444.59760000004"/>
    <n v="4"/>
    <n v="101799"/>
    <n v="333167.7672"/>
    <m/>
    <m/>
    <n v="0"/>
    <n v="1"/>
    <n v="58332"/>
    <n v="47727.242400000003"/>
    <n v="3"/>
    <n v="58671"/>
    <n v="144013.83660000001"/>
    <n v="4"/>
    <n v="59214"/>
    <n v="193795.57920000001"/>
    <n v="6"/>
    <n v="53942"/>
    <n v="264812.06640000001"/>
    <n v="5"/>
    <n v="53428"/>
    <n v="218573.948"/>
    <m/>
    <m/>
    <n v="0"/>
    <m/>
    <m/>
    <n v="0"/>
    <m/>
    <m/>
    <n v="0"/>
    <m/>
    <m/>
    <n v="0"/>
  </r>
  <r>
    <x v="15"/>
    <s v="Southern West Virginia Community &amp; Technical College "/>
    <m/>
    <n v="237817"/>
    <x v="8"/>
    <n v="18"/>
    <n v="60295"/>
    <n v="1085310"/>
    <n v="19"/>
    <n v="59816"/>
    <n v="1136504"/>
    <n v="11"/>
    <n v="48425"/>
    <n v="532675"/>
    <n v="13"/>
    <n v="48380"/>
    <n v="628940"/>
    <n v="19"/>
    <n v="40668"/>
    <n v="772692"/>
    <n v="23"/>
    <n v="41376"/>
    <n v="951648"/>
    <n v="27"/>
    <n v="33769"/>
    <n v="911763"/>
    <n v="18"/>
    <n v="32811"/>
    <n v="590598"/>
    <m/>
    <m/>
    <n v="0"/>
    <m/>
    <m/>
    <n v="0"/>
    <m/>
    <m/>
    <n v="0"/>
    <m/>
    <m/>
    <n v="0"/>
    <m/>
    <m/>
    <n v="0"/>
    <m/>
    <m/>
    <n v="0"/>
    <m/>
    <m/>
    <n v="0"/>
    <m/>
    <m/>
    <n v="0"/>
    <m/>
    <m/>
    <n v="0"/>
    <m/>
    <m/>
    <n v="0"/>
    <n v="1"/>
    <n v="39408"/>
    <n v="32243.625600000003"/>
    <n v="1"/>
    <n v="39698"/>
    <n v="32480.903600000001"/>
    <m/>
    <m/>
    <n v="0"/>
    <m/>
    <m/>
    <n v="0"/>
    <m/>
    <m/>
    <n v="0"/>
    <m/>
    <m/>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25" dataOnRows="1" applyNumberFormats="0" applyBorderFormats="0" applyFontFormats="0" applyPatternFormats="0" applyAlignmentFormats="0" applyWidthHeightFormats="1" dataCaption="Data" updatedVersion="4" minRefreshableVersion="3" asteriskTotals="1" showMemberPropertyTips="0" preserveFormatting="0" colGrandTotals="0" itemPrintTitles="1" createdVersion="3" indent="0" compact="0" compactData="0" gridDropZones="1">
  <location ref="A3:R362" firstHeaderRow="1" firstDataRow="3" firstDataCol="2"/>
  <pivotFields count="115">
    <pivotField axis="axisRow" compact="0" outline="0" subtotalTop="0" showAll="0" includeNewItemsInFilter="1">
      <items count="19">
        <item x="0"/>
        <item x="1"/>
        <item x="2"/>
        <item x="3"/>
        <item x="4"/>
        <item x="5"/>
        <item x="6"/>
        <item x="7"/>
        <item x="8"/>
        <item x="9"/>
        <item x="10"/>
        <item x="11"/>
        <item x="12"/>
        <item x="13"/>
        <item x="14"/>
        <item x="15"/>
        <item m="1" x="17"/>
        <item m="1" x="16"/>
        <item t="default"/>
      </items>
    </pivotField>
    <pivotField compact="0" outline="0" subtotalTop="0" showAll="0" includeNewItemsInFilter="1"/>
    <pivotField compact="0" outline="0" showAll="0" defaultSubtotal="0"/>
    <pivotField compact="0" outline="0" subtotalTop="0" showAll="0" includeNewItemsInFilter="1"/>
    <pivotField axis="axisCol" compact="0" numFmtId="164" outline="0" subtotalTop="0" showAll="0" includeNewItemsInFilter="1" sortType="ascending">
      <items count="17">
        <item x="0"/>
        <item x="1"/>
        <item x="2"/>
        <item x="3"/>
        <item x="4"/>
        <item x="5"/>
        <item x="11"/>
        <item x="6"/>
        <item x="7"/>
        <item x="8"/>
        <item x="13"/>
        <item x="9"/>
        <item x="10"/>
        <item m="1" x="14"/>
        <item h="1" m="1" x="15"/>
        <item h="1" x="12"/>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compact="0" outline="0" subtotalTop="0" dragToRow="0" dragToCol="0" dragToPage="0" showAll="0" includeNewItemsInFilter="1" defaultSubtotal="0"/>
    <pivotField dataField="1" compact="0" outline="0" subtotalTop="0" dragToRow="0" dragToCol="0" dragToPage="0" showAll="0" includeNewItemsInFilter="1" defaultSubtotal="0"/>
    <pivotField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axis="axisCol" subtotalCaption="All" compact="0" outline="0" subtotalTop="0" showAll="0" includeNewItemsInFilter="1">
      <items count="6">
        <item n="Four-Year" x="3"/>
        <item n="Two-Year" x="4"/>
        <item n="Technical" x="1"/>
        <item h="1" x="0"/>
        <item h="1" x="2"/>
        <item t="default"/>
      </items>
    </pivotField>
    <pivotField dataField="1"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subtotalTop="0" dragToRow="0" dragToCol="0" dragToPage="0" showAll="0" includeNewItemsInFilter="1" defaultSubtotal="0"/>
  </pivotFields>
  <rowFields count="2">
    <field x="0"/>
    <field x="-2"/>
  </rowFields>
  <rowItems count="357">
    <i>
      <x/>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x v="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x v="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x v="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x v="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x v="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x v="6"/>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x v="7"/>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x v="8"/>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x v="9"/>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x v="10"/>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x v="1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x v="1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x v="1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x v="1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x v="1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t="grand">
      <x/>
    </i>
    <i t="grand" i="1">
      <x/>
    </i>
    <i t="grand" i="2">
      <x/>
    </i>
    <i t="grand" i="3">
      <x/>
    </i>
    <i t="grand" i="4">
      <x/>
    </i>
    <i t="grand" i="5">
      <x/>
    </i>
    <i t="grand" i="6">
      <x/>
    </i>
    <i t="grand" i="7">
      <x/>
    </i>
    <i t="grand" i="8">
      <x/>
    </i>
    <i t="grand" i="9">
      <x/>
    </i>
    <i t="grand" i="10">
      <x/>
    </i>
    <i t="grand" i="11">
      <x/>
    </i>
    <i t="grand" i="12">
      <x/>
    </i>
    <i t="grand" i="13">
      <x/>
    </i>
    <i t="grand" i="14">
      <x/>
    </i>
    <i t="grand" i="15">
      <x/>
    </i>
    <i t="grand" i="16">
      <x/>
    </i>
    <i t="grand" i="17">
      <x/>
    </i>
    <i t="grand" i="18">
      <x/>
    </i>
    <i t="grand" i="19">
      <x/>
    </i>
    <i t="grand" i="20">
      <x/>
    </i>
  </rowItems>
  <colFields count="2">
    <field x="99"/>
    <field x="4"/>
  </colFields>
  <colItems count="16">
    <i>
      <x/>
      <x/>
    </i>
    <i r="1">
      <x v="1"/>
    </i>
    <i r="1">
      <x v="2"/>
    </i>
    <i r="1">
      <x v="3"/>
    </i>
    <i r="1">
      <x v="4"/>
    </i>
    <i r="1">
      <x v="5"/>
    </i>
    <i t="default">
      <x/>
    </i>
    <i>
      <x v="1"/>
      <x v="6"/>
    </i>
    <i r="1">
      <x v="7"/>
    </i>
    <i r="1">
      <x v="8"/>
    </i>
    <i r="1">
      <x v="9"/>
    </i>
    <i r="1">
      <x v="10"/>
    </i>
    <i t="default">
      <x v="1"/>
    </i>
    <i>
      <x v="2"/>
      <x v="11"/>
    </i>
    <i r="1">
      <x v="12"/>
    </i>
    <i t="default">
      <x v="2"/>
    </i>
  </colItems>
  <dataFields count="21">
    <dataField name=" Old Prof avg" fld="77" baseField="0" baseItem="0" numFmtId="3"/>
    <dataField name=" New Prof avg" fld="100" baseField="0" baseItem="0" numFmtId="3"/>
    <dataField name=" % change Prof" fld="92" baseField="0" baseItem="0" numFmtId="164"/>
    <dataField name=" Old Asc. avg" fld="78" baseField="0" baseItem="0" numFmtId="164"/>
    <dataField name=" New Asc. avg" fld="79" baseField="0" baseItem="0" numFmtId="164"/>
    <dataField name=" % change Asc. Prof" fld="93" baseField="0" baseItem="0" numFmtId="164"/>
    <dataField name=" Old Ast. avg" fld="80" baseField="0" baseItem="0" numFmtId="164"/>
    <dataField name=" New Ast. avg" fld="81" baseField="0" baseItem="0" numFmtId="164"/>
    <dataField name=" % change Ast. Prof" fld="94" baseField="0" baseItem="0" numFmtId="164"/>
    <dataField name=" Old Inst. avg" fld="82" baseField="0" baseItem="0" numFmtId="164"/>
    <dataField name=" New Inst. avg" fld="83" baseField="0" baseItem="0" numFmtId="164"/>
    <dataField name=" % change Instr avg" fld="95" baseField="0" baseItem="0" numFmtId="164"/>
    <dataField name=" Old Undesg. avg" fld="84" baseField="0" baseItem="0" numFmtId="164"/>
    <dataField name=" New Undesg. avg" fld="85" baseField="0" baseItem="0" numFmtId="164"/>
    <dataField name=" % change Undesg avg" fld="96" baseField="0" baseItem="0" numFmtId="164"/>
    <dataField name=" Old Single Rnk avg" fld="86" baseField="0" baseItem="0" numFmtId="164"/>
    <dataField name=" New Single Rnk avg" fld="87" baseField="0" baseItem="0" numFmtId="164"/>
    <dataField name=" % change Single Rnk avg" fld="97" baseField="0" baseItem="0" numFmtId="164"/>
    <dataField name=" Old All Ranks avg" fld="89" baseField="0" baseItem="0" numFmtId="164"/>
    <dataField name=" New All Ranks avg" fld="91" baseField="0" baseItem="0" numFmtId="3"/>
    <dataField name=" % change All Ranks avg" fld="98" baseField="0" baseItem="0" numFmtId="3"/>
  </dataFields>
  <pivotTableStyleInfo showRowHeaders="1" showColHeaders="1" showRowStripes="0" showColStripes="0" showLastColumn="1"/>
</pivotTableDefinition>
</file>

<file path=xl/pivotTables/pivotTable2.xml><?xml version="1.0" encoding="utf-8"?>
<pivotTableDefinition xmlns="http://schemas.openxmlformats.org/spreadsheetml/2006/main" name="PivotTable1" cacheId="25" dataOnRows="1" applyNumberFormats="0" applyBorderFormats="0" applyFontFormats="0" applyPatternFormats="0" applyAlignmentFormats="0" applyWidthHeightFormats="1" dataCaption="Data" updatedVersion="4" minRefreshableVersion="3" asteriskTotals="1" showMemberPropertyTips="0" useAutoFormatting="1" itemPrintTitles="1" createdVersion="3" indent="0" compact="0" compactData="0" gridDropZones="1">
  <location ref="A3:U124" firstHeaderRow="1" firstDataRow="3" firstDataCol="2"/>
  <pivotFields count="115">
    <pivotField axis="axisRow" compact="0" outline="0" subtotalTop="0" showAll="0" includeNewItemsInFilter="1">
      <items count="19">
        <item x="0"/>
        <item x="1"/>
        <item x="2"/>
        <item x="3"/>
        <item x="4"/>
        <item x="5"/>
        <item x="6"/>
        <item x="7"/>
        <item x="8"/>
        <item x="9"/>
        <item x="10"/>
        <item x="11"/>
        <item x="12"/>
        <item x="13"/>
        <item x="14"/>
        <item x="15"/>
        <item m="1" x="17"/>
        <item m="1" x="16"/>
        <item t="default"/>
      </items>
    </pivotField>
    <pivotField compact="0" outline="0" subtotalTop="0" showAll="0" includeNewItemsInFilter="1"/>
    <pivotField compact="0" outline="0" showAll="0" defaultSubtotal="0"/>
    <pivotField compact="0" outline="0" subtotalTop="0" showAll="0" includeNewItemsInFilter="1"/>
    <pivotField axis="axisCol" compact="0" numFmtId="164" outline="0" subtotalTop="0" showAll="0" includeNewItemsInFilter="1">
      <items count="17">
        <item x="0"/>
        <item x="1"/>
        <item x="2"/>
        <item x="3"/>
        <item x="4"/>
        <item x="5"/>
        <item x="11"/>
        <item x="6"/>
        <item x="7"/>
        <item x="8"/>
        <item x="13"/>
        <item x="9"/>
        <item x="10"/>
        <item m="1" x="15"/>
        <item m="1" x="14"/>
        <item x="12"/>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axis="axisCol" subtotalCaption="Sub-total" compact="0" outline="0" subtotalTop="0" showAll="0" includeNewItemsInFilter="1">
      <items count="6">
        <item n="Four-Year" x="3"/>
        <item n="Two-Year" x="4"/>
        <item n="Technical Institutes" x="1"/>
        <item x="0"/>
        <item x="2"/>
        <item t="default"/>
      </items>
    </pivotField>
    <pivotField compact="0" outline="0" subtotalTop="0" dragToRow="0" dragToCol="0" dragToPage="0" showAll="0" includeNewItemsInFilter="1" defaultSubtotal="0"/>
    <pivotField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s>
  <rowFields count="2">
    <field x="0"/>
    <field x="-2"/>
  </rowFields>
  <rowItems count="119">
    <i>
      <x/>
      <x/>
    </i>
    <i r="1" i="1">
      <x v="1"/>
    </i>
    <i r="1" i="2">
      <x v="2"/>
    </i>
    <i r="1" i="3">
      <x v="3"/>
    </i>
    <i r="1" i="4">
      <x v="4"/>
    </i>
    <i r="1" i="5">
      <x v="5"/>
    </i>
    <i r="1" i="6">
      <x v="6"/>
    </i>
    <i>
      <x v="1"/>
      <x/>
    </i>
    <i r="1" i="1">
      <x v="1"/>
    </i>
    <i r="1" i="2">
      <x v="2"/>
    </i>
    <i r="1" i="3">
      <x v="3"/>
    </i>
    <i r="1" i="4">
      <x v="4"/>
    </i>
    <i r="1" i="5">
      <x v="5"/>
    </i>
    <i r="1" i="6">
      <x v="6"/>
    </i>
    <i>
      <x v="2"/>
      <x/>
    </i>
    <i r="1" i="1">
      <x v="1"/>
    </i>
    <i r="1" i="2">
      <x v="2"/>
    </i>
    <i r="1" i="3">
      <x v="3"/>
    </i>
    <i r="1" i="4">
      <x v="4"/>
    </i>
    <i r="1" i="5">
      <x v="5"/>
    </i>
    <i r="1" i="6">
      <x v="6"/>
    </i>
    <i>
      <x v="3"/>
      <x/>
    </i>
    <i r="1" i="1">
      <x v="1"/>
    </i>
    <i r="1" i="2">
      <x v="2"/>
    </i>
    <i r="1" i="3">
      <x v="3"/>
    </i>
    <i r="1" i="4">
      <x v="4"/>
    </i>
    <i r="1" i="5">
      <x v="5"/>
    </i>
    <i r="1" i="6">
      <x v="6"/>
    </i>
    <i>
      <x v="4"/>
      <x/>
    </i>
    <i r="1" i="1">
      <x v="1"/>
    </i>
    <i r="1" i="2">
      <x v="2"/>
    </i>
    <i r="1" i="3">
      <x v="3"/>
    </i>
    <i r="1" i="4">
      <x v="4"/>
    </i>
    <i r="1" i="5">
      <x v="5"/>
    </i>
    <i r="1" i="6">
      <x v="6"/>
    </i>
    <i>
      <x v="5"/>
      <x/>
    </i>
    <i r="1" i="1">
      <x v="1"/>
    </i>
    <i r="1" i="2">
      <x v="2"/>
    </i>
    <i r="1" i="3">
      <x v="3"/>
    </i>
    <i r="1" i="4">
      <x v="4"/>
    </i>
    <i r="1" i="5">
      <x v="5"/>
    </i>
    <i r="1" i="6">
      <x v="6"/>
    </i>
    <i>
      <x v="6"/>
      <x/>
    </i>
    <i r="1" i="1">
      <x v="1"/>
    </i>
    <i r="1" i="2">
      <x v="2"/>
    </i>
    <i r="1" i="3">
      <x v="3"/>
    </i>
    <i r="1" i="4">
      <x v="4"/>
    </i>
    <i r="1" i="5">
      <x v="5"/>
    </i>
    <i r="1" i="6">
      <x v="6"/>
    </i>
    <i>
      <x v="7"/>
      <x/>
    </i>
    <i r="1" i="1">
      <x v="1"/>
    </i>
    <i r="1" i="2">
      <x v="2"/>
    </i>
    <i r="1" i="3">
      <x v="3"/>
    </i>
    <i r="1" i="4">
      <x v="4"/>
    </i>
    <i r="1" i="5">
      <x v="5"/>
    </i>
    <i r="1" i="6">
      <x v="6"/>
    </i>
    <i>
      <x v="8"/>
      <x/>
    </i>
    <i r="1" i="1">
      <x v="1"/>
    </i>
    <i r="1" i="2">
      <x v="2"/>
    </i>
    <i r="1" i="3">
      <x v="3"/>
    </i>
    <i r="1" i="4">
      <x v="4"/>
    </i>
    <i r="1" i="5">
      <x v="5"/>
    </i>
    <i r="1" i="6">
      <x v="6"/>
    </i>
    <i>
      <x v="9"/>
      <x/>
    </i>
    <i r="1" i="1">
      <x v="1"/>
    </i>
    <i r="1" i="2">
      <x v="2"/>
    </i>
    <i r="1" i="3">
      <x v="3"/>
    </i>
    <i r="1" i="4">
      <x v="4"/>
    </i>
    <i r="1" i="5">
      <x v="5"/>
    </i>
    <i r="1" i="6">
      <x v="6"/>
    </i>
    <i>
      <x v="10"/>
      <x/>
    </i>
    <i r="1" i="1">
      <x v="1"/>
    </i>
    <i r="1" i="2">
      <x v="2"/>
    </i>
    <i r="1" i="3">
      <x v="3"/>
    </i>
    <i r="1" i="4">
      <x v="4"/>
    </i>
    <i r="1" i="5">
      <x v="5"/>
    </i>
    <i r="1" i="6">
      <x v="6"/>
    </i>
    <i>
      <x v="11"/>
      <x/>
    </i>
    <i r="1" i="1">
      <x v="1"/>
    </i>
    <i r="1" i="2">
      <x v="2"/>
    </i>
    <i r="1" i="3">
      <x v="3"/>
    </i>
    <i r="1" i="4">
      <x v="4"/>
    </i>
    <i r="1" i="5">
      <x v="5"/>
    </i>
    <i r="1" i="6">
      <x v="6"/>
    </i>
    <i>
      <x v="12"/>
      <x/>
    </i>
    <i r="1" i="1">
      <x v="1"/>
    </i>
    <i r="1" i="2">
      <x v="2"/>
    </i>
    <i r="1" i="3">
      <x v="3"/>
    </i>
    <i r="1" i="4">
      <x v="4"/>
    </i>
    <i r="1" i="5">
      <x v="5"/>
    </i>
    <i r="1" i="6">
      <x v="6"/>
    </i>
    <i>
      <x v="13"/>
      <x/>
    </i>
    <i r="1" i="1">
      <x v="1"/>
    </i>
    <i r="1" i="2">
      <x v="2"/>
    </i>
    <i r="1" i="3">
      <x v="3"/>
    </i>
    <i r="1" i="4">
      <x v="4"/>
    </i>
    <i r="1" i="5">
      <x v="5"/>
    </i>
    <i r="1" i="6">
      <x v="6"/>
    </i>
    <i>
      <x v="14"/>
      <x/>
    </i>
    <i r="1" i="1">
      <x v="1"/>
    </i>
    <i r="1" i="2">
      <x v="2"/>
    </i>
    <i r="1" i="3">
      <x v="3"/>
    </i>
    <i r="1" i="4">
      <x v="4"/>
    </i>
    <i r="1" i="5">
      <x v="5"/>
    </i>
    <i r="1" i="6">
      <x v="6"/>
    </i>
    <i>
      <x v="15"/>
      <x/>
    </i>
    <i r="1" i="1">
      <x v="1"/>
    </i>
    <i r="1" i="2">
      <x v="2"/>
    </i>
    <i r="1" i="3">
      <x v="3"/>
    </i>
    <i r="1" i="4">
      <x v="4"/>
    </i>
    <i r="1" i="5">
      <x v="5"/>
    </i>
    <i r="1" i="6">
      <x v="6"/>
    </i>
    <i t="grand">
      <x/>
    </i>
    <i t="grand" i="1">
      <x/>
    </i>
    <i t="grand" i="2">
      <x/>
    </i>
    <i t="grand" i="3">
      <x/>
    </i>
    <i t="grand" i="4">
      <x/>
    </i>
    <i t="grand" i="5">
      <x/>
    </i>
    <i t="grand" i="6">
      <x/>
    </i>
  </rowItems>
  <colFields count="2">
    <field x="99"/>
    <field x="4"/>
  </colFields>
  <colItems count="19">
    <i>
      <x/>
      <x/>
    </i>
    <i r="1">
      <x v="1"/>
    </i>
    <i r="1">
      <x v="2"/>
    </i>
    <i r="1">
      <x v="3"/>
    </i>
    <i r="1">
      <x v="4"/>
    </i>
    <i r="1">
      <x v="5"/>
    </i>
    <i t="default">
      <x/>
    </i>
    <i>
      <x v="1"/>
      <x v="6"/>
    </i>
    <i r="1">
      <x v="7"/>
    </i>
    <i r="1">
      <x v="8"/>
    </i>
    <i r="1">
      <x v="9"/>
    </i>
    <i r="1">
      <x v="10"/>
    </i>
    <i t="default">
      <x v="1"/>
    </i>
    <i>
      <x v="2"/>
      <x v="11"/>
    </i>
    <i r="1">
      <x v="12"/>
    </i>
    <i t="default">
      <x v="2"/>
    </i>
    <i>
      <x v="4"/>
      <x v="15"/>
    </i>
    <i t="default">
      <x v="4"/>
    </i>
    <i t="grand">
      <x/>
    </i>
  </colItems>
  <dataFields count="7">
    <dataField name=" Total # Prof New" fld="107" baseField="0" baseItem="0" numFmtId="3"/>
    <dataField name=" Tot # Asc. Prof New" fld="106" baseField="0" baseItem="0" numFmtId="164"/>
    <dataField name=" Tot # Ast. Prof New" fld="105" baseField="0" baseItem="0" numFmtId="164"/>
    <dataField name=" Tot # Instr. New" fld="104" baseField="0" baseItem="0" numFmtId="164"/>
    <dataField name=" Tot # Undes. New" fld="103" baseField="0" baseItem="0" numFmtId="164"/>
    <dataField name=" Tot # Single Rnk New" fld="102" baseField="0" baseItem="0" numFmtId="164"/>
    <dataField name=" All Ranks # New" fld="114" baseField="0" baseItem="0" numFmtId="164"/>
  </dataFields>
  <formats count="16">
    <format dxfId="24">
      <pivotArea type="origin" dataOnly="0" labelOnly="1" outline="0" fieldPosition="0"/>
    </format>
    <format dxfId="23">
      <pivotArea field="0" type="button" dataOnly="0" labelOnly="1" outline="0" axis="axisRow" fieldPosition="0"/>
    </format>
    <format dxfId="22">
      <pivotArea dataOnly="0" labelOnly="1" outline="0" fieldPosition="0">
        <references count="1">
          <reference field="0" count="0"/>
        </references>
      </pivotArea>
    </format>
    <format dxfId="21">
      <pivotArea type="all" dataOnly="0" outline="0" fieldPosition="0"/>
    </format>
    <format dxfId="20">
      <pivotArea type="all" dataOnly="0" outline="0" fieldPosition="0"/>
    </format>
    <format dxfId="19">
      <pivotArea outline="0" fieldPosition="0">
        <references count="1">
          <reference field="99" count="1" selected="0" defaultSubtotal="1">
            <x v="3"/>
          </reference>
        </references>
      </pivotArea>
    </format>
    <format dxfId="18">
      <pivotArea grandCol="1" outline="0" fieldPosition="0"/>
    </format>
    <format dxfId="17">
      <pivotArea type="topRight" dataOnly="0" labelOnly="1" outline="0" offset="Q1" fieldPosition="0"/>
    </format>
    <format dxfId="16">
      <pivotArea outline="0" fieldPosition="0">
        <references count="1">
          <reference field="4294967294" count="1">
            <x v="0"/>
          </reference>
        </references>
      </pivotArea>
    </format>
    <format dxfId="15">
      <pivotArea field="0" dataOnly="0" labelOnly="1" grandRow="1" outline="0" axis="axisRow" fieldPosition="0">
        <references count="1">
          <reference field="4294967294" count="1" selected="0">
            <x v="0"/>
          </reference>
        </references>
      </pivotArea>
    </format>
    <format dxfId="14">
      <pivotArea field="0" dataOnly="0" labelOnly="1" grandRow="1" outline="0" axis="axisRow" fieldPosition="0">
        <references count="1">
          <reference field="4294967294" count="1" selected="0">
            <x v="1"/>
          </reference>
        </references>
      </pivotArea>
    </format>
    <format dxfId="13">
      <pivotArea field="0" dataOnly="0" labelOnly="1" grandRow="1" outline="0" axis="axisRow" fieldPosition="0">
        <references count="1">
          <reference field="4294967294" count="1" selected="0">
            <x v="2"/>
          </reference>
        </references>
      </pivotArea>
    </format>
    <format dxfId="12">
      <pivotArea field="0" dataOnly="0" labelOnly="1" grandRow="1" outline="0" axis="axisRow" fieldPosition="0">
        <references count="1">
          <reference field="4294967294" count="1" selected="0">
            <x v="3"/>
          </reference>
        </references>
      </pivotArea>
    </format>
    <format dxfId="11">
      <pivotArea field="0" dataOnly="0" labelOnly="1" grandRow="1" outline="0" axis="axisRow" fieldPosition="0">
        <references count="1">
          <reference field="4294967294" count="1" selected="0">
            <x v="4"/>
          </reference>
        </references>
      </pivotArea>
    </format>
    <format dxfId="10">
      <pivotArea field="0" dataOnly="0" labelOnly="1" grandRow="1" outline="0" axis="axisRow" fieldPosition="0">
        <references count="1">
          <reference field="4294967294" count="1" selected="0">
            <x v="5"/>
          </reference>
        </references>
      </pivotArea>
    </format>
    <format dxfId="9">
      <pivotArea dataOnly="0" labelOnly="1" outline="0" offset="IV256" fieldPosition="0">
        <references count="1">
          <reference field="99" count="1">
            <x v="2"/>
          </reference>
        </references>
      </pivotArea>
    </format>
  </formats>
  <pivotTableStyleInfo showRowHeaders="1" showColHeaders="1" showRowStripes="0" showColStripes="0" showLastColumn="1"/>
</pivotTableDefinition>
</file>

<file path=xl/pivotTables/pivotTable3.xml><?xml version="1.0" encoding="utf-8"?>
<pivotTableDefinition xmlns="http://schemas.openxmlformats.org/spreadsheetml/2006/main" name="PivotTable1" cacheId="25" dataOnRows="1" applyNumberFormats="0" applyBorderFormats="0" applyFontFormats="0" applyPatternFormats="0" applyAlignmentFormats="0" applyWidthHeightFormats="1" dataCaption="Data" updatedVersion="4" minRefreshableVersion="3" asteriskTotals="1" showMemberPropertyTips="0" useAutoFormatting="1" itemPrintTitles="1" createdVersion="3" indent="0" compact="0" compactData="0" gridDropZones="1">
  <location ref="A3:S124" firstHeaderRow="1" firstDataRow="3" firstDataCol="2"/>
  <pivotFields count="115">
    <pivotField axis="axisRow" compact="0" outline="0" subtotalTop="0" showAll="0" includeNewItemsInFilter="1">
      <items count="19">
        <item x="0"/>
        <item x="1"/>
        <item x="2"/>
        <item x="3"/>
        <item x="4"/>
        <item x="5"/>
        <item x="6"/>
        <item x="7"/>
        <item x="8"/>
        <item x="9"/>
        <item x="10"/>
        <item x="11"/>
        <item x="12"/>
        <item x="13"/>
        <item x="14"/>
        <item x="15"/>
        <item m="1" x="16"/>
        <item m="1" x="17"/>
        <item t="default"/>
      </items>
    </pivotField>
    <pivotField compact="0" outline="0" subtotalTop="0" showAll="0" includeNewItemsInFilter="1"/>
    <pivotField compact="0" outline="0" showAll="0" defaultSubtotal="0"/>
    <pivotField compact="0" outline="0" subtotalTop="0" showAll="0" includeNewItemsInFilter="1"/>
    <pivotField axis="axisCol" compact="0" numFmtId="164" outline="0" subtotalTop="0" showAll="0" includeNewItemsInFilter="1">
      <items count="17">
        <item x="0"/>
        <item x="1"/>
        <item x="2"/>
        <item x="3"/>
        <item x="4"/>
        <item x="5"/>
        <item x="11"/>
        <item x="6"/>
        <item x="7"/>
        <item x="8"/>
        <item x="13"/>
        <item x="9"/>
        <item x="10"/>
        <item m="1" x="15"/>
        <item m="1" x="14"/>
        <item x="12"/>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axis="axisCol" subtotalCaption="Sub-total" compact="0" outline="0" subtotalTop="0" showAll="0" includeNewItemsInFilter="1">
      <items count="6">
        <item n="Four-Year" x="3"/>
        <item x="4"/>
        <item n="Technical Institutes" x="1"/>
        <item x="0"/>
        <item h="1" x="2"/>
        <item t="default"/>
      </items>
    </pivotField>
    <pivotField compact="0" outline="0" subtotalTop="0" dragToRow="0" dragToCol="0" dragToPage="0" showAll="0" includeNewItemsInFilter="1" defaultSubtotal="0"/>
    <pivotField dataField="1"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compact="0" outline="0" dragToRow="0" dragToCol="0" dragToPage="0" showAll="0" defaultSubtotal="0"/>
  </pivotFields>
  <rowFields count="2">
    <field x="0"/>
    <field x="-2"/>
  </rowFields>
  <rowItems count="119">
    <i>
      <x/>
      <x/>
    </i>
    <i r="1" i="1">
      <x v="1"/>
    </i>
    <i r="1" i="2">
      <x v="2"/>
    </i>
    <i r="1" i="3">
      <x v="3"/>
    </i>
    <i r="1" i="4">
      <x v="4"/>
    </i>
    <i r="1" i="5">
      <x v="5"/>
    </i>
    <i r="1" i="6">
      <x v="6"/>
    </i>
    <i>
      <x v="1"/>
      <x/>
    </i>
    <i r="1" i="1">
      <x v="1"/>
    </i>
    <i r="1" i="2">
      <x v="2"/>
    </i>
    <i r="1" i="3">
      <x v="3"/>
    </i>
    <i r="1" i="4">
      <x v="4"/>
    </i>
    <i r="1" i="5">
      <x v="5"/>
    </i>
    <i r="1" i="6">
      <x v="6"/>
    </i>
    <i>
      <x v="2"/>
      <x/>
    </i>
    <i r="1" i="1">
      <x v="1"/>
    </i>
    <i r="1" i="2">
      <x v="2"/>
    </i>
    <i r="1" i="3">
      <x v="3"/>
    </i>
    <i r="1" i="4">
      <x v="4"/>
    </i>
    <i r="1" i="5">
      <x v="5"/>
    </i>
    <i r="1" i="6">
      <x v="6"/>
    </i>
    <i>
      <x v="3"/>
      <x/>
    </i>
    <i r="1" i="1">
      <x v="1"/>
    </i>
    <i r="1" i="2">
      <x v="2"/>
    </i>
    <i r="1" i="3">
      <x v="3"/>
    </i>
    <i r="1" i="4">
      <x v="4"/>
    </i>
    <i r="1" i="5">
      <x v="5"/>
    </i>
    <i r="1" i="6">
      <x v="6"/>
    </i>
    <i>
      <x v="4"/>
      <x/>
    </i>
    <i r="1" i="1">
      <x v="1"/>
    </i>
    <i r="1" i="2">
      <x v="2"/>
    </i>
    <i r="1" i="3">
      <x v="3"/>
    </i>
    <i r="1" i="4">
      <x v="4"/>
    </i>
    <i r="1" i="5">
      <x v="5"/>
    </i>
    <i r="1" i="6">
      <x v="6"/>
    </i>
    <i>
      <x v="5"/>
      <x/>
    </i>
    <i r="1" i="1">
      <x v="1"/>
    </i>
    <i r="1" i="2">
      <x v="2"/>
    </i>
    <i r="1" i="3">
      <x v="3"/>
    </i>
    <i r="1" i="4">
      <x v="4"/>
    </i>
    <i r="1" i="5">
      <x v="5"/>
    </i>
    <i r="1" i="6">
      <x v="6"/>
    </i>
    <i>
      <x v="6"/>
      <x/>
    </i>
    <i r="1" i="1">
      <x v="1"/>
    </i>
    <i r="1" i="2">
      <x v="2"/>
    </i>
    <i r="1" i="3">
      <x v="3"/>
    </i>
    <i r="1" i="4">
      <x v="4"/>
    </i>
    <i r="1" i="5">
      <x v="5"/>
    </i>
    <i r="1" i="6">
      <x v="6"/>
    </i>
    <i>
      <x v="7"/>
      <x/>
    </i>
    <i r="1" i="1">
      <x v="1"/>
    </i>
    <i r="1" i="2">
      <x v="2"/>
    </i>
    <i r="1" i="3">
      <x v="3"/>
    </i>
    <i r="1" i="4">
      <x v="4"/>
    </i>
    <i r="1" i="5">
      <x v="5"/>
    </i>
    <i r="1" i="6">
      <x v="6"/>
    </i>
    <i>
      <x v="8"/>
      <x/>
    </i>
    <i r="1" i="1">
      <x v="1"/>
    </i>
    <i r="1" i="2">
      <x v="2"/>
    </i>
    <i r="1" i="3">
      <x v="3"/>
    </i>
    <i r="1" i="4">
      <x v="4"/>
    </i>
    <i r="1" i="5">
      <x v="5"/>
    </i>
    <i r="1" i="6">
      <x v="6"/>
    </i>
    <i>
      <x v="9"/>
      <x/>
    </i>
    <i r="1" i="1">
      <x v="1"/>
    </i>
    <i r="1" i="2">
      <x v="2"/>
    </i>
    <i r="1" i="3">
      <x v="3"/>
    </i>
    <i r="1" i="4">
      <x v="4"/>
    </i>
    <i r="1" i="5">
      <x v="5"/>
    </i>
    <i r="1" i="6">
      <x v="6"/>
    </i>
    <i>
      <x v="10"/>
      <x/>
    </i>
    <i r="1" i="1">
      <x v="1"/>
    </i>
    <i r="1" i="2">
      <x v="2"/>
    </i>
    <i r="1" i="3">
      <x v="3"/>
    </i>
    <i r="1" i="4">
      <x v="4"/>
    </i>
    <i r="1" i="5">
      <x v="5"/>
    </i>
    <i r="1" i="6">
      <x v="6"/>
    </i>
    <i>
      <x v="11"/>
      <x/>
    </i>
    <i r="1" i="1">
      <x v="1"/>
    </i>
    <i r="1" i="2">
      <x v="2"/>
    </i>
    <i r="1" i="3">
      <x v="3"/>
    </i>
    <i r="1" i="4">
      <x v="4"/>
    </i>
    <i r="1" i="5">
      <x v="5"/>
    </i>
    <i r="1" i="6">
      <x v="6"/>
    </i>
    <i>
      <x v="12"/>
      <x/>
    </i>
    <i r="1" i="1">
      <x v="1"/>
    </i>
    <i r="1" i="2">
      <x v="2"/>
    </i>
    <i r="1" i="3">
      <x v="3"/>
    </i>
    <i r="1" i="4">
      <x v="4"/>
    </i>
    <i r="1" i="5">
      <x v="5"/>
    </i>
    <i r="1" i="6">
      <x v="6"/>
    </i>
    <i>
      <x v="13"/>
      <x/>
    </i>
    <i r="1" i="1">
      <x v="1"/>
    </i>
    <i r="1" i="2">
      <x v="2"/>
    </i>
    <i r="1" i="3">
      <x v="3"/>
    </i>
    <i r="1" i="4">
      <x v="4"/>
    </i>
    <i r="1" i="5">
      <x v="5"/>
    </i>
    <i r="1" i="6">
      <x v="6"/>
    </i>
    <i>
      <x v="14"/>
      <x/>
    </i>
    <i r="1" i="1">
      <x v="1"/>
    </i>
    <i r="1" i="2">
      <x v="2"/>
    </i>
    <i r="1" i="3">
      <x v="3"/>
    </i>
    <i r="1" i="4">
      <x v="4"/>
    </i>
    <i r="1" i="5">
      <x v="5"/>
    </i>
    <i r="1" i="6">
      <x v="6"/>
    </i>
    <i>
      <x v="15"/>
      <x/>
    </i>
    <i r="1" i="1">
      <x v="1"/>
    </i>
    <i r="1" i="2">
      <x v="2"/>
    </i>
    <i r="1" i="3">
      <x v="3"/>
    </i>
    <i r="1" i="4">
      <x v="4"/>
    </i>
    <i r="1" i="5">
      <x v="5"/>
    </i>
    <i r="1" i="6">
      <x v="6"/>
    </i>
    <i t="grand">
      <x/>
    </i>
    <i t="grand" i="1">
      <x/>
    </i>
    <i t="grand" i="2">
      <x/>
    </i>
    <i t="grand" i="3">
      <x/>
    </i>
    <i t="grand" i="4">
      <x/>
    </i>
    <i t="grand" i="5">
      <x/>
    </i>
    <i t="grand" i="6">
      <x/>
    </i>
  </rowItems>
  <colFields count="2">
    <field x="99"/>
    <field x="4"/>
  </colFields>
  <colItems count="17">
    <i>
      <x/>
      <x/>
    </i>
    <i r="1">
      <x v="1"/>
    </i>
    <i r="1">
      <x v="2"/>
    </i>
    <i r="1">
      <x v="3"/>
    </i>
    <i r="1">
      <x v="4"/>
    </i>
    <i r="1">
      <x v="5"/>
    </i>
    <i t="default">
      <x/>
    </i>
    <i>
      <x v="1"/>
      <x v="6"/>
    </i>
    <i r="1">
      <x v="7"/>
    </i>
    <i r="1">
      <x v="8"/>
    </i>
    <i r="1">
      <x v="9"/>
    </i>
    <i r="1">
      <x v="10"/>
    </i>
    <i t="default">
      <x v="1"/>
    </i>
    <i>
      <x v="2"/>
      <x v="11"/>
    </i>
    <i r="1">
      <x v="12"/>
    </i>
    <i t="default">
      <x v="2"/>
    </i>
    <i t="grand">
      <x/>
    </i>
  </colItems>
  <dataFields count="7">
    <dataField name=" Total # Prof Old" fld="113" baseField="0" baseItem="0" numFmtId="164"/>
    <dataField name=" Tot # Asc. Prof Old" fld="112" baseField="0" baseItem="0" numFmtId="164"/>
    <dataField name=" Tot # Ast. Prof Old" fld="111" baseField="0" baseItem="0" numFmtId="164"/>
    <dataField name=" Tot # Instr. Old" fld="110" baseField="0" baseItem="0" numFmtId="164"/>
    <dataField name=" Tot # Undes. Old" fld="109" baseField="0" baseItem="0" numFmtId="164"/>
    <dataField name=" Tot # Single Rnk Old" fld="108" baseField="0" baseItem="0" numFmtId="164"/>
    <dataField name=" All Ranks # Old" fld="101" baseField="0" baseItem="0" numFmtId="164"/>
  </dataFields>
  <formats count="9">
    <format dxfId="8">
      <pivotArea type="origin" dataOnly="0" labelOnly="1" outline="0" fieldPosition="0"/>
    </format>
    <format dxfId="7">
      <pivotArea field="0" type="button" dataOnly="0" labelOnly="1" outline="0" axis="axisRow" fieldPosition="0"/>
    </format>
    <format dxfId="6">
      <pivotArea dataOnly="0" labelOnly="1" outline="0" fieldPosition="0">
        <references count="1">
          <reference field="0" count="0"/>
        </references>
      </pivotArea>
    </format>
    <format dxfId="5">
      <pivotArea type="all" dataOnly="0" outline="0" fieldPosition="0"/>
    </format>
    <format dxfId="4">
      <pivotArea type="all" dataOnly="0" outline="0" fieldPosition="0"/>
    </format>
    <format dxfId="3">
      <pivotArea outline="0" fieldPosition="0">
        <references count="1">
          <reference field="99" count="1" selected="0" defaultSubtotal="1">
            <x v="3"/>
          </reference>
        </references>
      </pivotArea>
    </format>
    <format dxfId="2">
      <pivotArea grandCol="1" outline="0" fieldPosition="0"/>
    </format>
    <format dxfId="1">
      <pivotArea type="topRight" dataOnly="0" labelOnly="1" outline="0" offset="Q1" fieldPosition="0"/>
    </format>
    <format dxfId="0">
      <pivotArea type="all" dataOnly="0" outline="0" fieldPosition="0"/>
    </format>
  </format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ivotTable" Target="../pivotTables/pivotTable2.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tabColor indexed="16"/>
  </sheetPr>
  <dimension ref="A1:H26"/>
  <sheetViews>
    <sheetView showGridLines="0" showZeros="0" view="pageLayout" zoomScaleNormal="70" zoomScaleSheetLayoutView="100" workbookViewId="0">
      <selection activeCell="H26" sqref="H26"/>
    </sheetView>
  </sheetViews>
  <sheetFormatPr defaultColWidth="9" defaultRowHeight="15" x14ac:dyDescent="0.2"/>
  <cols>
    <col min="1" max="1" width="33.375" style="7" customWidth="1"/>
    <col min="2" max="2" width="9" style="7"/>
    <col min="3" max="3" width="11.125" style="7" customWidth="1"/>
    <col min="4" max="4" width="10.625" style="99" customWidth="1"/>
    <col min="5" max="5" width="10.125" style="99" customWidth="1"/>
    <col min="6" max="6" width="13.25" style="99" customWidth="1"/>
    <col min="7" max="7" width="8.625" style="99" customWidth="1"/>
    <col min="8" max="8" width="9.125" style="7" customWidth="1"/>
    <col min="9" max="16384" width="9" style="7"/>
  </cols>
  <sheetData>
    <row r="1" spans="1:8" s="99" customFormat="1" ht="18" x14ac:dyDescent="0.25">
      <c r="A1" s="544" t="s">
        <v>323</v>
      </c>
      <c r="B1" s="544"/>
      <c r="C1" s="544"/>
      <c r="D1" s="544"/>
      <c r="E1" s="544"/>
      <c r="F1" s="544"/>
      <c r="G1" s="544"/>
      <c r="H1" s="544"/>
    </row>
    <row r="2" spans="1:8" ht="15.75" customHeight="1" x14ac:dyDescent="0.2">
      <c r="A2" s="2"/>
      <c r="B2" s="3"/>
      <c r="C2" s="3"/>
      <c r="D2" s="92"/>
      <c r="E2" s="92"/>
      <c r="F2" s="92"/>
      <c r="G2" s="92"/>
      <c r="H2" s="3"/>
    </row>
    <row r="3" spans="1:8" ht="15.75" x14ac:dyDescent="0.25">
      <c r="A3" s="664" t="s">
        <v>188</v>
      </c>
      <c r="B3" s="664"/>
      <c r="C3" s="664"/>
      <c r="D3" s="664"/>
      <c r="E3" s="664"/>
      <c r="F3" s="664"/>
      <c r="G3" s="664"/>
      <c r="H3" s="664"/>
    </row>
    <row r="4" spans="1:8" ht="15.75" x14ac:dyDescent="0.25">
      <c r="A4" s="664" t="s">
        <v>1072</v>
      </c>
      <c r="B4" s="664"/>
      <c r="C4" s="664"/>
      <c r="D4" s="664"/>
      <c r="E4" s="664"/>
      <c r="F4" s="664"/>
      <c r="G4" s="664"/>
      <c r="H4" s="664"/>
    </row>
    <row r="5" spans="1:8" ht="15.75" customHeight="1" x14ac:dyDescent="0.2">
      <c r="A5" s="4"/>
      <c r="B5" s="4"/>
      <c r="C5" s="4"/>
      <c r="D5" s="93"/>
      <c r="E5" s="93"/>
      <c r="F5" s="93"/>
      <c r="G5" s="93"/>
      <c r="H5" s="4"/>
    </row>
    <row r="6" spans="1:8" ht="15.75" customHeight="1" x14ac:dyDescent="0.2">
      <c r="A6" s="21"/>
      <c r="B6" s="22"/>
      <c r="C6" s="22" t="s">
        <v>189</v>
      </c>
      <c r="D6" s="94" t="s">
        <v>190</v>
      </c>
      <c r="E6" s="94"/>
      <c r="F6" s="94" t="s">
        <v>89</v>
      </c>
      <c r="G6" s="94" t="s">
        <v>191</v>
      </c>
      <c r="H6" s="22" t="s">
        <v>192</v>
      </c>
    </row>
    <row r="7" spans="1:8" ht="15.75" customHeight="1" x14ac:dyDescent="0.2">
      <c r="A7" s="23"/>
      <c r="B7" s="24" t="s">
        <v>99</v>
      </c>
      <c r="C7" s="24" t="s">
        <v>99</v>
      </c>
      <c r="D7" s="95" t="s">
        <v>99</v>
      </c>
      <c r="E7" s="95" t="s">
        <v>102</v>
      </c>
      <c r="F7" s="95" t="s">
        <v>83</v>
      </c>
      <c r="G7" s="95" t="s">
        <v>193</v>
      </c>
      <c r="H7" s="24" t="s">
        <v>194</v>
      </c>
    </row>
    <row r="8" spans="1:8" ht="15" customHeight="1" x14ac:dyDescent="0.2">
      <c r="A8" s="5" t="s">
        <v>195</v>
      </c>
      <c r="B8" s="89">
        <f>+GETPIVOTDATA(" New Prof avg",'Averages Pivot Table'!$A$3,"Category",1,"Category2","Four-Year")</f>
        <v>119877.00637343113</v>
      </c>
      <c r="C8" s="89">
        <f>+GETPIVOTDATA(" New Asc. avg",'Averages Pivot Table'!$A$3,"Category",1,"Category2","Four-Year")</f>
        <v>82057.452621598015</v>
      </c>
      <c r="D8" s="96">
        <f>+GETPIVOTDATA(" New Ast. avg",'Averages Pivot Table'!$A$3,"Category",1,"Category2","Four-Year")</f>
        <v>71402.615661085569</v>
      </c>
      <c r="E8" s="96">
        <f>+GETPIVOTDATA(" New Inst. avg",'Averages Pivot Table'!$A$3,"Category",1,"Category2","Four-Year")</f>
        <v>47291.321416134851</v>
      </c>
      <c r="F8" s="96">
        <f>+GETPIVOTDATA(" New Undesg. avg",'Averages Pivot Table'!$A$3,"Category",1,"Category2","Four-Year")</f>
        <v>53514.024730565696</v>
      </c>
      <c r="G8" s="96">
        <f>+GETPIVOTDATA(" New Single Rnk avg",'Averages Pivot Table'!$A$3,"Category",1,"Category2","Four-Year")</f>
        <v>0</v>
      </c>
      <c r="H8" s="89">
        <f>+GETPIVOTDATA(" New All Ranks avg",'Averages Pivot Table'!$A$3,"Category",1,"Category2","Four-Year")</f>
        <v>86699.35395035884</v>
      </c>
    </row>
    <row r="9" spans="1:8" ht="15" customHeight="1" x14ac:dyDescent="0.2">
      <c r="A9" s="5" t="s">
        <v>196</v>
      </c>
      <c r="B9" s="87">
        <f>+GETPIVOTDATA(" New Prof avg",'Averages Pivot Table'!$A$3,"Category",2,"Category2","Four-Year")</f>
        <v>109519.634238659</v>
      </c>
      <c r="C9" s="87">
        <f>+GETPIVOTDATA(" New Asc. avg",'Averages Pivot Table'!$A$3,"Category",2,"Category2","Four-Year")</f>
        <v>77660.744045842541</v>
      </c>
      <c r="D9" s="97">
        <f>+GETPIVOTDATA(" New Ast. avg",'Averages Pivot Table'!$A$3,"Category",2,"Category2","Four-Year")</f>
        <v>66083.798306091034</v>
      </c>
      <c r="E9" s="97">
        <f>+GETPIVOTDATA(" New Inst. avg",'Averages Pivot Table'!$A$3,"Category",2,"Category2","Four-Year")</f>
        <v>44516.956195719846</v>
      </c>
      <c r="F9" s="97">
        <f>+GETPIVOTDATA(" New Undesg. avg",'Averages Pivot Table'!$A$3,"Category",2,"Category2","Four-Year")</f>
        <v>47368.499564088001</v>
      </c>
      <c r="G9" s="97">
        <f>+GETPIVOTDATA(" New Single Rnk avg",'Averages Pivot Table'!$A$3,"Category",2,"Category2","Four-Year")</f>
        <v>0</v>
      </c>
      <c r="H9" s="87">
        <f>+GETPIVOTDATA(" New All Ranks avg",'Averages Pivot Table'!$A$3,"Category",2,"Category2","Four-Year")</f>
        <v>75443.145352128224</v>
      </c>
    </row>
    <row r="10" spans="1:8" ht="15" customHeight="1" x14ac:dyDescent="0.2">
      <c r="A10" s="5" t="s">
        <v>197</v>
      </c>
      <c r="B10" s="87">
        <f>+GETPIVOTDATA(" New Prof avg",'Averages Pivot Table'!$A$3,"Category",3,"Category2","Four-Year")</f>
        <v>84177.449757173206</v>
      </c>
      <c r="C10" s="87">
        <f>+GETPIVOTDATA(" New Asc. avg",'Averages Pivot Table'!$A$3,"Category",3,"Category2","Four-Year")</f>
        <v>67603.786249167941</v>
      </c>
      <c r="D10" s="97">
        <f>+GETPIVOTDATA(" New Ast. avg",'Averages Pivot Table'!$A$3,"Category",3,"Category2","Four-Year")</f>
        <v>58165.609938606809</v>
      </c>
      <c r="E10" s="97">
        <f>+GETPIVOTDATA(" New Inst. avg",'Averages Pivot Table'!$A$3,"Category",3,"Category2","Four-Year")</f>
        <v>43920.213581830678</v>
      </c>
      <c r="F10" s="97">
        <f>+GETPIVOTDATA(" New Undesg. avg",'Averages Pivot Table'!$A$3,"Category",3,"Category2","Four-Year")</f>
        <v>44668.755802643682</v>
      </c>
      <c r="G10" s="97">
        <f>+GETPIVOTDATA(" New Single Rnk avg",'Averages Pivot Table'!$A$3,"Category",3,"Category2","Four-Year")</f>
        <v>0</v>
      </c>
      <c r="H10" s="87">
        <f>+GETPIVOTDATA(" New All Ranks avg",'Averages Pivot Table'!$A$3,"Category",3,"Category2","Four-Year")</f>
        <v>64005.908259329583</v>
      </c>
    </row>
    <row r="11" spans="1:8" ht="15" customHeight="1" x14ac:dyDescent="0.2">
      <c r="A11" s="5" t="s">
        <v>198</v>
      </c>
      <c r="B11" s="87">
        <f>+GETPIVOTDATA(" New Prof avg",'Averages Pivot Table'!$A$3,"Category",4,"Category2","Four-Year")</f>
        <v>80967.688196393065</v>
      </c>
      <c r="C11" s="87">
        <f>+GETPIVOTDATA(" New Asc. avg",'Averages Pivot Table'!$A$3,"Category",4,"Category2","Four-Year")</f>
        <v>65861.650952985525</v>
      </c>
      <c r="D11" s="97">
        <f>+GETPIVOTDATA(" New Ast. avg",'Averages Pivot Table'!$A$3,"Category",4,"Category2","Four-Year")</f>
        <v>56753.138438230169</v>
      </c>
      <c r="E11" s="97">
        <f>+GETPIVOTDATA(" New Inst. avg",'Averages Pivot Table'!$A$3,"Category",4,"Category2","Four-Year")</f>
        <v>44379.862179465694</v>
      </c>
      <c r="F11" s="97">
        <f>+GETPIVOTDATA(" New Undesg. avg",'Averages Pivot Table'!$A$3,"Category",4,"Category2","Four-Year")</f>
        <v>46005.351678084175</v>
      </c>
      <c r="G11" s="97">
        <f>+GETPIVOTDATA(" New Single Rnk avg",'Averages Pivot Table'!$A$3,"Category",4,"Category2","Four-Year")</f>
        <v>0</v>
      </c>
      <c r="H11" s="87">
        <f>+GETPIVOTDATA(" New All Ranks avg",'Averages Pivot Table'!$A$3,"Category",4,"Category2","Four-Year")</f>
        <v>62004.409266607043</v>
      </c>
    </row>
    <row r="12" spans="1:8" ht="15" customHeight="1" x14ac:dyDescent="0.2">
      <c r="A12" s="5" t="s">
        <v>199</v>
      </c>
      <c r="B12" s="87">
        <f>+GETPIVOTDATA(" New Prof avg",'Averages Pivot Table'!$A$3,"Category",5,"Category2","Four-Year")</f>
        <v>76830.315389223673</v>
      </c>
      <c r="C12" s="87">
        <f>+GETPIVOTDATA(" New Asc. avg",'Averages Pivot Table'!$A$3,"Category",5,"Category2","Four-Year")</f>
        <v>64124.706530921627</v>
      </c>
      <c r="D12" s="97">
        <f>+GETPIVOTDATA(" New Ast. avg",'Averages Pivot Table'!$A$3,"Category",5,"Category2","Four-Year")</f>
        <v>54443.396595351471</v>
      </c>
      <c r="E12" s="97">
        <f>+GETPIVOTDATA(" New Inst. avg",'Averages Pivot Table'!$A$3,"Category",5,"Category2","Four-Year")</f>
        <v>45325.611418828405</v>
      </c>
      <c r="F12" s="97">
        <f>+GETPIVOTDATA(" New Undesg. avg",'Averages Pivot Table'!$A$3,"Category",5,"Category2","Four-Year")</f>
        <v>46584.195164576544</v>
      </c>
      <c r="G12" s="97">
        <f>+GETPIVOTDATA(" New Single Rnk avg",'Averages Pivot Table'!$A$3,"Category",5,"Category2","Four-Year")</f>
        <v>0</v>
      </c>
      <c r="H12" s="87">
        <f>+GETPIVOTDATA(" New All Ranks avg",'Averages Pivot Table'!$A$3,"Category",5,"Category2","Four-Year")</f>
        <v>59815.634086341001</v>
      </c>
    </row>
    <row r="13" spans="1:8" ht="15" customHeight="1" x14ac:dyDescent="0.2">
      <c r="A13" s="5" t="s">
        <v>200</v>
      </c>
      <c r="B13" s="87">
        <f>+GETPIVOTDATA(" New Prof avg",'Averages Pivot Table'!$A$3,"Category",6,"Category2","Four-Year")</f>
        <v>76505.683174020334</v>
      </c>
      <c r="C13" s="87">
        <f>+GETPIVOTDATA(" New Asc. avg",'Averages Pivot Table'!$A$3,"Category",6,"Category2","Four-Year")</f>
        <v>61619.870053829633</v>
      </c>
      <c r="D13" s="97">
        <f>+GETPIVOTDATA(" New Ast. avg",'Averages Pivot Table'!$A$3,"Category",6,"Category2","Four-Year")</f>
        <v>54369.933356154252</v>
      </c>
      <c r="E13" s="97">
        <f>+GETPIVOTDATA(" New Inst. avg",'Averages Pivot Table'!$A$3,"Category",6,"Category2","Four-Year")</f>
        <v>43322.754073865828</v>
      </c>
      <c r="F13" s="97">
        <f>+GETPIVOTDATA(" New Undesg. avg",'Averages Pivot Table'!$A$3,"Category",6,"Category2","Four-Year")</f>
        <v>46440.002584648879</v>
      </c>
      <c r="G13" s="97">
        <f>+GETPIVOTDATA(" New Single Rnk avg",'Averages Pivot Table'!$A$3,"Category",6,"Category2","Four-Year")</f>
        <v>0</v>
      </c>
      <c r="H13" s="87">
        <f>+GETPIVOTDATA(" New All Ranks avg",'Averages Pivot Table'!$A$3,"Category",6,"Category2","Four-Year")</f>
        <v>58228.200448451011</v>
      </c>
    </row>
    <row r="14" spans="1:8" ht="15" customHeight="1" x14ac:dyDescent="0.2">
      <c r="A14" s="106" t="s">
        <v>201</v>
      </c>
      <c r="B14" s="87">
        <f>+GETPIVOTDATA(" New Prof avg",'Averages Pivot Table'!$A$3,"Category2","Four-Year")</f>
        <v>105376.38298766952</v>
      </c>
      <c r="C14" s="87">
        <f>+GETPIVOTDATA(" New Asc. avg",'Averages Pivot Table'!$A$3,"Category2","Four-Year")</f>
        <v>74913.709121657594</v>
      </c>
      <c r="D14" s="97">
        <f>+GETPIVOTDATA(" New Ast. avg",'Averages Pivot Table'!$A$3,"Category2","Four-Year")</f>
        <v>63694.346346191429</v>
      </c>
      <c r="E14" s="97">
        <f>+GETPIVOTDATA(" New Inst. avg",'Averages Pivot Table'!$A$3,"Category2","Four-Year")</f>
        <v>45322.203354649166</v>
      </c>
      <c r="F14" s="97">
        <f>+GETPIVOTDATA(" New Undesg. avg",'Averages Pivot Table'!$A$3,"Category2","Four-Year")</f>
        <v>49200.909589217874</v>
      </c>
      <c r="G14" s="97">
        <f>+GETPIVOTDATA(" New Single Rnk avg",'Averages Pivot Table'!$A$3,"Category2","Four-Year")</f>
        <v>0</v>
      </c>
      <c r="H14" s="87">
        <f>+GETPIVOTDATA(" New All Ranks avg",'Averages Pivot Table'!$A$3,"Category2","Four-Year")</f>
        <v>75046.293281217469</v>
      </c>
    </row>
    <row r="15" spans="1:8" ht="15" customHeight="1" x14ac:dyDescent="0.2">
      <c r="A15" s="5"/>
      <c r="B15" s="87"/>
      <c r="C15" s="87"/>
      <c r="D15" s="97"/>
      <c r="E15" s="97"/>
      <c r="F15" s="97"/>
      <c r="G15" s="97"/>
      <c r="H15" s="87"/>
    </row>
    <row r="16" spans="1:8" ht="15" customHeight="1" x14ac:dyDescent="0.2">
      <c r="A16" s="5" t="s">
        <v>73</v>
      </c>
      <c r="B16" s="87">
        <f>+GETPIVOTDATA(" New Prof avg",'Averages Pivot Table'!$A$3,"Category",7,"Category2","Two-Year")</f>
        <v>64908.180878918924</v>
      </c>
      <c r="C16" s="87">
        <f>+GETPIVOTDATA(" New Asc. avg",'Averages Pivot Table'!$A$3,"Category",7,"Category2","Two-Year")</f>
        <v>52970.878771559634</v>
      </c>
      <c r="D16" s="97">
        <f>+GETPIVOTDATA(" New Ast. avg",'Averages Pivot Table'!$A$3,"Category",7,"Category2","Two-Year")</f>
        <v>46449.791847457629</v>
      </c>
      <c r="E16" s="97">
        <f>+GETPIVOTDATA(" New Inst. avg",'Averages Pivot Table'!$A$3,"Category",7,"Category2","Two-Year")</f>
        <v>49573.345764850616</v>
      </c>
      <c r="F16" s="97">
        <f>+GETPIVOTDATA(" New Undesg. avg",'Averages Pivot Table'!$A$3,"Category",7,"Category2","Two-Year")</f>
        <v>35586.277443478255</v>
      </c>
      <c r="G16" s="97">
        <f>+GETPIVOTDATA(" New Single Rnk avg",'Averages Pivot Table'!$A$3,"Category",7,"Category2","Two-Year")</f>
        <v>57132.507582381731</v>
      </c>
      <c r="H16" s="87">
        <f>+GETPIVOTDATA(" New All Ranks avg",'Averages Pivot Table'!$A$3,"Category",7,"Category2","Two-Year")</f>
        <v>55030.933525737055</v>
      </c>
    </row>
    <row r="17" spans="1:8" ht="15" customHeight="1" x14ac:dyDescent="0.2">
      <c r="A17" s="5" t="s">
        <v>202</v>
      </c>
      <c r="B17" s="87">
        <f>+GETPIVOTDATA(" New Prof avg",'Averages Pivot Table'!$A$3,"Category",8,"Category2","Two-Year")</f>
        <v>69083.011919248645</v>
      </c>
      <c r="C17" s="87">
        <f>+GETPIVOTDATA(" New Asc. avg",'Averages Pivot Table'!$A$3,"Category",8,"Category2","Two-Year")</f>
        <v>55333.991709257527</v>
      </c>
      <c r="D17" s="97">
        <f>+GETPIVOTDATA(" New Ast. avg",'Averages Pivot Table'!$A$3,"Category",8,"Category2","Two-Year")</f>
        <v>50890.016363594601</v>
      </c>
      <c r="E17" s="97">
        <f>+GETPIVOTDATA(" New Inst. avg",'Averages Pivot Table'!$A$3,"Category",8,"Category2","Two-Year")</f>
        <v>48368.520904671925</v>
      </c>
      <c r="F17" s="97">
        <f>+GETPIVOTDATA(" New Undesg. avg",'Averages Pivot Table'!$A$3,"Category",8,"Category2","Two-Year")</f>
        <v>46648.554935742977</v>
      </c>
      <c r="G17" s="97">
        <f>+GETPIVOTDATA(" New Single Rnk avg",'Averages Pivot Table'!$A$3,"Category",8,"Category2","Two-Year")</f>
        <v>51753.772016042778</v>
      </c>
      <c r="H17" s="87">
        <f>+GETPIVOTDATA(" New All Ranks avg",'Averages Pivot Table'!$A$3,"Category",8,"Category2","Two-Year")</f>
        <v>53354.246352021233</v>
      </c>
    </row>
    <row r="18" spans="1:8" ht="15" customHeight="1" x14ac:dyDescent="0.2">
      <c r="A18" s="5" t="s">
        <v>203</v>
      </c>
      <c r="B18" s="87">
        <f>+GETPIVOTDATA(" New Prof avg",'Averages Pivot Table'!$A$3,"Category",9,"Category2","Two-Year")</f>
        <v>57755.653077146373</v>
      </c>
      <c r="C18" s="87">
        <f>+GETPIVOTDATA(" New Asc. avg",'Averages Pivot Table'!$A$3,"Category",9,"Category2","Two-Year")</f>
        <v>51222.42138953587</v>
      </c>
      <c r="D18" s="97">
        <f>+GETPIVOTDATA(" New Ast. avg",'Averages Pivot Table'!$A$3,"Category",9,"Category2","Two-Year")</f>
        <v>46283.299285308567</v>
      </c>
      <c r="E18" s="97">
        <f>+GETPIVOTDATA(" New Inst. avg",'Averages Pivot Table'!$A$3,"Category",9,"Category2","Two-Year")</f>
        <v>44132.092978485147</v>
      </c>
      <c r="F18" s="97">
        <f>+GETPIVOTDATA(" New Undesg. avg",'Averages Pivot Table'!$A$3,"Category",9,"Category2","Two-Year")</f>
        <v>44936.826132413793</v>
      </c>
      <c r="G18" s="97">
        <f>+GETPIVOTDATA(" New Single Rnk avg",'Averages Pivot Table'!$A$3,"Category",9,"Category2","Two-Year")</f>
        <v>49722.601490756017</v>
      </c>
      <c r="H18" s="87">
        <f>+GETPIVOTDATA(" New All Ranks avg",'Averages Pivot Table'!$A$3,"Category",9,"Category2","Two-Year")</f>
        <v>49077.743279136754</v>
      </c>
    </row>
    <row r="19" spans="1:8" ht="15" customHeight="1" x14ac:dyDescent="0.2">
      <c r="A19" s="5" t="s">
        <v>74</v>
      </c>
      <c r="B19" s="87">
        <f>+GETPIVOTDATA(" New Prof avg",'Averages Pivot Table'!$A$3,"Category",10,"Category2","Two-Year")</f>
        <v>61293.719690344828</v>
      </c>
      <c r="C19" s="87">
        <f>+GETPIVOTDATA(" New Asc. avg",'Averages Pivot Table'!$A$3,"Category",10,"Category2","Two-Year")</f>
        <v>52775.497355102038</v>
      </c>
      <c r="D19" s="97">
        <f>+GETPIVOTDATA(" New Ast. avg",'Averages Pivot Table'!$A$3,"Category",10,"Category2","Two-Year")</f>
        <v>45443.293556770404</v>
      </c>
      <c r="E19" s="97">
        <f>+GETPIVOTDATA(" New Inst. avg",'Averages Pivot Table'!$A$3,"Category",10,"Category2","Two-Year")</f>
        <v>39950.218470314496</v>
      </c>
      <c r="F19" s="97">
        <f>+GETPIVOTDATA(" New Undesg. avg",'Averages Pivot Table'!$A$3,"Category",10,"Category2","Two-Year")</f>
        <v>41265.90426744186</v>
      </c>
      <c r="G19" s="97">
        <f>+GETPIVOTDATA(" New Single Rnk avg",'Averages Pivot Table'!$A$3,"Category",10,"Category2","Two-Year")</f>
        <v>46002.439544702916</v>
      </c>
      <c r="H19" s="87">
        <f>+GETPIVOTDATA(" New All Ranks avg",'Averages Pivot Table'!$A$3,"Category",10,"Category2","Two-Year")</f>
        <v>46030.460778177585</v>
      </c>
    </row>
    <row r="20" spans="1:8" ht="15" customHeight="1" x14ac:dyDescent="0.2">
      <c r="A20" s="106" t="s">
        <v>75</v>
      </c>
      <c r="B20" s="87">
        <f>+GETPIVOTDATA(" New Prof avg",'Averages Pivot Table'!$A$3,"Category2","Two-Year")</f>
        <v>65718.664113004852</v>
      </c>
      <c r="C20" s="87">
        <f>+GETPIVOTDATA(" New Asc. avg",'Averages Pivot Table'!$A$3,"Category2","Two-Year")</f>
        <v>54967.153643964855</v>
      </c>
      <c r="D20" s="97">
        <f>+GETPIVOTDATA(" New Ast. avg",'Averages Pivot Table'!$A$3,"Category2","Two-Year")</f>
        <v>49538.460202096794</v>
      </c>
      <c r="E20" s="97">
        <f>+GETPIVOTDATA(" New Inst. avg",'Averages Pivot Table'!$A$3,"Category2","Two-Year")</f>
        <v>46469.147609163985</v>
      </c>
      <c r="F20" s="97">
        <f>+GETPIVOTDATA(" New Undesg. avg",'Averages Pivot Table'!$A$3,"Category2","Two-Year")</f>
        <v>45433.306769406394</v>
      </c>
      <c r="G20" s="97">
        <f>+GETPIVOTDATA(" New Single Rnk avg",'Averages Pivot Table'!$A$3,"Category2","Two-Year")</f>
        <v>51057.827917360628</v>
      </c>
      <c r="H20" s="87">
        <f>+GETPIVOTDATA(" New All Ranks avg",'Averages Pivot Table'!$A$3,"Category2","Two-Year")</f>
        <v>51834.101565527541</v>
      </c>
    </row>
    <row r="21" spans="1:8" ht="15" customHeight="1" x14ac:dyDescent="0.2">
      <c r="A21" s="5"/>
      <c r="B21" s="87"/>
      <c r="C21" s="87"/>
      <c r="D21" s="97"/>
      <c r="E21" s="97"/>
      <c r="F21" s="97"/>
      <c r="G21" s="97"/>
      <c r="H21" s="87"/>
    </row>
    <row r="22" spans="1:8" ht="15" customHeight="1" x14ac:dyDescent="0.2">
      <c r="A22" s="5" t="s">
        <v>8</v>
      </c>
      <c r="B22" s="87">
        <f>+GETPIVOTDATA(" New Prof avg",'Averages Pivot Table'!$A$3,"Category",12,"Category2","Technical")</f>
        <v>45269.763348453613</v>
      </c>
      <c r="C22" s="87">
        <f>+GETPIVOTDATA(" New Asc. avg",'Averages Pivot Table'!$A$3,"Category",12,"Category2","Technical")</f>
        <v>46461.095146666667</v>
      </c>
      <c r="D22" s="97">
        <f>+GETPIVOTDATA(" New Ast. avg",'Averages Pivot Table'!$A$3,"Category",12,"Category2","Technical")</f>
        <v>43040.266571052634</v>
      </c>
      <c r="E22" s="97">
        <f>+GETPIVOTDATA(" New Inst. avg",'Averages Pivot Table'!$A$3,"Category",12,"Category2","Technical")</f>
        <v>36892.140869029856</v>
      </c>
      <c r="F22" s="97">
        <f>+GETPIVOTDATA(" New Undesg. avg",'Averages Pivot Table'!$A$3,"Category",12,"Category2","Technical")</f>
        <v>26333</v>
      </c>
      <c r="G22" s="97">
        <f>+GETPIVOTDATA(" New Single Rnk avg",'Averages Pivot Table'!$A$3,"Category",12,"Category2","Technical")</f>
        <v>45676.237833522944</v>
      </c>
      <c r="H22" s="87">
        <f>+GETPIVOTDATA(" New All Ranks avg",'Averages Pivot Table'!$A$3,"Category",12,"Category2","Technical")</f>
        <v>44205.837539800697</v>
      </c>
    </row>
    <row r="23" spans="1:8" ht="15" customHeight="1" x14ac:dyDescent="0.2">
      <c r="A23" s="5" t="s">
        <v>9</v>
      </c>
      <c r="B23" s="87">
        <f>+GETPIVOTDATA(" New Prof avg",'Averages Pivot Table'!$A$3,"Category",13,"Category2","Technical")</f>
        <v>0</v>
      </c>
      <c r="C23" s="87">
        <f>+GETPIVOTDATA(" New Asc. avg",'Averages Pivot Table'!$A$3,"Category",13,"Category2","Technical")</f>
        <v>0</v>
      </c>
      <c r="D23" s="97">
        <f>+GETPIVOTDATA(" New Ast. avg",'Averages Pivot Table'!$A$3,"Category",13,"Category2","Technical")</f>
        <v>0</v>
      </c>
      <c r="E23" s="97">
        <f>+GETPIVOTDATA(" New Inst. avg",'Averages Pivot Table'!$A$3,"Category",13,"Category2","Technical")</f>
        <v>0</v>
      </c>
      <c r="F23" s="97">
        <f>+GETPIVOTDATA(" New Undesg. avg",'Averages Pivot Table'!$A$3,"Category",13,"Category2","Technical")</f>
        <v>0</v>
      </c>
      <c r="G23" s="97">
        <f>+GETPIVOTDATA(" New Single Rnk avg",'Averages Pivot Table'!$A$3,"Category",13,"Category2","Technical")</f>
        <v>45578.095484334925</v>
      </c>
      <c r="H23" s="87">
        <f>+GETPIVOTDATA(" New All Ranks avg",'Averages Pivot Table'!$A$3,"Category",13,"Category2","Technical")</f>
        <v>45578.095484334925</v>
      </c>
    </row>
    <row r="24" spans="1:8" ht="15" customHeight="1" x14ac:dyDescent="0.2">
      <c r="A24" s="107" t="s">
        <v>10</v>
      </c>
      <c r="B24" s="88">
        <f>+GETPIVOTDATA(" New Prof avg",'Averages Pivot Table'!$A$3,"Category2","Technical")</f>
        <v>45269.763348453613</v>
      </c>
      <c r="C24" s="88">
        <f>+GETPIVOTDATA(" New Asc. avg",'Averages Pivot Table'!$A$3,"Category2","Technical")</f>
        <v>46461.095146666667</v>
      </c>
      <c r="D24" s="98">
        <f>+GETPIVOTDATA(" New Ast. avg",'Averages Pivot Table'!$A$3,"Category2","Technical")</f>
        <v>43040.266571052627</v>
      </c>
      <c r="E24" s="98">
        <f>+GETPIVOTDATA(" New Inst. avg",'Averages Pivot Table'!$A$3,"Category2","Technical")</f>
        <v>36892.140869029856</v>
      </c>
      <c r="F24" s="98">
        <f>+GETPIVOTDATA(" New Undesg. avg",'Averages Pivot Table'!$A$3,"Category2","Technical")</f>
        <v>26333</v>
      </c>
      <c r="G24" s="98">
        <f>+GETPIVOTDATA(" New Single Rnk avg",'Averages Pivot Table'!$A$3,"Category2","Technical")</f>
        <v>45641.217770873656</v>
      </c>
      <c r="H24" s="88">
        <f>+GETPIVOTDATA(" New All Ranks avg",'Averages Pivot Table'!$A$3,"Category2","Technical")</f>
        <v>44617.655667565545</v>
      </c>
    </row>
    <row r="25" spans="1:8" ht="29.25" customHeight="1" x14ac:dyDescent="0.2">
      <c r="A25" s="662" t="s">
        <v>91</v>
      </c>
      <c r="B25" s="663"/>
      <c r="C25" s="663"/>
      <c r="D25" s="663"/>
      <c r="E25" s="663"/>
      <c r="F25" s="663"/>
      <c r="G25" s="663"/>
      <c r="H25" s="663"/>
    </row>
    <row r="26" spans="1:8" x14ac:dyDescent="0.2">
      <c r="H26" s="157" t="s">
        <v>1088</v>
      </c>
    </row>
  </sheetData>
  <mergeCells count="3">
    <mergeCell ref="A25:H25"/>
    <mergeCell ref="A3:H3"/>
    <mergeCell ref="A4:H4"/>
  </mergeCells>
  <phoneticPr fontId="21" type="noConversion"/>
  <pageMargins left="0.5" right="0.5" top="1" bottom="0.75" header="0.75" footer="0.5"/>
  <pageSetup firstPageNumber="176" orientation="landscape" useFirstPageNumber="1" r:id="rId1"/>
  <headerFooter alignWithMargins="0">
    <oddHeader>&amp;R&amp;"Arial,Regular"&amp;8SREB-State Data Exchange</oddHeader>
    <oddFooter>&amp;C&amp;"Arial,Regular"&amp;10&amp;P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enableFormatConditionsCalculation="0">
    <tabColor indexed="18"/>
  </sheetPr>
  <dimension ref="A1:CX681"/>
  <sheetViews>
    <sheetView showZeros="0" zoomScale="80" zoomScaleNormal="80" workbookViewId="0">
      <pane xSplit="5" ySplit="8" topLeftCell="M461" activePane="bottomRight" state="frozen"/>
      <selection pane="topRight" activeCell="F1" sqref="F1"/>
      <selection pane="bottomLeft" activeCell="A10" sqref="A10"/>
      <selection pane="bottomRight" activeCell="D495" sqref="D495"/>
    </sheetView>
  </sheetViews>
  <sheetFormatPr defaultColWidth="9" defaultRowHeight="12.75" x14ac:dyDescent="0.2"/>
  <cols>
    <col min="1" max="1" width="4.875" style="155" customWidth="1"/>
    <col min="2" max="2" width="36.125" style="156" customWidth="1"/>
    <col min="3" max="3" width="1.625" style="156" customWidth="1"/>
    <col min="4" max="4" width="11.25" style="155" customWidth="1"/>
    <col min="5" max="5" width="9.375" style="155" bestFit="1" customWidth="1"/>
    <col min="6" max="8" width="11.75" style="104" customWidth="1"/>
    <col min="9" max="11" width="11.75" style="111" customWidth="1"/>
    <col min="12" max="14" width="11.75" style="104" customWidth="1"/>
    <col min="15" max="17" width="11.75" style="111" customWidth="1"/>
    <col min="18" max="20" width="11.75" style="104" customWidth="1"/>
    <col min="21" max="23" width="11.75" style="111" customWidth="1"/>
    <col min="24" max="26" width="11.75" style="104" customWidth="1"/>
    <col min="27" max="29" width="11.75" style="111" customWidth="1"/>
    <col min="30" max="32" width="11.75" style="104" customWidth="1"/>
    <col min="33" max="35" width="11.75" style="111" customWidth="1"/>
    <col min="36" max="38" width="11.75" style="104" customWidth="1"/>
    <col min="39" max="41" width="11.75" style="111" customWidth="1"/>
    <col min="42" max="44" width="11.75" style="104" customWidth="1"/>
    <col min="45" max="47" width="11.75" style="111" customWidth="1"/>
    <col min="48" max="50" width="11.75" style="104" customWidth="1"/>
    <col min="51" max="53" width="11.75" style="111" customWidth="1"/>
    <col min="54" max="56" width="11.75" style="104" customWidth="1"/>
    <col min="57" max="59" width="11.75" style="111" customWidth="1"/>
    <col min="60" max="62" width="11.75" style="104" customWidth="1"/>
    <col min="63" max="65" width="11.75" style="111" customWidth="1"/>
    <col min="66" max="68" width="11.75" style="104" customWidth="1"/>
    <col min="69" max="71" width="11.75" style="111" customWidth="1"/>
    <col min="72" max="74" width="11.75" style="104" customWidth="1"/>
    <col min="75" max="77" width="11.75" style="111" customWidth="1"/>
    <col min="78" max="91" width="9" style="104" customWidth="1"/>
    <col min="92" max="16384" width="9" style="104"/>
  </cols>
  <sheetData>
    <row r="1" spans="1:77" s="193" customFormat="1" x14ac:dyDescent="0.2">
      <c r="A1" s="524" t="s">
        <v>1035</v>
      </c>
      <c r="B1" s="232"/>
      <c r="C1" s="232"/>
      <c r="D1" s="232"/>
      <c r="E1" s="232"/>
      <c r="F1" s="232"/>
      <c r="G1" s="232"/>
      <c r="H1" s="201">
        <f>F1*G1</f>
        <v>0</v>
      </c>
      <c r="I1" s="232"/>
      <c r="J1" s="232"/>
      <c r="K1" s="202">
        <f>I1*J1</f>
        <v>0</v>
      </c>
      <c r="L1" s="232"/>
      <c r="M1" s="232"/>
      <c r="N1" s="204">
        <f>L1*M1</f>
        <v>0</v>
      </c>
      <c r="O1" s="232"/>
      <c r="P1" s="232"/>
      <c r="Q1" s="205">
        <f>O1*P1</f>
        <v>0</v>
      </c>
      <c r="R1" s="232"/>
      <c r="S1" s="232"/>
      <c r="T1" s="204">
        <f>R1*S1</f>
        <v>0</v>
      </c>
      <c r="U1" s="232"/>
      <c r="V1" s="232"/>
      <c r="W1" s="202">
        <f>U1*V1</f>
        <v>0</v>
      </c>
      <c r="X1" s="232"/>
      <c r="Y1" s="232"/>
      <c r="Z1" s="204">
        <f>X1*Y1</f>
        <v>0</v>
      </c>
      <c r="AA1" s="232"/>
      <c r="AB1" s="232"/>
      <c r="AC1" s="205">
        <f>AA1*AB1</f>
        <v>0</v>
      </c>
      <c r="AD1" s="232"/>
      <c r="AE1" s="232"/>
      <c r="AF1" s="204">
        <f>AD1*AE1</f>
        <v>0</v>
      </c>
      <c r="AG1" s="232"/>
      <c r="AH1" s="232"/>
      <c r="AI1" s="205">
        <f>AG1*AH1</f>
        <v>0</v>
      </c>
      <c r="AJ1" s="232"/>
      <c r="AK1" s="232"/>
      <c r="AL1" s="204">
        <f>AJ1*AK1</f>
        <v>0</v>
      </c>
      <c r="AM1" s="232"/>
      <c r="AN1" s="232"/>
      <c r="AO1" s="206">
        <f>AM1*AN1</f>
        <v>0</v>
      </c>
      <c r="AP1" s="232"/>
      <c r="AQ1" s="232"/>
      <c r="AR1" s="204">
        <f>(AP1*AQ1)*0.8182</f>
        <v>0</v>
      </c>
      <c r="AS1" s="232"/>
      <c r="AT1" s="232"/>
      <c r="AU1" s="202">
        <f>(AS1*AT1)*0.8182</f>
        <v>0</v>
      </c>
      <c r="AV1" s="232"/>
      <c r="AW1" s="232"/>
      <c r="AX1" s="204">
        <f>(AV1*AW1)*0.8182</f>
        <v>0</v>
      </c>
      <c r="AY1" s="232"/>
      <c r="AZ1" s="232"/>
      <c r="BA1" s="205">
        <f>(AY1*AZ1)*0.8182</f>
        <v>0</v>
      </c>
      <c r="BB1" s="232"/>
      <c r="BC1" s="232"/>
      <c r="BD1" s="204">
        <f>(BB1*BC1)*0.8182</f>
        <v>0</v>
      </c>
      <c r="BE1" s="232"/>
      <c r="BF1" s="232"/>
      <c r="BG1" s="205">
        <f>(BE1*BF1)*0.8182</f>
        <v>0</v>
      </c>
      <c r="BH1" s="232"/>
      <c r="BI1" s="232"/>
      <c r="BJ1" s="204">
        <f>(BH1*BI1)*0.8182</f>
        <v>0</v>
      </c>
      <c r="BK1" s="232"/>
      <c r="BL1" s="232"/>
      <c r="BM1" s="205">
        <f>(BK1*BL1)*0.8182</f>
        <v>0</v>
      </c>
      <c r="BN1" s="232"/>
      <c r="BO1" s="232"/>
      <c r="BP1" s="204">
        <f>(BN1*BO1)*0.8182</f>
        <v>0</v>
      </c>
      <c r="BQ1" s="232"/>
      <c r="BR1" s="232"/>
      <c r="BS1" s="205">
        <f>(BQ1*BR1)*0.8182</f>
        <v>0</v>
      </c>
      <c r="BT1" s="232"/>
      <c r="BU1" s="232"/>
      <c r="BV1" s="204">
        <f>(BT1*BU1)*0.8182</f>
        <v>0</v>
      </c>
      <c r="BW1" s="232"/>
      <c r="BX1" s="232"/>
      <c r="BY1" s="207">
        <f>(BW1*BX1)*0.8182</f>
        <v>0</v>
      </c>
    </row>
    <row r="2" spans="1:77" s="170" customFormat="1" ht="18" x14ac:dyDescent="0.25">
      <c r="A2" s="482" t="s">
        <v>292</v>
      </c>
      <c r="B2" s="483"/>
      <c r="C2" s="483"/>
      <c r="D2" s="483"/>
      <c r="E2" s="483"/>
      <c r="F2" s="520"/>
      <c r="G2" s="520"/>
      <c r="H2" s="520"/>
      <c r="I2" s="520"/>
      <c r="J2" s="520"/>
      <c r="K2" s="520"/>
      <c r="L2" s="520"/>
      <c r="M2" s="520"/>
      <c r="N2" s="520"/>
      <c r="O2" s="520"/>
      <c r="P2" s="520"/>
      <c r="Q2" s="520"/>
      <c r="R2" s="520"/>
      <c r="S2" s="520"/>
      <c r="T2" s="520"/>
      <c r="U2" s="520"/>
      <c r="V2" s="520"/>
      <c r="W2" s="520"/>
      <c r="X2" s="520"/>
      <c r="Y2" s="520"/>
      <c r="Z2" s="520"/>
      <c r="AA2" s="520"/>
      <c r="AB2" s="520"/>
      <c r="AC2" s="520"/>
      <c r="AD2" s="520"/>
      <c r="AE2" s="520"/>
      <c r="AF2" s="520"/>
      <c r="AG2" s="520"/>
      <c r="AH2" s="520"/>
      <c r="AI2" s="520"/>
      <c r="AJ2" s="520"/>
      <c r="AK2" s="520"/>
      <c r="AL2" s="520"/>
      <c r="AM2" s="520"/>
      <c r="AN2" s="520"/>
      <c r="AO2" s="520"/>
      <c r="AP2" s="521"/>
      <c r="AQ2" s="521"/>
      <c r="AR2" s="521"/>
      <c r="AS2" s="521"/>
      <c r="AT2" s="521"/>
      <c r="AU2" s="521"/>
      <c r="AV2" s="521"/>
      <c r="AW2" s="521"/>
      <c r="AX2" s="521"/>
      <c r="AY2" s="521"/>
      <c r="AZ2" s="521"/>
      <c r="BA2" s="521"/>
      <c r="BB2" s="521"/>
      <c r="BC2" s="521"/>
      <c r="BD2" s="521"/>
      <c r="BE2" s="521"/>
      <c r="BF2" s="521"/>
      <c r="BG2" s="521"/>
      <c r="BH2" s="521"/>
      <c r="BI2" s="521"/>
      <c r="BJ2" s="521"/>
      <c r="BK2" s="521"/>
      <c r="BL2" s="521"/>
      <c r="BM2" s="521"/>
      <c r="BN2" s="521"/>
      <c r="BO2" s="521"/>
      <c r="BP2" s="521"/>
      <c r="BQ2" s="521"/>
      <c r="BR2" s="521"/>
      <c r="BS2" s="521"/>
      <c r="BT2" s="521"/>
      <c r="BU2" s="521"/>
      <c r="BV2" s="521"/>
      <c r="BW2" s="521"/>
      <c r="BX2" s="521"/>
      <c r="BY2" s="521"/>
    </row>
    <row r="3" spans="1:77" s="516" customFormat="1" ht="18" x14ac:dyDescent="0.25">
      <c r="A3" s="480" t="s">
        <v>294</v>
      </c>
      <c r="B3" s="481"/>
      <c r="C3" s="481"/>
      <c r="D3" s="481"/>
      <c r="E3" s="613"/>
      <c r="F3" s="621" t="s">
        <v>1033</v>
      </c>
      <c r="G3" s="521"/>
      <c r="H3" s="521"/>
      <c r="I3" s="521"/>
      <c r="J3" s="521"/>
      <c r="K3" s="522"/>
      <c r="L3" s="523"/>
      <c r="M3" s="521"/>
      <c r="N3" s="521"/>
      <c r="O3" s="521"/>
      <c r="P3" s="521"/>
      <c r="Q3" s="521"/>
      <c r="R3" s="521"/>
      <c r="S3" s="521"/>
      <c r="T3" s="521"/>
      <c r="U3" s="521"/>
      <c r="V3" s="521"/>
      <c r="W3" s="521"/>
      <c r="X3" s="521"/>
      <c r="Y3" s="521"/>
      <c r="Z3" s="521"/>
      <c r="AA3" s="521"/>
      <c r="AB3" s="521"/>
      <c r="AC3" s="521"/>
      <c r="AD3" s="521"/>
      <c r="AE3" s="521"/>
      <c r="AF3" s="521"/>
      <c r="AG3" s="521"/>
      <c r="AH3" s="521"/>
      <c r="AI3" s="521"/>
      <c r="AJ3" s="521"/>
      <c r="AK3" s="521"/>
      <c r="AL3" s="521"/>
      <c r="AM3" s="521"/>
      <c r="AN3" s="521"/>
      <c r="AO3" s="521"/>
      <c r="AP3" s="525" t="s">
        <v>1034</v>
      </c>
      <c r="AQ3" s="521"/>
      <c r="AR3" s="521"/>
      <c r="AS3" s="521"/>
      <c r="AT3" s="521"/>
      <c r="AU3" s="521"/>
      <c r="AV3" s="521"/>
      <c r="AW3" s="521"/>
      <c r="AX3" s="521"/>
      <c r="AY3" s="521"/>
      <c r="AZ3" s="521"/>
      <c r="BA3" s="521"/>
      <c r="BB3" s="521"/>
      <c r="BC3" s="521"/>
      <c r="BD3" s="521"/>
      <c r="BE3" s="521"/>
      <c r="BF3" s="521"/>
      <c r="BG3" s="521"/>
      <c r="BH3" s="521"/>
      <c r="BI3" s="521"/>
      <c r="BJ3" s="521"/>
      <c r="BK3" s="521"/>
      <c r="BL3" s="521"/>
      <c r="BM3" s="521"/>
      <c r="BN3" s="521"/>
      <c r="BO3" s="521"/>
      <c r="BP3" s="521"/>
      <c r="BQ3" s="521"/>
      <c r="BR3" s="521"/>
      <c r="BS3" s="521"/>
      <c r="BT3" s="521"/>
      <c r="BU3" s="521"/>
      <c r="BV3" s="521"/>
      <c r="BW3" s="521"/>
      <c r="BX3" s="521"/>
      <c r="BY3" s="521"/>
    </row>
    <row r="4" spans="1:77" s="171" customFormat="1" ht="15.75" x14ac:dyDescent="0.25">
      <c r="A4" s="480" t="s">
        <v>295</v>
      </c>
      <c r="B4" s="481"/>
      <c r="C4" s="481"/>
      <c r="D4" s="481"/>
      <c r="E4" s="613"/>
      <c r="F4" s="622" t="s">
        <v>99</v>
      </c>
      <c r="G4" s="518"/>
      <c r="H4" s="518"/>
      <c r="I4" s="518"/>
      <c r="J4" s="518"/>
      <c r="K4" s="518"/>
      <c r="L4" s="626" t="s">
        <v>100</v>
      </c>
      <c r="M4" s="518"/>
      <c r="N4" s="518"/>
      <c r="O4" s="518"/>
      <c r="P4" s="518"/>
      <c r="Q4" s="518"/>
      <c r="R4" s="626" t="s">
        <v>101</v>
      </c>
      <c r="S4" s="518"/>
      <c r="T4" s="518"/>
      <c r="U4" s="518"/>
      <c r="V4" s="518"/>
      <c r="W4" s="518"/>
      <c r="X4" s="626" t="s">
        <v>102</v>
      </c>
      <c r="Y4" s="518"/>
      <c r="Z4" s="518"/>
      <c r="AA4" s="518"/>
      <c r="AB4" s="518"/>
      <c r="AC4" s="518"/>
      <c r="AD4" s="626" t="s">
        <v>3</v>
      </c>
      <c r="AE4" s="518"/>
      <c r="AF4" s="518"/>
      <c r="AG4" s="518"/>
      <c r="AH4" s="518"/>
      <c r="AI4" s="518"/>
      <c r="AJ4" s="626" t="s">
        <v>293</v>
      </c>
      <c r="AK4" s="518"/>
      <c r="AL4" s="518"/>
      <c r="AM4" s="518"/>
      <c r="AN4" s="518"/>
      <c r="AO4" s="518"/>
      <c r="AP4" s="536" t="s">
        <v>99</v>
      </c>
      <c r="AQ4" s="518"/>
      <c r="AR4" s="518"/>
      <c r="AS4" s="518"/>
      <c r="AT4" s="518"/>
      <c r="AU4" s="518"/>
      <c r="AV4" s="626" t="s">
        <v>100</v>
      </c>
      <c r="AW4" s="518"/>
      <c r="AX4" s="518"/>
      <c r="AY4" s="518"/>
      <c r="AZ4" s="518"/>
      <c r="BA4" s="518"/>
      <c r="BB4" s="626" t="s">
        <v>101</v>
      </c>
      <c r="BC4" s="518"/>
      <c r="BD4" s="518"/>
      <c r="BE4" s="518"/>
      <c r="BF4" s="518"/>
      <c r="BG4" s="518"/>
      <c r="BH4" s="626" t="s">
        <v>102</v>
      </c>
      <c r="BI4" s="518"/>
      <c r="BJ4" s="518"/>
      <c r="BK4" s="518"/>
      <c r="BL4" s="518"/>
      <c r="BM4" s="518"/>
      <c r="BN4" s="626" t="s">
        <v>3</v>
      </c>
      <c r="BO4" s="518"/>
      <c r="BP4" s="518"/>
      <c r="BQ4" s="518"/>
      <c r="BR4" s="518"/>
      <c r="BS4" s="518"/>
      <c r="BT4" s="626" t="s">
        <v>1082</v>
      </c>
      <c r="BU4" s="518"/>
      <c r="BV4" s="518"/>
      <c r="BW4" s="518"/>
      <c r="BX4" s="518"/>
      <c r="BY4" s="519"/>
    </row>
    <row r="5" spans="1:77" s="178" customFormat="1" x14ac:dyDescent="0.2">
      <c r="A5" s="684" t="s">
        <v>296</v>
      </c>
      <c r="B5" s="685"/>
      <c r="C5" s="685"/>
      <c r="D5" s="685"/>
      <c r="E5" s="685"/>
      <c r="F5" s="623"/>
      <c r="G5" s="173" t="s">
        <v>103</v>
      </c>
      <c r="H5" s="174" t="s">
        <v>2</v>
      </c>
      <c r="I5" s="175"/>
      <c r="J5" s="175" t="s">
        <v>103</v>
      </c>
      <c r="K5" s="176" t="s">
        <v>2</v>
      </c>
      <c r="L5" s="173"/>
      <c r="M5" s="173" t="s">
        <v>103</v>
      </c>
      <c r="N5" s="174" t="s">
        <v>2</v>
      </c>
      <c r="O5" s="175"/>
      <c r="P5" s="175" t="s">
        <v>103</v>
      </c>
      <c r="Q5" s="176" t="s">
        <v>2</v>
      </c>
      <c r="R5" s="173"/>
      <c r="S5" s="173" t="s">
        <v>103</v>
      </c>
      <c r="T5" s="174" t="s">
        <v>2</v>
      </c>
      <c r="U5" s="175"/>
      <c r="V5" s="175" t="s">
        <v>103</v>
      </c>
      <c r="W5" s="176" t="s">
        <v>2</v>
      </c>
      <c r="X5" s="173"/>
      <c r="Y5" s="173" t="s">
        <v>103</v>
      </c>
      <c r="Z5" s="174" t="s">
        <v>2</v>
      </c>
      <c r="AA5" s="175"/>
      <c r="AB5" s="175" t="s">
        <v>103</v>
      </c>
      <c r="AC5" s="176" t="s">
        <v>2</v>
      </c>
      <c r="AD5" s="173"/>
      <c r="AE5" s="173" t="s">
        <v>103</v>
      </c>
      <c r="AF5" s="174" t="s">
        <v>2</v>
      </c>
      <c r="AG5" s="175"/>
      <c r="AH5" s="175" t="s">
        <v>103</v>
      </c>
      <c r="AI5" s="176" t="s">
        <v>2</v>
      </c>
      <c r="AJ5" s="173"/>
      <c r="AK5" s="173" t="s">
        <v>103</v>
      </c>
      <c r="AL5" s="174" t="s">
        <v>2</v>
      </c>
      <c r="AM5" s="175"/>
      <c r="AN5" s="175" t="s">
        <v>103</v>
      </c>
      <c r="AO5" s="176" t="s">
        <v>2</v>
      </c>
      <c r="AP5" s="537"/>
      <c r="AQ5" s="173" t="s">
        <v>103</v>
      </c>
      <c r="AR5" s="174" t="s">
        <v>1087</v>
      </c>
      <c r="AS5" s="175"/>
      <c r="AT5" s="175" t="s">
        <v>103</v>
      </c>
      <c r="AU5" s="176" t="s">
        <v>1087</v>
      </c>
      <c r="AV5" s="173"/>
      <c r="AW5" s="173" t="s">
        <v>103</v>
      </c>
      <c r="AX5" s="174" t="s">
        <v>1087</v>
      </c>
      <c r="AY5" s="175"/>
      <c r="AZ5" s="175" t="s">
        <v>103</v>
      </c>
      <c r="BA5" s="176" t="s">
        <v>1087</v>
      </c>
      <c r="BB5" s="173"/>
      <c r="BC5" s="173" t="s">
        <v>103</v>
      </c>
      <c r="BD5" s="174" t="s">
        <v>1087</v>
      </c>
      <c r="BE5" s="175"/>
      <c r="BF5" s="175" t="s">
        <v>103</v>
      </c>
      <c r="BG5" s="176" t="s">
        <v>2</v>
      </c>
      <c r="BH5" s="173"/>
      <c r="BI5" s="173" t="s">
        <v>103</v>
      </c>
      <c r="BJ5" s="174" t="s">
        <v>1087</v>
      </c>
      <c r="BK5" s="175"/>
      <c r="BL5" s="175" t="s">
        <v>103</v>
      </c>
      <c r="BM5" s="176" t="s">
        <v>1087</v>
      </c>
      <c r="BN5" s="173"/>
      <c r="BO5" s="173" t="s">
        <v>103</v>
      </c>
      <c r="BP5" s="174" t="s">
        <v>1087</v>
      </c>
      <c r="BQ5" s="175"/>
      <c r="BR5" s="175" t="s">
        <v>103</v>
      </c>
      <c r="BS5" s="176" t="s">
        <v>1087</v>
      </c>
      <c r="BT5" s="173"/>
      <c r="BU5" s="173" t="s">
        <v>103</v>
      </c>
      <c r="BV5" s="174" t="s">
        <v>1087</v>
      </c>
      <c r="BW5" s="175"/>
      <c r="BX5" s="175" t="s">
        <v>103</v>
      </c>
      <c r="BY5" s="176" t="s">
        <v>1087</v>
      </c>
    </row>
    <row r="6" spans="1:77" s="178" customFormat="1" x14ac:dyDescent="0.2">
      <c r="A6" s="684" t="s">
        <v>297</v>
      </c>
      <c r="B6" s="685"/>
      <c r="C6" s="685"/>
      <c r="D6" s="685"/>
      <c r="E6" s="685"/>
      <c r="F6" s="624" t="s">
        <v>96</v>
      </c>
      <c r="G6" s="180" t="s">
        <v>104</v>
      </c>
      <c r="H6" s="181" t="s">
        <v>90</v>
      </c>
      <c r="I6" s="175" t="s">
        <v>96</v>
      </c>
      <c r="J6" s="175" t="s">
        <v>104</v>
      </c>
      <c r="K6" s="176" t="s">
        <v>90</v>
      </c>
      <c r="L6" s="180" t="s">
        <v>96</v>
      </c>
      <c r="M6" s="180" t="s">
        <v>104</v>
      </c>
      <c r="N6" s="181" t="s">
        <v>90</v>
      </c>
      <c r="O6" s="175" t="s">
        <v>96</v>
      </c>
      <c r="P6" s="175" t="s">
        <v>104</v>
      </c>
      <c r="Q6" s="176" t="s">
        <v>90</v>
      </c>
      <c r="R6" s="180" t="s">
        <v>96</v>
      </c>
      <c r="S6" s="180" t="s">
        <v>104</v>
      </c>
      <c r="T6" s="181" t="s">
        <v>90</v>
      </c>
      <c r="U6" s="175" t="s">
        <v>96</v>
      </c>
      <c r="V6" s="175" t="s">
        <v>104</v>
      </c>
      <c r="W6" s="176" t="s">
        <v>90</v>
      </c>
      <c r="X6" s="180" t="s">
        <v>96</v>
      </c>
      <c r="Y6" s="180" t="s">
        <v>104</v>
      </c>
      <c r="Z6" s="181" t="s">
        <v>90</v>
      </c>
      <c r="AA6" s="175" t="s">
        <v>96</v>
      </c>
      <c r="AB6" s="175" t="s">
        <v>104</v>
      </c>
      <c r="AC6" s="176" t="s">
        <v>90</v>
      </c>
      <c r="AD6" s="180" t="s">
        <v>96</v>
      </c>
      <c r="AE6" s="180" t="s">
        <v>104</v>
      </c>
      <c r="AF6" s="181" t="s">
        <v>90</v>
      </c>
      <c r="AG6" s="175" t="s">
        <v>96</v>
      </c>
      <c r="AH6" s="175" t="s">
        <v>104</v>
      </c>
      <c r="AI6" s="176" t="s">
        <v>90</v>
      </c>
      <c r="AJ6" s="180" t="s">
        <v>96</v>
      </c>
      <c r="AK6" s="180" t="s">
        <v>104</v>
      </c>
      <c r="AL6" s="181" t="s">
        <v>90</v>
      </c>
      <c r="AM6" s="175" t="s">
        <v>96</v>
      </c>
      <c r="AN6" s="175" t="s">
        <v>104</v>
      </c>
      <c r="AO6" s="176" t="s">
        <v>90</v>
      </c>
      <c r="AP6" s="538" t="s">
        <v>96</v>
      </c>
      <c r="AQ6" s="180" t="s">
        <v>104</v>
      </c>
      <c r="AR6" s="181" t="s">
        <v>90</v>
      </c>
      <c r="AS6" s="175" t="s">
        <v>96</v>
      </c>
      <c r="AT6" s="175" t="s">
        <v>104</v>
      </c>
      <c r="AU6" s="176" t="s">
        <v>90</v>
      </c>
      <c r="AV6" s="180" t="s">
        <v>96</v>
      </c>
      <c r="AW6" s="180" t="s">
        <v>104</v>
      </c>
      <c r="AX6" s="181" t="s">
        <v>90</v>
      </c>
      <c r="AY6" s="175" t="s">
        <v>96</v>
      </c>
      <c r="AZ6" s="175" t="s">
        <v>104</v>
      </c>
      <c r="BA6" s="176" t="s">
        <v>90</v>
      </c>
      <c r="BB6" s="180" t="s">
        <v>96</v>
      </c>
      <c r="BC6" s="180" t="s">
        <v>104</v>
      </c>
      <c r="BD6" s="181" t="s">
        <v>90</v>
      </c>
      <c r="BE6" s="175" t="s">
        <v>96</v>
      </c>
      <c r="BF6" s="175" t="s">
        <v>104</v>
      </c>
      <c r="BG6" s="176" t="s">
        <v>90</v>
      </c>
      <c r="BH6" s="180" t="s">
        <v>96</v>
      </c>
      <c r="BI6" s="180" t="s">
        <v>104</v>
      </c>
      <c r="BJ6" s="181" t="s">
        <v>90</v>
      </c>
      <c r="BK6" s="175" t="s">
        <v>96</v>
      </c>
      <c r="BL6" s="175" t="s">
        <v>104</v>
      </c>
      <c r="BM6" s="176" t="s">
        <v>90</v>
      </c>
      <c r="BN6" s="180" t="s">
        <v>96</v>
      </c>
      <c r="BO6" s="180" t="s">
        <v>104</v>
      </c>
      <c r="BP6" s="181" t="s">
        <v>90</v>
      </c>
      <c r="BQ6" s="175" t="s">
        <v>96</v>
      </c>
      <c r="BR6" s="175" t="s">
        <v>104</v>
      </c>
      <c r="BS6" s="176" t="s">
        <v>90</v>
      </c>
      <c r="BT6" s="180" t="s">
        <v>96</v>
      </c>
      <c r="BU6" s="180" t="s">
        <v>104</v>
      </c>
      <c r="BV6" s="181" t="s">
        <v>90</v>
      </c>
      <c r="BW6" s="175" t="s">
        <v>96</v>
      </c>
      <c r="BX6" s="175" t="s">
        <v>104</v>
      </c>
      <c r="BY6" s="176" t="s">
        <v>90</v>
      </c>
    </row>
    <row r="7" spans="1:77" s="178" customFormat="1" ht="51.75" thickBot="1" x14ac:dyDescent="0.25">
      <c r="A7" s="182" t="s">
        <v>98</v>
      </c>
      <c r="B7" s="183" t="s">
        <v>93</v>
      </c>
      <c r="C7" s="183" t="s">
        <v>300</v>
      </c>
      <c r="D7" s="184" t="s">
        <v>298</v>
      </c>
      <c r="E7" s="185" t="s">
        <v>95</v>
      </c>
      <c r="F7" s="625" t="s">
        <v>299</v>
      </c>
      <c r="G7" s="187" t="s">
        <v>299</v>
      </c>
      <c r="H7" s="188" t="s">
        <v>299</v>
      </c>
      <c r="I7" s="189" t="s">
        <v>331</v>
      </c>
      <c r="J7" s="189" t="s">
        <v>331</v>
      </c>
      <c r="K7" s="190" t="s">
        <v>331</v>
      </c>
      <c r="L7" s="187" t="s">
        <v>299</v>
      </c>
      <c r="M7" s="187" t="s">
        <v>299</v>
      </c>
      <c r="N7" s="188" t="s">
        <v>299</v>
      </c>
      <c r="O7" s="189" t="s">
        <v>331</v>
      </c>
      <c r="P7" s="189" t="s">
        <v>331</v>
      </c>
      <c r="Q7" s="190" t="s">
        <v>331</v>
      </c>
      <c r="R7" s="187" t="s">
        <v>299</v>
      </c>
      <c r="S7" s="187" t="s">
        <v>299</v>
      </c>
      <c r="T7" s="188" t="s">
        <v>299</v>
      </c>
      <c r="U7" s="189" t="s">
        <v>331</v>
      </c>
      <c r="V7" s="189" t="s">
        <v>331</v>
      </c>
      <c r="W7" s="190" t="s">
        <v>331</v>
      </c>
      <c r="X7" s="187" t="s">
        <v>299</v>
      </c>
      <c r="Y7" s="187" t="s">
        <v>299</v>
      </c>
      <c r="Z7" s="188" t="s">
        <v>299</v>
      </c>
      <c r="AA7" s="189" t="s">
        <v>331</v>
      </c>
      <c r="AB7" s="189" t="s">
        <v>331</v>
      </c>
      <c r="AC7" s="190" t="s">
        <v>331</v>
      </c>
      <c r="AD7" s="187" t="s">
        <v>299</v>
      </c>
      <c r="AE7" s="187" t="s">
        <v>299</v>
      </c>
      <c r="AF7" s="188" t="s">
        <v>299</v>
      </c>
      <c r="AG7" s="189" t="s">
        <v>331</v>
      </c>
      <c r="AH7" s="189" t="s">
        <v>331</v>
      </c>
      <c r="AI7" s="190" t="s">
        <v>331</v>
      </c>
      <c r="AJ7" s="187" t="s">
        <v>299</v>
      </c>
      <c r="AK7" s="187" t="s">
        <v>299</v>
      </c>
      <c r="AL7" s="188" t="s">
        <v>299</v>
      </c>
      <c r="AM7" s="189" t="s">
        <v>331</v>
      </c>
      <c r="AN7" s="189" t="s">
        <v>331</v>
      </c>
      <c r="AO7" s="190" t="s">
        <v>331</v>
      </c>
      <c r="AP7" s="539" t="s">
        <v>299</v>
      </c>
      <c r="AQ7" s="187" t="s">
        <v>299</v>
      </c>
      <c r="AR7" s="188" t="s">
        <v>299</v>
      </c>
      <c r="AS7" s="189" t="s">
        <v>331</v>
      </c>
      <c r="AT7" s="189" t="s">
        <v>331</v>
      </c>
      <c r="AU7" s="190" t="s">
        <v>331</v>
      </c>
      <c r="AV7" s="187" t="s">
        <v>299</v>
      </c>
      <c r="AW7" s="187" t="s">
        <v>299</v>
      </c>
      <c r="AX7" s="188" t="s">
        <v>299</v>
      </c>
      <c r="AY7" s="189" t="s">
        <v>331</v>
      </c>
      <c r="AZ7" s="189" t="s">
        <v>331</v>
      </c>
      <c r="BA7" s="190" t="s">
        <v>331</v>
      </c>
      <c r="BB7" s="187" t="s">
        <v>299</v>
      </c>
      <c r="BC7" s="187" t="s">
        <v>299</v>
      </c>
      <c r="BD7" s="188" t="s">
        <v>299</v>
      </c>
      <c r="BE7" s="189" t="s">
        <v>331</v>
      </c>
      <c r="BF7" s="189" t="s">
        <v>331</v>
      </c>
      <c r="BG7" s="190" t="s">
        <v>331</v>
      </c>
      <c r="BH7" s="187" t="s">
        <v>299</v>
      </c>
      <c r="BI7" s="187" t="s">
        <v>299</v>
      </c>
      <c r="BJ7" s="188" t="s">
        <v>299</v>
      </c>
      <c r="BK7" s="189" t="s">
        <v>331</v>
      </c>
      <c r="BL7" s="189" t="s">
        <v>331</v>
      </c>
      <c r="BM7" s="190" t="s">
        <v>331</v>
      </c>
      <c r="BN7" s="187" t="s">
        <v>299</v>
      </c>
      <c r="BO7" s="187" t="s">
        <v>299</v>
      </c>
      <c r="BP7" s="188" t="s">
        <v>299</v>
      </c>
      <c r="BQ7" s="189" t="s">
        <v>331</v>
      </c>
      <c r="BR7" s="189" t="s">
        <v>331</v>
      </c>
      <c r="BS7" s="190" t="s">
        <v>331</v>
      </c>
      <c r="BT7" s="187" t="s">
        <v>299</v>
      </c>
      <c r="BU7" s="187" t="s">
        <v>299</v>
      </c>
      <c r="BV7" s="188" t="s">
        <v>299</v>
      </c>
      <c r="BW7" s="189" t="s">
        <v>331</v>
      </c>
      <c r="BX7" s="189" t="s">
        <v>331</v>
      </c>
      <c r="BY7" s="190" t="s">
        <v>331</v>
      </c>
    </row>
    <row r="8" spans="1:77" s="112" customFormat="1" ht="15.75" customHeight="1" thickTop="1" thickBot="1" x14ac:dyDescent="0.25">
      <c r="A8" s="158" t="s">
        <v>98</v>
      </c>
      <c r="B8" s="159" t="s">
        <v>93</v>
      </c>
      <c r="C8" s="159" t="s">
        <v>300</v>
      </c>
      <c r="D8" s="158" t="s">
        <v>94</v>
      </c>
      <c r="E8" s="158" t="s">
        <v>95</v>
      </c>
      <c r="F8" s="160" t="s">
        <v>116</v>
      </c>
      <c r="G8" s="160" t="s">
        <v>117</v>
      </c>
      <c r="H8" s="160" t="s">
        <v>140</v>
      </c>
      <c r="I8" s="160" t="s">
        <v>118</v>
      </c>
      <c r="J8" s="160" t="s">
        <v>119</v>
      </c>
      <c r="K8" s="160" t="s">
        <v>141</v>
      </c>
      <c r="L8" s="627" t="s">
        <v>120</v>
      </c>
      <c r="M8" s="160" t="s">
        <v>121</v>
      </c>
      <c r="N8" s="160" t="s">
        <v>142</v>
      </c>
      <c r="O8" s="160" t="s">
        <v>122</v>
      </c>
      <c r="P8" s="160" t="s">
        <v>123</v>
      </c>
      <c r="Q8" s="160" t="s">
        <v>143</v>
      </c>
      <c r="R8" s="627" t="s">
        <v>124</v>
      </c>
      <c r="S8" s="160" t="s">
        <v>125</v>
      </c>
      <c r="T8" s="160" t="s">
        <v>144</v>
      </c>
      <c r="U8" s="160" t="s">
        <v>126</v>
      </c>
      <c r="V8" s="160" t="s">
        <v>127</v>
      </c>
      <c r="W8" s="160" t="s">
        <v>145</v>
      </c>
      <c r="X8" s="627" t="s">
        <v>128</v>
      </c>
      <c r="Y8" s="160" t="s">
        <v>129</v>
      </c>
      <c r="Z8" s="160" t="s">
        <v>146</v>
      </c>
      <c r="AA8" s="160" t="s">
        <v>130</v>
      </c>
      <c r="AB8" s="160" t="s">
        <v>131</v>
      </c>
      <c r="AC8" s="160" t="s">
        <v>147</v>
      </c>
      <c r="AD8" s="627" t="s">
        <v>132</v>
      </c>
      <c r="AE8" s="160" t="s">
        <v>133</v>
      </c>
      <c r="AF8" s="160" t="s">
        <v>148</v>
      </c>
      <c r="AG8" s="160" t="s">
        <v>134</v>
      </c>
      <c r="AH8" s="160" t="s">
        <v>135</v>
      </c>
      <c r="AI8" s="160" t="s">
        <v>149</v>
      </c>
      <c r="AJ8" s="627" t="s">
        <v>136</v>
      </c>
      <c r="AK8" s="160" t="s">
        <v>137</v>
      </c>
      <c r="AL8" s="160" t="s">
        <v>150</v>
      </c>
      <c r="AM8" s="160" t="s">
        <v>138</v>
      </c>
      <c r="AN8" s="160" t="s">
        <v>139</v>
      </c>
      <c r="AO8" s="160" t="s">
        <v>151</v>
      </c>
      <c r="AP8" s="515" t="s">
        <v>187</v>
      </c>
      <c r="AQ8" s="160" t="s">
        <v>152</v>
      </c>
      <c r="AR8" s="160" t="s">
        <v>153</v>
      </c>
      <c r="AS8" s="160" t="s">
        <v>154</v>
      </c>
      <c r="AT8" s="160" t="s">
        <v>155</v>
      </c>
      <c r="AU8" s="160" t="s">
        <v>156</v>
      </c>
      <c r="AV8" s="627" t="s">
        <v>157</v>
      </c>
      <c r="AW8" s="160" t="s">
        <v>158</v>
      </c>
      <c r="AX8" s="160" t="s">
        <v>159</v>
      </c>
      <c r="AY8" s="160" t="s">
        <v>160</v>
      </c>
      <c r="AZ8" s="160" t="s">
        <v>161</v>
      </c>
      <c r="BA8" s="160" t="s">
        <v>162</v>
      </c>
      <c r="BB8" s="628" t="s">
        <v>163</v>
      </c>
      <c r="BC8" s="160" t="s">
        <v>164</v>
      </c>
      <c r="BD8" s="160" t="s">
        <v>165</v>
      </c>
      <c r="BE8" s="160" t="s">
        <v>166</v>
      </c>
      <c r="BF8" s="160" t="s">
        <v>167</v>
      </c>
      <c r="BG8" s="160" t="s">
        <v>168</v>
      </c>
      <c r="BH8" s="627" t="s">
        <v>169</v>
      </c>
      <c r="BI8" s="160" t="s">
        <v>170</v>
      </c>
      <c r="BJ8" s="160" t="s">
        <v>171</v>
      </c>
      <c r="BK8" s="160" t="s">
        <v>172</v>
      </c>
      <c r="BL8" s="160" t="s">
        <v>173</v>
      </c>
      <c r="BM8" s="160" t="s">
        <v>174</v>
      </c>
      <c r="BN8" s="627" t="s">
        <v>175</v>
      </c>
      <c r="BO8" s="160" t="s">
        <v>176</v>
      </c>
      <c r="BP8" s="160" t="s">
        <v>177</v>
      </c>
      <c r="BQ8" s="160" t="s">
        <v>178</v>
      </c>
      <c r="BR8" s="160" t="s">
        <v>179</v>
      </c>
      <c r="BS8" s="160" t="s">
        <v>180</v>
      </c>
      <c r="BT8" s="627" t="s">
        <v>181</v>
      </c>
      <c r="BU8" s="160" t="s">
        <v>182</v>
      </c>
      <c r="BV8" s="160" t="s">
        <v>183</v>
      </c>
      <c r="BW8" s="160" t="s">
        <v>184</v>
      </c>
      <c r="BX8" s="160" t="s">
        <v>185</v>
      </c>
      <c r="BY8" s="160" t="s">
        <v>186</v>
      </c>
    </row>
    <row r="9" spans="1:77" s="619" customFormat="1" x14ac:dyDescent="0.2">
      <c r="A9" s="614" t="s">
        <v>97</v>
      </c>
      <c r="B9" s="615" t="s">
        <v>332</v>
      </c>
      <c r="C9" s="616"/>
      <c r="D9" s="617">
        <v>100858</v>
      </c>
      <c r="E9" s="618">
        <v>1</v>
      </c>
      <c r="F9" s="234">
        <v>274</v>
      </c>
      <c r="G9" s="208">
        <v>103814.52189781022</v>
      </c>
      <c r="H9" s="461">
        <f t="shared" ref="H9:H48" si="0">F9*G9</f>
        <v>28445179</v>
      </c>
      <c r="I9" s="194">
        <v>275</v>
      </c>
      <c r="J9" s="194">
        <v>106842.49090909091</v>
      </c>
      <c r="K9" s="464">
        <f t="shared" ref="K9:K48" si="1">I9*J9</f>
        <v>29381685</v>
      </c>
      <c r="L9" s="467">
        <v>275</v>
      </c>
      <c r="M9" s="467">
        <v>74071.858181818185</v>
      </c>
      <c r="N9" s="462">
        <f t="shared" ref="N9:N49" si="2">L9*M9</f>
        <v>20369761</v>
      </c>
      <c r="O9" s="300">
        <v>281</v>
      </c>
      <c r="P9" s="192">
        <v>75656.483985765124</v>
      </c>
      <c r="Q9" s="464">
        <f t="shared" ref="Q9:Q48" si="3">O9*P9</f>
        <v>21259472</v>
      </c>
      <c r="R9" s="467">
        <v>222</v>
      </c>
      <c r="S9" s="467">
        <v>62347.83783783784</v>
      </c>
      <c r="T9" s="462">
        <f t="shared" ref="T9:T49" si="4">R9*S9</f>
        <v>13841220</v>
      </c>
      <c r="U9" s="494">
        <v>194</v>
      </c>
      <c r="V9" s="191">
        <v>64950.953608247422</v>
      </c>
      <c r="W9" s="464">
        <f t="shared" ref="W9:W49" si="5">U9*V9</f>
        <v>12600485</v>
      </c>
      <c r="X9" s="467">
        <v>74</v>
      </c>
      <c r="Y9" s="467">
        <v>36088.972972972973</v>
      </c>
      <c r="Z9" s="462">
        <f t="shared" ref="Z9:Z50" si="6">X9*Y9</f>
        <v>2670584</v>
      </c>
      <c r="AA9" s="300">
        <v>80</v>
      </c>
      <c r="AB9" s="192">
        <v>39495.724999999999</v>
      </c>
      <c r="AC9" s="464">
        <f t="shared" ref="AC9:AC48" si="7">AA9*AB9</f>
        <v>3159658</v>
      </c>
      <c r="AD9" s="467">
        <v>10</v>
      </c>
      <c r="AE9" s="467">
        <v>54500</v>
      </c>
      <c r="AF9" s="462">
        <f t="shared" ref="AF9:AF48" si="8">AD9*AE9</f>
        <v>545000</v>
      </c>
      <c r="AG9" s="300">
        <v>8</v>
      </c>
      <c r="AH9" s="192">
        <v>55734.875</v>
      </c>
      <c r="AI9" s="464">
        <f t="shared" ref="AI9:AI51" si="9">AG9*AH9</f>
        <v>445879</v>
      </c>
      <c r="AJ9" s="467"/>
      <c r="AK9" s="467"/>
      <c r="AL9" s="462">
        <f t="shared" ref="AL9:AL50" si="10">AJ9*AK9</f>
        <v>0</v>
      </c>
      <c r="AM9" s="192"/>
      <c r="AN9" s="192"/>
      <c r="AO9" s="206">
        <f t="shared" ref="AO9:AO51" si="11">AM9*AN9</f>
        <v>0</v>
      </c>
      <c r="AP9" s="467">
        <v>174</v>
      </c>
      <c r="AQ9" s="467">
        <v>130509.14367816092</v>
      </c>
      <c r="AR9" s="462">
        <f t="shared" ref="AR9:AR72" si="12">(AP9*AQ9)*0.8182</f>
        <v>18580169.156199999</v>
      </c>
      <c r="AS9" s="300">
        <v>172</v>
      </c>
      <c r="AT9" s="192">
        <v>132969.04069767441</v>
      </c>
      <c r="AU9" s="464">
        <f t="shared" ref="AU9:AU72" si="13">(AS9*AT9)*0.8182</f>
        <v>18712786.285</v>
      </c>
      <c r="AV9" s="467">
        <v>92</v>
      </c>
      <c r="AW9" s="467">
        <v>92950.608695652176</v>
      </c>
      <c r="AX9" s="462">
        <f t="shared" ref="AX9:AX72" si="14">(AV9*AW9)*0.8182</f>
        <v>6996801.2992000002</v>
      </c>
      <c r="AY9" s="300">
        <v>90</v>
      </c>
      <c r="AZ9" s="192">
        <v>95775.03333333334</v>
      </c>
      <c r="BA9" s="464">
        <f t="shared" ref="BA9:BA72" si="15">(AY9*AZ9)*0.8182</f>
        <v>7052681.9046</v>
      </c>
      <c r="BB9" s="467">
        <v>63</v>
      </c>
      <c r="BC9" s="467">
        <v>81876.349206349201</v>
      </c>
      <c r="BD9" s="462">
        <f t="shared" ref="BD9:BD72" si="16">(BB9*BC9)*0.8182</f>
        <v>4220447.4220000003</v>
      </c>
      <c r="BE9" s="300">
        <v>61</v>
      </c>
      <c r="BF9" s="192">
        <v>84820.37704918033</v>
      </c>
      <c r="BG9" s="464">
        <f t="shared" ref="BG9:BG72" si="17">(BE9*BF9)*0.8182</f>
        <v>4233401.9825999998</v>
      </c>
      <c r="BH9" s="467">
        <v>11</v>
      </c>
      <c r="BI9" s="467">
        <v>59625.181818181816</v>
      </c>
      <c r="BJ9" s="462">
        <f t="shared" ref="BJ9:BJ72" si="18">(BH9*BI9)*0.8182</f>
        <v>536638.56140000001</v>
      </c>
      <c r="BK9" s="300">
        <v>14</v>
      </c>
      <c r="BL9" s="192">
        <v>59255.642857142855</v>
      </c>
      <c r="BM9" s="464">
        <f t="shared" ref="BM9:BM72" si="19">(BK9*BL9)*0.8182</f>
        <v>678761.53780000005</v>
      </c>
      <c r="BN9" s="467">
        <v>1</v>
      </c>
      <c r="BO9" s="467">
        <v>75000</v>
      </c>
      <c r="BP9" s="462">
        <f t="shared" ref="BP9:BP72" si="20">(BN9*BO9)*0.8182</f>
        <v>61365</v>
      </c>
      <c r="BQ9" s="300">
        <v>2</v>
      </c>
      <c r="BR9" s="192">
        <v>58806</v>
      </c>
      <c r="BS9" s="464">
        <f t="shared" ref="BS9:BS72" si="21">(BQ9*BR9)*0.8182</f>
        <v>96230.138400000011</v>
      </c>
      <c r="BT9" s="467"/>
      <c r="BU9" s="467"/>
      <c r="BV9" s="462">
        <f t="shared" ref="BV9:BV72" si="22">(BT9*BU9)*0.8182</f>
        <v>0</v>
      </c>
      <c r="BW9" s="192"/>
      <c r="BX9" s="192"/>
      <c r="BY9" s="463">
        <f t="shared" ref="BY9:BY72" si="23">(BW9*BX9)*0.8182</f>
        <v>0</v>
      </c>
    </row>
    <row r="10" spans="1:77" s="193" customFormat="1" x14ac:dyDescent="0.2">
      <c r="A10" s="620" t="s">
        <v>97</v>
      </c>
      <c r="B10" s="241" t="s">
        <v>333</v>
      </c>
      <c r="C10" s="242"/>
      <c r="D10" s="240">
        <v>100751</v>
      </c>
      <c r="E10" s="243">
        <v>1</v>
      </c>
      <c r="F10" s="234">
        <v>296</v>
      </c>
      <c r="G10" s="208">
        <v>121146.28716216216</v>
      </c>
      <c r="H10" s="461">
        <f t="shared" si="0"/>
        <v>35859301</v>
      </c>
      <c r="I10" s="194">
        <v>302</v>
      </c>
      <c r="J10" s="194">
        <v>129774.31456953642</v>
      </c>
      <c r="K10" s="464">
        <f t="shared" si="1"/>
        <v>39191843</v>
      </c>
      <c r="L10" s="467">
        <v>258</v>
      </c>
      <c r="M10" s="467">
        <v>84145.620155038763</v>
      </c>
      <c r="N10" s="462">
        <f t="shared" si="2"/>
        <v>21709570</v>
      </c>
      <c r="O10" s="300">
        <v>258</v>
      </c>
      <c r="P10" s="192">
        <v>89117.69767441861</v>
      </c>
      <c r="Q10" s="464">
        <f t="shared" si="3"/>
        <v>22992366</v>
      </c>
      <c r="R10" s="467">
        <v>275</v>
      </c>
      <c r="S10" s="467">
        <v>63799.934545454547</v>
      </c>
      <c r="T10" s="462">
        <f t="shared" si="4"/>
        <v>17544982</v>
      </c>
      <c r="U10" s="494">
        <v>285</v>
      </c>
      <c r="V10" s="191">
        <v>67388.807017543862</v>
      </c>
      <c r="W10" s="464">
        <f t="shared" si="5"/>
        <v>19205810</v>
      </c>
      <c r="X10" s="467">
        <v>177</v>
      </c>
      <c r="Y10" s="467">
        <v>40534.090395480227</v>
      </c>
      <c r="Z10" s="462">
        <f t="shared" si="6"/>
        <v>7174534</v>
      </c>
      <c r="AA10" s="300">
        <v>198</v>
      </c>
      <c r="AB10" s="192">
        <v>42848.702020202021</v>
      </c>
      <c r="AC10" s="464">
        <f t="shared" si="7"/>
        <v>8484043</v>
      </c>
      <c r="AD10" s="467">
        <v>10</v>
      </c>
      <c r="AE10" s="467">
        <v>62516.6</v>
      </c>
      <c r="AF10" s="462">
        <f t="shared" si="8"/>
        <v>625166</v>
      </c>
      <c r="AG10" s="300">
        <v>11</v>
      </c>
      <c r="AH10" s="192">
        <v>65635.181818181823</v>
      </c>
      <c r="AI10" s="464">
        <f t="shared" si="9"/>
        <v>721987</v>
      </c>
      <c r="AJ10" s="467"/>
      <c r="AK10" s="467"/>
      <c r="AL10" s="462">
        <f t="shared" si="10"/>
        <v>0</v>
      </c>
      <c r="AM10" s="192"/>
      <c r="AN10" s="192"/>
      <c r="AO10" s="206">
        <f t="shared" si="11"/>
        <v>0</v>
      </c>
      <c r="AP10" s="467">
        <v>30</v>
      </c>
      <c r="AQ10" s="467">
        <v>139047.33333333334</v>
      </c>
      <c r="AR10" s="462">
        <f t="shared" si="12"/>
        <v>3413055.8440000005</v>
      </c>
      <c r="AS10" s="300">
        <v>31</v>
      </c>
      <c r="AT10" s="192">
        <v>149399.61290322582</v>
      </c>
      <c r="AU10" s="464">
        <f t="shared" si="13"/>
        <v>3789401.6616000002</v>
      </c>
      <c r="AV10" s="467">
        <v>34</v>
      </c>
      <c r="AW10" s="467">
        <v>87088.617647058825</v>
      </c>
      <c r="AX10" s="462">
        <f t="shared" si="14"/>
        <v>2422700.8366</v>
      </c>
      <c r="AY10" s="300">
        <v>35</v>
      </c>
      <c r="AZ10" s="192">
        <v>92015.485714285707</v>
      </c>
      <c r="BA10" s="464">
        <f t="shared" si="15"/>
        <v>2635047.4643999999</v>
      </c>
      <c r="BB10" s="467">
        <v>63</v>
      </c>
      <c r="BC10" s="467">
        <v>70005.873015873018</v>
      </c>
      <c r="BD10" s="462">
        <f t="shared" si="16"/>
        <v>3608564.7340000002</v>
      </c>
      <c r="BE10" s="300">
        <v>59</v>
      </c>
      <c r="BF10" s="192">
        <v>72355.118644067799</v>
      </c>
      <c r="BG10" s="464">
        <f t="shared" si="17"/>
        <v>3492856.5264000003</v>
      </c>
      <c r="BH10" s="467">
        <v>28</v>
      </c>
      <c r="BI10" s="467">
        <v>45707.857142857145</v>
      </c>
      <c r="BJ10" s="462">
        <f t="shared" si="18"/>
        <v>1047148.724</v>
      </c>
      <c r="BK10" s="300">
        <v>34</v>
      </c>
      <c r="BL10" s="192">
        <v>50706.941176470587</v>
      </c>
      <c r="BM10" s="464">
        <f t="shared" si="19"/>
        <v>1410606.2552</v>
      </c>
      <c r="BN10" s="467">
        <v>4</v>
      </c>
      <c r="BO10" s="467">
        <v>101127.75</v>
      </c>
      <c r="BP10" s="462">
        <f t="shared" si="20"/>
        <v>330970.90020000003</v>
      </c>
      <c r="BQ10" s="300">
        <v>4</v>
      </c>
      <c r="BR10" s="192">
        <v>108230.5</v>
      </c>
      <c r="BS10" s="464">
        <f t="shared" si="21"/>
        <v>354216.78039999999</v>
      </c>
      <c r="BT10" s="467"/>
      <c r="BU10" s="467"/>
      <c r="BV10" s="462">
        <f t="shared" si="22"/>
        <v>0</v>
      </c>
      <c r="BW10" s="192"/>
      <c r="BX10" s="192"/>
      <c r="BY10" s="463">
        <f t="shared" si="23"/>
        <v>0</v>
      </c>
    </row>
    <row r="11" spans="1:77" s="193" customFormat="1" x14ac:dyDescent="0.2">
      <c r="A11" s="620" t="s">
        <v>97</v>
      </c>
      <c r="B11" s="241" t="s">
        <v>334</v>
      </c>
      <c r="C11" s="242" t="s">
        <v>1076</v>
      </c>
      <c r="D11" s="240">
        <v>100663</v>
      </c>
      <c r="E11" s="243">
        <v>1</v>
      </c>
      <c r="F11" s="234">
        <v>95</v>
      </c>
      <c r="G11" s="208">
        <v>100220.63157894737</v>
      </c>
      <c r="H11" s="461">
        <f t="shared" si="0"/>
        <v>9520960</v>
      </c>
      <c r="I11" s="194">
        <v>88</v>
      </c>
      <c r="J11" s="194">
        <v>105248.40909090909</v>
      </c>
      <c r="K11" s="464">
        <f t="shared" si="1"/>
        <v>9261860</v>
      </c>
      <c r="L11" s="467">
        <v>129</v>
      </c>
      <c r="M11" s="467">
        <v>73275.519379844962</v>
      </c>
      <c r="N11" s="462">
        <f t="shared" si="2"/>
        <v>9452542</v>
      </c>
      <c r="O11" s="300">
        <v>135</v>
      </c>
      <c r="P11" s="192">
        <v>77953.251851851848</v>
      </c>
      <c r="Q11" s="464">
        <f t="shared" si="3"/>
        <v>10523689</v>
      </c>
      <c r="R11" s="467">
        <v>123</v>
      </c>
      <c r="S11" s="467">
        <v>61291.764227642278</v>
      </c>
      <c r="T11" s="462">
        <f t="shared" si="4"/>
        <v>7538887</v>
      </c>
      <c r="U11" s="494">
        <v>124</v>
      </c>
      <c r="V11" s="191">
        <v>66733.693548387091</v>
      </c>
      <c r="W11" s="464">
        <f t="shared" si="5"/>
        <v>8274977.9999999991</v>
      </c>
      <c r="X11" s="467">
        <v>33</v>
      </c>
      <c r="Y11" s="467">
        <v>44140.818181818184</v>
      </c>
      <c r="Z11" s="462">
        <f t="shared" si="6"/>
        <v>1456647</v>
      </c>
      <c r="AA11" s="300">
        <v>34</v>
      </c>
      <c r="AB11" s="192">
        <v>49305.029411764706</v>
      </c>
      <c r="AC11" s="464">
        <f t="shared" si="7"/>
        <v>1676371</v>
      </c>
      <c r="AD11" s="467">
        <v>1</v>
      </c>
      <c r="AE11" s="467">
        <v>36000</v>
      </c>
      <c r="AF11" s="462">
        <f t="shared" si="8"/>
        <v>36000</v>
      </c>
      <c r="AG11" s="300"/>
      <c r="AH11" s="192"/>
      <c r="AI11" s="464">
        <f t="shared" si="9"/>
        <v>0</v>
      </c>
      <c r="AJ11" s="467"/>
      <c r="AK11" s="467"/>
      <c r="AL11" s="462">
        <f t="shared" si="10"/>
        <v>0</v>
      </c>
      <c r="AM11" s="192"/>
      <c r="AN11" s="192"/>
      <c r="AO11" s="206">
        <f t="shared" si="11"/>
        <v>0</v>
      </c>
      <c r="AP11" s="467">
        <v>134</v>
      </c>
      <c r="AQ11" s="467">
        <v>164336.39552238805</v>
      </c>
      <c r="AR11" s="462">
        <f t="shared" si="12"/>
        <v>18017645.201400001</v>
      </c>
      <c r="AS11" s="300">
        <v>129</v>
      </c>
      <c r="AT11" s="192">
        <v>174362.48837209304</v>
      </c>
      <c r="AU11" s="464">
        <f t="shared" si="13"/>
        <v>18403577.0502</v>
      </c>
      <c r="AV11" s="467">
        <v>128</v>
      </c>
      <c r="AW11" s="467">
        <v>113164.6953125</v>
      </c>
      <c r="AX11" s="462">
        <f t="shared" si="14"/>
        <v>11851693.2742</v>
      </c>
      <c r="AY11" s="300">
        <v>115</v>
      </c>
      <c r="AZ11" s="192">
        <v>117157</v>
      </c>
      <c r="BA11" s="464">
        <f t="shared" si="15"/>
        <v>11023653.601</v>
      </c>
      <c r="BB11" s="467">
        <v>159</v>
      </c>
      <c r="BC11" s="467">
        <v>84442.767295597485</v>
      </c>
      <c r="BD11" s="462">
        <f t="shared" si="16"/>
        <v>10985480.48</v>
      </c>
      <c r="BE11" s="300">
        <v>164</v>
      </c>
      <c r="BF11" s="192">
        <v>88705.152439024387</v>
      </c>
      <c r="BG11" s="464">
        <f t="shared" si="17"/>
        <v>11902883.139</v>
      </c>
      <c r="BH11" s="467">
        <v>59</v>
      </c>
      <c r="BI11" s="467">
        <v>73171.288135593219</v>
      </c>
      <c r="BJ11" s="462">
        <f t="shared" si="18"/>
        <v>3532256.1292000003</v>
      </c>
      <c r="BK11" s="300">
        <v>63</v>
      </c>
      <c r="BL11" s="192">
        <v>77287.476190476184</v>
      </c>
      <c r="BM11" s="464">
        <f t="shared" si="19"/>
        <v>3983906.6202000002</v>
      </c>
      <c r="BN11" s="467"/>
      <c r="BO11" s="467"/>
      <c r="BP11" s="462">
        <f t="shared" si="20"/>
        <v>0</v>
      </c>
      <c r="BQ11" s="300"/>
      <c r="BR11" s="192"/>
      <c r="BS11" s="464">
        <f t="shared" si="21"/>
        <v>0</v>
      </c>
      <c r="BT11" s="467"/>
      <c r="BU11" s="467"/>
      <c r="BV11" s="462">
        <f t="shared" si="22"/>
        <v>0</v>
      </c>
      <c r="BW11" s="192"/>
      <c r="BX11" s="192"/>
      <c r="BY11" s="463">
        <f t="shared" si="23"/>
        <v>0</v>
      </c>
    </row>
    <row r="12" spans="1:77" s="193" customFormat="1" x14ac:dyDescent="0.2">
      <c r="A12" s="620" t="s">
        <v>97</v>
      </c>
      <c r="B12" s="241" t="s">
        <v>335</v>
      </c>
      <c r="C12" s="242" t="s">
        <v>1077</v>
      </c>
      <c r="D12" s="240">
        <v>100706</v>
      </c>
      <c r="E12" s="243">
        <v>2</v>
      </c>
      <c r="F12" s="234">
        <v>62</v>
      </c>
      <c r="G12" s="208">
        <v>105593.08064516129</v>
      </c>
      <c r="H12" s="461">
        <f t="shared" si="0"/>
        <v>6546771</v>
      </c>
      <c r="I12" s="194">
        <v>61</v>
      </c>
      <c r="J12" s="194">
        <v>112870.4918032787</v>
      </c>
      <c r="K12" s="464">
        <f t="shared" si="1"/>
        <v>6885100</v>
      </c>
      <c r="L12" s="467">
        <v>80</v>
      </c>
      <c r="M12" s="467">
        <v>79203.574999999997</v>
      </c>
      <c r="N12" s="462">
        <f t="shared" si="2"/>
        <v>6336286</v>
      </c>
      <c r="O12" s="300">
        <v>77</v>
      </c>
      <c r="P12" s="192">
        <v>82463.58441558441</v>
      </c>
      <c r="Q12" s="464">
        <f t="shared" si="3"/>
        <v>6349696</v>
      </c>
      <c r="R12" s="467">
        <v>82</v>
      </c>
      <c r="S12" s="467">
        <v>64947.402439024387</v>
      </c>
      <c r="T12" s="462">
        <f t="shared" si="4"/>
        <v>5325687</v>
      </c>
      <c r="U12" s="494">
        <v>84</v>
      </c>
      <c r="V12" s="191">
        <v>68468.166666666672</v>
      </c>
      <c r="W12" s="464">
        <f t="shared" si="5"/>
        <v>5751326</v>
      </c>
      <c r="X12" s="467">
        <v>13</v>
      </c>
      <c r="Y12" s="467">
        <v>49537.538461538461</v>
      </c>
      <c r="Z12" s="462">
        <f t="shared" si="6"/>
        <v>643988</v>
      </c>
      <c r="AA12" s="300">
        <v>14</v>
      </c>
      <c r="AB12" s="192">
        <v>51734</v>
      </c>
      <c r="AC12" s="464">
        <f t="shared" si="7"/>
        <v>724276</v>
      </c>
      <c r="AD12" s="467">
        <v>29</v>
      </c>
      <c r="AE12" s="467">
        <v>46144.517241379312</v>
      </c>
      <c r="AF12" s="462">
        <f t="shared" si="8"/>
        <v>1338191</v>
      </c>
      <c r="AG12" s="300">
        <v>30</v>
      </c>
      <c r="AH12" s="192">
        <v>45818.033333333333</v>
      </c>
      <c r="AI12" s="464">
        <f t="shared" si="9"/>
        <v>1374541</v>
      </c>
      <c r="AJ12" s="467"/>
      <c r="AK12" s="467"/>
      <c r="AL12" s="462">
        <f t="shared" si="10"/>
        <v>0</v>
      </c>
      <c r="AM12" s="192"/>
      <c r="AN12" s="192"/>
      <c r="AO12" s="206">
        <f t="shared" si="11"/>
        <v>0</v>
      </c>
      <c r="AP12" s="467">
        <v>14</v>
      </c>
      <c r="AQ12" s="467">
        <v>157617.21428571429</v>
      </c>
      <c r="AR12" s="462">
        <f t="shared" si="12"/>
        <v>1805473.6662000001</v>
      </c>
      <c r="AS12" s="300">
        <v>18</v>
      </c>
      <c r="AT12" s="192">
        <v>147100.16666666666</v>
      </c>
      <c r="AU12" s="464">
        <f t="shared" si="13"/>
        <v>2166432.4146000003</v>
      </c>
      <c r="AV12" s="467">
        <v>9</v>
      </c>
      <c r="AW12" s="467">
        <v>93007.333333333328</v>
      </c>
      <c r="AX12" s="462">
        <f t="shared" si="14"/>
        <v>684887.40120000008</v>
      </c>
      <c r="AY12" s="300">
        <v>9</v>
      </c>
      <c r="AZ12" s="192">
        <v>84367.444444444438</v>
      </c>
      <c r="BA12" s="464">
        <f t="shared" si="15"/>
        <v>621264.98739999998</v>
      </c>
      <c r="BB12" s="467">
        <v>3</v>
      </c>
      <c r="BC12" s="467">
        <v>68495.333333333328</v>
      </c>
      <c r="BD12" s="462">
        <f t="shared" si="16"/>
        <v>168128.6452</v>
      </c>
      <c r="BE12" s="300">
        <v>3</v>
      </c>
      <c r="BF12" s="192">
        <v>70423.333333333328</v>
      </c>
      <c r="BG12" s="464">
        <f t="shared" si="17"/>
        <v>172861.114</v>
      </c>
      <c r="BH12" s="467">
        <v>0</v>
      </c>
      <c r="BI12" s="467"/>
      <c r="BJ12" s="462">
        <f t="shared" si="18"/>
        <v>0</v>
      </c>
      <c r="BK12" s="300"/>
      <c r="BL12" s="192"/>
      <c r="BM12" s="464">
        <f t="shared" si="19"/>
        <v>0</v>
      </c>
      <c r="BN12" s="467">
        <v>11</v>
      </c>
      <c r="BO12" s="467">
        <v>57670.272727272728</v>
      </c>
      <c r="BP12" s="462">
        <f t="shared" si="20"/>
        <v>519043.98860000004</v>
      </c>
      <c r="BQ12" s="300">
        <v>10</v>
      </c>
      <c r="BR12" s="192">
        <v>63162.8</v>
      </c>
      <c r="BS12" s="464">
        <f t="shared" si="21"/>
        <v>516798.02960000001</v>
      </c>
      <c r="BT12" s="467"/>
      <c r="BU12" s="467"/>
      <c r="BV12" s="462">
        <f t="shared" si="22"/>
        <v>0</v>
      </c>
      <c r="BW12" s="192"/>
      <c r="BX12" s="192"/>
      <c r="BY12" s="463">
        <f t="shared" si="23"/>
        <v>0</v>
      </c>
    </row>
    <row r="13" spans="1:77" s="193" customFormat="1" x14ac:dyDescent="0.2">
      <c r="A13" s="620" t="s">
        <v>97</v>
      </c>
      <c r="B13" s="241" t="s">
        <v>336</v>
      </c>
      <c r="C13" s="242"/>
      <c r="D13" s="240">
        <v>100654</v>
      </c>
      <c r="E13" s="243">
        <v>3</v>
      </c>
      <c r="F13" s="234">
        <v>34</v>
      </c>
      <c r="G13" s="208">
        <v>84814.558823529413</v>
      </c>
      <c r="H13" s="461">
        <f t="shared" si="0"/>
        <v>2883695</v>
      </c>
      <c r="I13" s="194">
        <v>38</v>
      </c>
      <c r="J13" s="194">
        <v>83425.236842105267</v>
      </c>
      <c r="K13" s="464">
        <f t="shared" si="1"/>
        <v>3170159</v>
      </c>
      <c r="L13" s="467">
        <v>53</v>
      </c>
      <c r="M13" s="467">
        <v>70266.679245283012</v>
      </c>
      <c r="N13" s="462">
        <f t="shared" si="2"/>
        <v>3724133.9999999995</v>
      </c>
      <c r="O13" s="300">
        <v>54</v>
      </c>
      <c r="P13" s="192">
        <v>66436.518518518526</v>
      </c>
      <c r="Q13" s="464">
        <f t="shared" si="3"/>
        <v>3587572.0000000005</v>
      </c>
      <c r="R13" s="467">
        <v>109</v>
      </c>
      <c r="S13" s="467">
        <v>54326.211009174309</v>
      </c>
      <c r="T13" s="462">
        <f t="shared" si="4"/>
        <v>5921557</v>
      </c>
      <c r="U13" s="494">
        <v>99</v>
      </c>
      <c r="V13" s="191">
        <v>54993.909090909088</v>
      </c>
      <c r="W13" s="464">
        <f t="shared" si="5"/>
        <v>5444397</v>
      </c>
      <c r="X13" s="467">
        <v>49</v>
      </c>
      <c r="Y13" s="467">
        <v>43632.244897959186</v>
      </c>
      <c r="Z13" s="462">
        <f t="shared" si="6"/>
        <v>2137980</v>
      </c>
      <c r="AA13" s="300">
        <v>40</v>
      </c>
      <c r="AB13" s="192">
        <v>42089.75</v>
      </c>
      <c r="AC13" s="464">
        <f t="shared" si="7"/>
        <v>1683590</v>
      </c>
      <c r="AD13" s="467"/>
      <c r="AE13" s="467"/>
      <c r="AF13" s="462">
        <f t="shared" si="8"/>
        <v>0</v>
      </c>
      <c r="AG13" s="300"/>
      <c r="AH13" s="192"/>
      <c r="AI13" s="464">
        <f t="shared" si="9"/>
        <v>0</v>
      </c>
      <c r="AJ13" s="467"/>
      <c r="AK13" s="467"/>
      <c r="AL13" s="462">
        <f t="shared" si="10"/>
        <v>0</v>
      </c>
      <c r="AM13" s="192"/>
      <c r="AN13" s="192"/>
      <c r="AO13" s="206">
        <f t="shared" si="11"/>
        <v>0</v>
      </c>
      <c r="AP13" s="467">
        <v>15</v>
      </c>
      <c r="AQ13" s="467">
        <v>108667.6</v>
      </c>
      <c r="AR13" s="462">
        <f t="shared" si="12"/>
        <v>1333677.4547999999</v>
      </c>
      <c r="AS13" s="300">
        <v>10</v>
      </c>
      <c r="AT13" s="192">
        <v>99836.800000000003</v>
      </c>
      <c r="AU13" s="464">
        <f t="shared" si="13"/>
        <v>816864.69760000007</v>
      </c>
      <c r="AV13" s="467">
        <v>8</v>
      </c>
      <c r="AW13" s="467">
        <v>94602.5</v>
      </c>
      <c r="AX13" s="462">
        <f t="shared" si="14"/>
        <v>619230.12400000007</v>
      </c>
      <c r="AY13" s="300">
        <v>6</v>
      </c>
      <c r="AZ13" s="192">
        <v>86760.5</v>
      </c>
      <c r="BA13" s="464">
        <f t="shared" si="15"/>
        <v>425924.64660000004</v>
      </c>
      <c r="BB13" s="467">
        <v>8</v>
      </c>
      <c r="BC13" s="467">
        <v>83487</v>
      </c>
      <c r="BD13" s="462">
        <f t="shared" si="16"/>
        <v>546472.50719999999</v>
      </c>
      <c r="BE13" s="300">
        <v>6</v>
      </c>
      <c r="BF13" s="192">
        <v>67765.166666666672</v>
      </c>
      <c r="BG13" s="464">
        <f t="shared" si="17"/>
        <v>332672.7562</v>
      </c>
      <c r="BH13" s="467">
        <v>0</v>
      </c>
      <c r="BI13" s="467"/>
      <c r="BJ13" s="462">
        <f t="shared" si="18"/>
        <v>0</v>
      </c>
      <c r="BK13" s="300">
        <v>1</v>
      </c>
      <c r="BL13" s="192">
        <v>73535</v>
      </c>
      <c r="BM13" s="464">
        <f t="shared" si="19"/>
        <v>60166.337</v>
      </c>
      <c r="BN13" s="467"/>
      <c r="BO13" s="467"/>
      <c r="BP13" s="462">
        <f t="shared" si="20"/>
        <v>0</v>
      </c>
      <c r="BQ13" s="300"/>
      <c r="BR13" s="192"/>
      <c r="BS13" s="464">
        <f t="shared" si="21"/>
        <v>0</v>
      </c>
      <c r="BT13" s="467"/>
      <c r="BU13" s="467"/>
      <c r="BV13" s="462">
        <f t="shared" si="22"/>
        <v>0</v>
      </c>
      <c r="BW13" s="192"/>
      <c r="BX13" s="192"/>
      <c r="BY13" s="463">
        <f t="shared" si="23"/>
        <v>0</v>
      </c>
    </row>
    <row r="14" spans="1:77" s="193" customFormat="1" x14ac:dyDescent="0.2">
      <c r="A14" s="620" t="s">
        <v>97</v>
      </c>
      <c r="B14" s="241" t="s">
        <v>337</v>
      </c>
      <c r="C14" s="242"/>
      <c r="D14" s="240">
        <v>101480</v>
      </c>
      <c r="E14" s="243">
        <v>3</v>
      </c>
      <c r="F14" s="234">
        <v>65</v>
      </c>
      <c r="G14" s="208">
        <v>77104.661538461543</v>
      </c>
      <c r="H14" s="461">
        <f t="shared" si="0"/>
        <v>5011803</v>
      </c>
      <c r="I14" s="194">
        <v>61</v>
      </c>
      <c r="J14" s="194">
        <v>79145.524590163928</v>
      </c>
      <c r="K14" s="464">
        <f t="shared" si="1"/>
        <v>4827877</v>
      </c>
      <c r="L14" s="467">
        <v>70</v>
      </c>
      <c r="M14" s="467">
        <v>61498.185714285712</v>
      </c>
      <c r="N14" s="462">
        <f t="shared" si="2"/>
        <v>4304873</v>
      </c>
      <c r="O14" s="300">
        <v>68</v>
      </c>
      <c r="P14" s="192">
        <v>64522.279411764706</v>
      </c>
      <c r="Q14" s="464">
        <f t="shared" si="3"/>
        <v>4387515</v>
      </c>
      <c r="R14" s="467">
        <v>74</v>
      </c>
      <c r="S14" s="467">
        <v>52794.770270270274</v>
      </c>
      <c r="T14" s="462">
        <f t="shared" si="4"/>
        <v>3906813.0000000005</v>
      </c>
      <c r="U14" s="494">
        <v>82</v>
      </c>
      <c r="V14" s="191">
        <v>54745.048780487807</v>
      </c>
      <c r="W14" s="464">
        <f t="shared" si="5"/>
        <v>4489094</v>
      </c>
      <c r="X14" s="467">
        <v>87</v>
      </c>
      <c r="Y14" s="467">
        <v>45997.919540229886</v>
      </c>
      <c r="Z14" s="462">
        <f t="shared" si="6"/>
        <v>4001819</v>
      </c>
      <c r="AA14" s="300">
        <v>83</v>
      </c>
      <c r="AB14" s="192">
        <v>46962.120481927712</v>
      </c>
      <c r="AC14" s="464">
        <f t="shared" si="7"/>
        <v>3897856</v>
      </c>
      <c r="AD14" s="467">
        <v>0</v>
      </c>
      <c r="AE14" s="467"/>
      <c r="AF14" s="462">
        <f t="shared" si="8"/>
        <v>0</v>
      </c>
      <c r="AG14" s="300"/>
      <c r="AH14" s="192"/>
      <c r="AI14" s="464">
        <f t="shared" si="9"/>
        <v>0</v>
      </c>
      <c r="AJ14" s="467"/>
      <c r="AK14" s="467"/>
      <c r="AL14" s="462">
        <f t="shared" si="10"/>
        <v>0</v>
      </c>
      <c r="AM14" s="192"/>
      <c r="AN14" s="192"/>
      <c r="AO14" s="206">
        <f t="shared" si="11"/>
        <v>0</v>
      </c>
      <c r="AP14" s="467">
        <v>25</v>
      </c>
      <c r="AQ14" s="467">
        <v>95260.52</v>
      </c>
      <c r="AR14" s="462">
        <f t="shared" si="12"/>
        <v>1948553.9366000001</v>
      </c>
      <c r="AS14" s="300">
        <v>22</v>
      </c>
      <c r="AT14" s="192">
        <v>98755.454545454544</v>
      </c>
      <c r="AU14" s="464">
        <f t="shared" si="13"/>
        <v>1777637.6840000001</v>
      </c>
      <c r="AV14" s="467">
        <v>3</v>
      </c>
      <c r="AW14" s="467">
        <v>81937.666666666672</v>
      </c>
      <c r="AX14" s="462">
        <f t="shared" si="14"/>
        <v>201124.1966</v>
      </c>
      <c r="AY14" s="300">
        <v>4</v>
      </c>
      <c r="AZ14" s="192">
        <v>85170.5</v>
      </c>
      <c r="BA14" s="464">
        <f t="shared" si="15"/>
        <v>278746.01240000001</v>
      </c>
      <c r="BB14" s="467">
        <v>1</v>
      </c>
      <c r="BC14" s="467">
        <v>84000</v>
      </c>
      <c r="BD14" s="462">
        <f t="shared" si="16"/>
        <v>68728.800000000003</v>
      </c>
      <c r="BE14" s="300"/>
      <c r="BF14" s="192"/>
      <c r="BG14" s="464">
        <f t="shared" si="17"/>
        <v>0</v>
      </c>
      <c r="BH14" s="467">
        <v>1</v>
      </c>
      <c r="BI14" s="467">
        <v>88382</v>
      </c>
      <c r="BJ14" s="462">
        <f t="shared" si="18"/>
        <v>72314.152400000006</v>
      </c>
      <c r="BK14" s="300">
        <v>1</v>
      </c>
      <c r="BL14" s="192">
        <v>90913</v>
      </c>
      <c r="BM14" s="464">
        <f t="shared" si="19"/>
        <v>74385.016600000003</v>
      </c>
      <c r="BN14" s="467"/>
      <c r="BO14" s="467"/>
      <c r="BP14" s="462">
        <f t="shared" si="20"/>
        <v>0</v>
      </c>
      <c r="BQ14" s="300"/>
      <c r="BR14" s="192"/>
      <c r="BS14" s="464">
        <f t="shared" si="21"/>
        <v>0</v>
      </c>
      <c r="BT14" s="467"/>
      <c r="BU14" s="467"/>
      <c r="BV14" s="462">
        <f t="shared" si="22"/>
        <v>0</v>
      </c>
      <c r="BW14" s="192"/>
      <c r="BX14" s="192"/>
      <c r="BY14" s="463">
        <f t="shared" si="23"/>
        <v>0</v>
      </c>
    </row>
    <row r="15" spans="1:77" s="193" customFormat="1" x14ac:dyDescent="0.2">
      <c r="A15" s="620" t="s">
        <v>97</v>
      </c>
      <c r="B15" s="241" t="s">
        <v>338</v>
      </c>
      <c r="C15" s="242"/>
      <c r="D15" s="240">
        <v>102368</v>
      </c>
      <c r="E15" s="243">
        <v>3</v>
      </c>
      <c r="F15" s="234">
        <v>41</v>
      </c>
      <c r="G15" s="208">
        <v>74425.658536585368</v>
      </c>
      <c r="H15" s="461">
        <f t="shared" si="0"/>
        <v>3051452</v>
      </c>
      <c r="I15" s="194">
        <v>39</v>
      </c>
      <c r="J15" s="194">
        <v>79341.205128205125</v>
      </c>
      <c r="K15" s="464">
        <f t="shared" si="1"/>
        <v>3094307</v>
      </c>
      <c r="L15" s="467">
        <v>66</v>
      </c>
      <c r="M15" s="467">
        <v>64259.696969696968</v>
      </c>
      <c r="N15" s="462">
        <f t="shared" si="2"/>
        <v>4241140</v>
      </c>
      <c r="O15" s="300">
        <v>73</v>
      </c>
      <c r="P15" s="192">
        <v>67724.479452054788</v>
      </c>
      <c r="Q15" s="464">
        <f t="shared" si="3"/>
        <v>4943886.9999999991</v>
      </c>
      <c r="R15" s="467">
        <v>128</v>
      </c>
      <c r="S15" s="467">
        <v>54718.1171875</v>
      </c>
      <c r="T15" s="462">
        <f t="shared" si="4"/>
        <v>7003919</v>
      </c>
      <c r="U15" s="494">
        <v>135</v>
      </c>
      <c r="V15" s="191">
        <v>58428.62222222222</v>
      </c>
      <c r="W15" s="464">
        <f t="shared" si="5"/>
        <v>7887864</v>
      </c>
      <c r="X15" s="467">
        <v>8</v>
      </c>
      <c r="Y15" s="467">
        <v>41606.625</v>
      </c>
      <c r="Z15" s="462">
        <f t="shared" si="6"/>
        <v>332853</v>
      </c>
      <c r="AA15" s="300">
        <v>8</v>
      </c>
      <c r="AB15" s="192">
        <v>43711.75</v>
      </c>
      <c r="AC15" s="464">
        <f t="shared" si="7"/>
        <v>349694</v>
      </c>
      <c r="AD15" s="467">
        <v>51</v>
      </c>
      <c r="AE15" s="467">
        <v>43292.156862745098</v>
      </c>
      <c r="AF15" s="462">
        <f t="shared" si="8"/>
        <v>2207900</v>
      </c>
      <c r="AG15" s="300">
        <v>52</v>
      </c>
      <c r="AH15" s="192">
        <v>45553.673076923078</v>
      </c>
      <c r="AI15" s="464">
        <f t="shared" si="9"/>
        <v>2368791</v>
      </c>
      <c r="AJ15" s="467"/>
      <c r="AK15" s="467"/>
      <c r="AL15" s="462">
        <f t="shared" si="10"/>
        <v>0</v>
      </c>
      <c r="AM15" s="192"/>
      <c r="AN15" s="192"/>
      <c r="AO15" s="206">
        <f t="shared" si="11"/>
        <v>0</v>
      </c>
      <c r="AP15" s="467">
        <v>40</v>
      </c>
      <c r="AQ15" s="467">
        <v>95214.024999999994</v>
      </c>
      <c r="AR15" s="462">
        <f t="shared" si="12"/>
        <v>3116164.6102</v>
      </c>
      <c r="AS15" s="300">
        <v>26</v>
      </c>
      <c r="AT15" s="192">
        <v>91501</v>
      </c>
      <c r="AU15" s="464">
        <f t="shared" si="13"/>
        <v>1946519.0732</v>
      </c>
      <c r="AV15" s="467">
        <v>40</v>
      </c>
      <c r="AW15" s="467">
        <v>83431.3</v>
      </c>
      <c r="AX15" s="462">
        <f t="shared" si="14"/>
        <v>2730539.5863999999</v>
      </c>
      <c r="AY15" s="300">
        <v>31</v>
      </c>
      <c r="AZ15" s="192">
        <v>77781.193548387091</v>
      </c>
      <c r="BA15" s="464">
        <f t="shared" si="15"/>
        <v>1972857.7494000001</v>
      </c>
      <c r="BB15" s="467">
        <v>35</v>
      </c>
      <c r="BC15" s="467">
        <v>61924.514285714286</v>
      </c>
      <c r="BD15" s="462">
        <f t="shared" si="16"/>
        <v>1773332.3156000001</v>
      </c>
      <c r="BE15" s="300">
        <v>31</v>
      </c>
      <c r="BF15" s="192">
        <v>67317.354838709682</v>
      </c>
      <c r="BG15" s="464">
        <f t="shared" si="17"/>
        <v>1707450.8516000002</v>
      </c>
      <c r="BH15" s="467">
        <v>6</v>
      </c>
      <c r="BI15" s="467">
        <v>46432.166666666664</v>
      </c>
      <c r="BJ15" s="462">
        <f t="shared" si="18"/>
        <v>227944.79260000002</v>
      </c>
      <c r="BK15" s="300">
        <v>7</v>
      </c>
      <c r="BL15" s="192">
        <v>48331.142857142855</v>
      </c>
      <c r="BM15" s="464">
        <f t="shared" si="19"/>
        <v>276811.78760000004</v>
      </c>
      <c r="BN15" s="467">
        <v>18</v>
      </c>
      <c r="BO15" s="467">
        <v>41458.777777777781</v>
      </c>
      <c r="BP15" s="462">
        <f t="shared" si="20"/>
        <v>610588.29560000007</v>
      </c>
      <c r="BQ15" s="300">
        <v>18</v>
      </c>
      <c r="BR15" s="192">
        <v>45267.388888888891</v>
      </c>
      <c r="BS15" s="464">
        <f t="shared" si="21"/>
        <v>666679.99660000007</v>
      </c>
      <c r="BT15" s="467"/>
      <c r="BU15" s="467"/>
      <c r="BV15" s="462">
        <f t="shared" si="22"/>
        <v>0</v>
      </c>
      <c r="BW15" s="192"/>
      <c r="BX15" s="192"/>
      <c r="BY15" s="463">
        <f t="shared" si="23"/>
        <v>0</v>
      </c>
    </row>
    <row r="16" spans="1:77" s="193" customFormat="1" x14ac:dyDescent="0.2">
      <c r="A16" s="620" t="s">
        <v>97</v>
      </c>
      <c r="B16" s="241" t="s">
        <v>339</v>
      </c>
      <c r="C16" s="242"/>
      <c r="D16" s="240">
        <v>102094</v>
      </c>
      <c r="E16" s="243">
        <v>3</v>
      </c>
      <c r="F16" s="234">
        <v>72</v>
      </c>
      <c r="G16" s="208">
        <v>88060.416666666672</v>
      </c>
      <c r="H16" s="461">
        <f t="shared" si="0"/>
        <v>6340350</v>
      </c>
      <c r="I16" s="194">
        <v>71</v>
      </c>
      <c r="J16" s="194">
        <v>90444.718309859149</v>
      </c>
      <c r="K16" s="464">
        <f t="shared" si="1"/>
        <v>6421575</v>
      </c>
      <c r="L16" s="467">
        <v>85</v>
      </c>
      <c r="M16" s="467">
        <v>65650.75294117647</v>
      </c>
      <c r="N16" s="462">
        <f t="shared" si="2"/>
        <v>5580314</v>
      </c>
      <c r="O16" s="300">
        <v>102</v>
      </c>
      <c r="P16" s="192">
        <v>67523</v>
      </c>
      <c r="Q16" s="464">
        <f t="shared" si="3"/>
        <v>6887346</v>
      </c>
      <c r="R16" s="467">
        <v>106</v>
      </c>
      <c r="S16" s="467">
        <v>55380.547169811318</v>
      </c>
      <c r="T16" s="462">
        <f t="shared" si="4"/>
        <v>5870338</v>
      </c>
      <c r="U16" s="494">
        <v>97</v>
      </c>
      <c r="V16" s="191">
        <v>57019.85567010309</v>
      </c>
      <c r="W16" s="464">
        <f t="shared" si="5"/>
        <v>5530926</v>
      </c>
      <c r="X16" s="467">
        <v>64</v>
      </c>
      <c r="Y16" s="467">
        <v>43305.640625</v>
      </c>
      <c r="Z16" s="462">
        <f t="shared" si="6"/>
        <v>2771561</v>
      </c>
      <c r="AA16" s="300">
        <v>67</v>
      </c>
      <c r="AB16" s="192">
        <v>44646.029850746272</v>
      </c>
      <c r="AC16" s="464">
        <f t="shared" si="7"/>
        <v>2991284</v>
      </c>
      <c r="AD16" s="467">
        <v>1</v>
      </c>
      <c r="AE16" s="467">
        <v>47881</v>
      </c>
      <c r="AF16" s="462">
        <f t="shared" si="8"/>
        <v>47881</v>
      </c>
      <c r="AG16" s="300">
        <v>1</v>
      </c>
      <c r="AH16" s="192">
        <v>49078</v>
      </c>
      <c r="AI16" s="464">
        <f t="shared" si="9"/>
        <v>49078</v>
      </c>
      <c r="AJ16" s="467"/>
      <c r="AK16" s="467"/>
      <c r="AL16" s="462">
        <f t="shared" si="10"/>
        <v>0</v>
      </c>
      <c r="AM16" s="192"/>
      <c r="AN16" s="192"/>
      <c r="AO16" s="206">
        <f t="shared" si="11"/>
        <v>0</v>
      </c>
      <c r="AP16" s="467">
        <v>47</v>
      </c>
      <c r="AQ16" s="467">
        <v>100651.82978723405</v>
      </c>
      <c r="AR16" s="462">
        <f t="shared" si="12"/>
        <v>3870606.3752000001</v>
      </c>
      <c r="AS16" s="300">
        <v>47</v>
      </c>
      <c r="AT16" s="192">
        <v>104061.87234042553</v>
      </c>
      <c r="AU16" s="464">
        <f t="shared" si="13"/>
        <v>4001740.9256000002</v>
      </c>
      <c r="AV16" s="467">
        <v>27</v>
      </c>
      <c r="AW16" s="467">
        <v>84719.037037037036</v>
      </c>
      <c r="AX16" s="462">
        <f t="shared" si="14"/>
        <v>1871562.1348000001</v>
      </c>
      <c r="AY16" s="300">
        <v>28</v>
      </c>
      <c r="AZ16" s="192">
        <v>89730.892857142855</v>
      </c>
      <c r="BA16" s="464">
        <f t="shared" si="15"/>
        <v>2055698.8630000001</v>
      </c>
      <c r="BB16" s="467">
        <v>51</v>
      </c>
      <c r="BC16" s="467">
        <v>74455.627450980392</v>
      </c>
      <c r="BD16" s="462">
        <f t="shared" si="16"/>
        <v>3106899.3134000003</v>
      </c>
      <c r="BE16" s="300">
        <v>45</v>
      </c>
      <c r="BF16" s="192">
        <v>77989.399999999994</v>
      </c>
      <c r="BG16" s="464">
        <f t="shared" si="17"/>
        <v>2871491.7185999998</v>
      </c>
      <c r="BH16" s="467">
        <v>61</v>
      </c>
      <c r="BI16" s="467">
        <v>61227.360655737706</v>
      </c>
      <c r="BJ16" s="462">
        <f t="shared" si="18"/>
        <v>3055869.8158</v>
      </c>
      <c r="BK16" s="300">
        <v>66</v>
      </c>
      <c r="BL16" s="192">
        <v>63722.681818181816</v>
      </c>
      <c r="BM16" s="464">
        <f t="shared" si="19"/>
        <v>3441101.2853999999</v>
      </c>
      <c r="BN16" s="467"/>
      <c r="BO16" s="467"/>
      <c r="BP16" s="462">
        <f t="shared" si="20"/>
        <v>0</v>
      </c>
      <c r="BQ16" s="300">
        <v>0</v>
      </c>
      <c r="BR16" s="192"/>
      <c r="BS16" s="464">
        <f t="shared" si="21"/>
        <v>0</v>
      </c>
      <c r="BT16" s="467"/>
      <c r="BU16" s="467"/>
      <c r="BV16" s="462">
        <f t="shared" si="22"/>
        <v>0</v>
      </c>
      <c r="BW16" s="192"/>
      <c r="BX16" s="192"/>
      <c r="BY16" s="463">
        <f t="shared" si="23"/>
        <v>0</v>
      </c>
    </row>
    <row r="17" spans="1:77" s="193" customFormat="1" ht="12.75" customHeight="1" x14ac:dyDescent="0.2">
      <c r="A17" s="620" t="s">
        <v>97</v>
      </c>
      <c r="B17" s="241" t="s">
        <v>340</v>
      </c>
      <c r="C17" s="242"/>
      <c r="D17" s="240">
        <v>100724</v>
      </c>
      <c r="E17" s="243">
        <v>4</v>
      </c>
      <c r="F17" s="234">
        <v>59</v>
      </c>
      <c r="G17" s="208">
        <v>87086.03389830509</v>
      </c>
      <c r="H17" s="461">
        <f t="shared" si="0"/>
        <v>5138076</v>
      </c>
      <c r="I17" s="194">
        <v>61</v>
      </c>
      <c r="J17" s="194">
        <v>85745.721311475412</v>
      </c>
      <c r="K17" s="464">
        <f t="shared" si="1"/>
        <v>5230489</v>
      </c>
      <c r="L17" s="467">
        <v>54</v>
      </c>
      <c r="M17" s="467">
        <v>67757.555555555562</v>
      </c>
      <c r="N17" s="462">
        <f t="shared" si="2"/>
        <v>3658908.0000000005</v>
      </c>
      <c r="O17" s="300">
        <v>52</v>
      </c>
      <c r="P17" s="192">
        <v>68973</v>
      </c>
      <c r="Q17" s="464">
        <f t="shared" si="3"/>
        <v>3586596</v>
      </c>
      <c r="R17" s="467">
        <v>76</v>
      </c>
      <c r="S17" s="467">
        <v>56013.447368421053</v>
      </c>
      <c r="T17" s="462">
        <f t="shared" si="4"/>
        <v>4257022</v>
      </c>
      <c r="U17" s="494">
        <v>75</v>
      </c>
      <c r="V17" s="191">
        <v>56116.906666666669</v>
      </c>
      <c r="W17" s="464">
        <f t="shared" si="5"/>
        <v>4208768</v>
      </c>
      <c r="X17" s="467">
        <v>53</v>
      </c>
      <c r="Y17" s="467">
        <v>46175.622641509435</v>
      </c>
      <c r="Z17" s="462">
        <f t="shared" si="6"/>
        <v>2447308</v>
      </c>
      <c r="AA17" s="300">
        <v>49</v>
      </c>
      <c r="AB17" s="192">
        <v>46151.551020408166</v>
      </c>
      <c r="AC17" s="464">
        <f t="shared" si="7"/>
        <v>2261426</v>
      </c>
      <c r="AD17" s="467"/>
      <c r="AE17" s="467"/>
      <c r="AF17" s="462">
        <f t="shared" si="8"/>
        <v>0</v>
      </c>
      <c r="AG17" s="300"/>
      <c r="AH17" s="192"/>
      <c r="AI17" s="464">
        <f t="shared" si="9"/>
        <v>0</v>
      </c>
      <c r="AJ17" s="467"/>
      <c r="AK17" s="467"/>
      <c r="AL17" s="462">
        <f t="shared" si="10"/>
        <v>0</v>
      </c>
      <c r="AM17" s="192"/>
      <c r="AN17" s="192"/>
      <c r="AO17" s="206">
        <f t="shared" si="11"/>
        <v>0</v>
      </c>
      <c r="AP17" s="467">
        <v>1</v>
      </c>
      <c r="AQ17" s="467">
        <v>76752</v>
      </c>
      <c r="AR17" s="462">
        <f t="shared" si="12"/>
        <v>62798.486400000002</v>
      </c>
      <c r="AS17" s="300">
        <v>3</v>
      </c>
      <c r="AT17" s="192">
        <v>99084.666666666672</v>
      </c>
      <c r="AU17" s="464">
        <f t="shared" si="13"/>
        <v>243213.22280000002</v>
      </c>
      <c r="AV17" s="467">
        <v>2</v>
      </c>
      <c r="AW17" s="467">
        <v>72855</v>
      </c>
      <c r="AX17" s="462">
        <f t="shared" si="14"/>
        <v>119219.92200000001</v>
      </c>
      <c r="AY17" s="300">
        <v>7</v>
      </c>
      <c r="AZ17" s="192">
        <v>85506.857142857145</v>
      </c>
      <c r="BA17" s="464">
        <f t="shared" si="15"/>
        <v>489731.97360000003</v>
      </c>
      <c r="BB17" s="467">
        <v>4</v>
      </c>
      <c r="BC17" s="467">
        <v>67091</v>
      </c>
      <c r="BD17" s="462">
        <f t="shared" si="16"/>
        <v>219575.42480000001</v>
      </c>
      <c r="BE17" s="300">
        <v>4</v>
      </c>
      <c r="BF17" s="192">
        <v>85417.75</v>
      </c>
      <c r="BG17" s="464">
        <f t="shared" si="17"/>
        <v>279555.21220000001</v>
      </c>
      <c r="BH17" s="467">
        <v>4</v>
      </c>
      <c r="BI17" s="467">
        <v>47257.5</v>
      </c>
      <c r="BJ17" s="462">
        <f t="shared" si="18"/>
        <v>154664.34600000002</v>
      </c>
      <c r="BK17" s="300">
        <v>5</v>
      </c>
      <c r="BL17" s="192">
        <v>51042.400000000001</v>
      </c>
      <c r="BM17" s="464">
        <f t="shared" si="19"/>
        <v>208814.4584</v>
      </c>
      <c r="BN17" s="467"/>
      <c r="BO17" s="467"/>
      <c r="BP17" s="462">
        <f t="shared" si="20"/>
        <v>0</v>
      </c>
      <c r="BQ17" s="300">
        <v>0</v>
      </c>
      <c r="BR17" s="192"/>
      <c r="BS17" s="464">
        <f t="shared" si="21"/>
        <v>0</v>
      </c>
      <c r="BT17" s="467"/>
      <c r="BU17" s="467"/>
      <c r="BV17" s="462">
        <f t="shared" si="22"/>
        <v>0</v>
      </c>
      <c r="BW17" s="192"/>
      <c r="BX17" s="192"/>
      <c r="BY17" s="463">
        <f t="shared" si="23"/>
        <v>0</v>
      </c>
    </row>
    <row r="18" spans="1:77" s="193" customFormat="1" ht="12.75" customHeight="1" x14ac:dyDescent="0.2">
      <c r="A18" s="620" t="s">
        <v>97</v>
      </c>
      <c r="B18" s="241" t="s">
        <v>341</v>
      </c>
      <c r="C18" s="242"/>
      <c r="D18" s="240">
        <v>100830</v>
      </c>
      <c r="E18" s="243">
        <v>4</v>
      </c>
      <c r="F18" s="234">
        <v>37</v>
      </c>
      <c r="G18" s="208">
        <v>81686.810810810814</v>
      </c>
      <c r="H18" s="461">
        <f t="shared" si="0"/>
        <v>3022412</v>
      </c>
      <c r="I18" s="194">
        <v>42</v>
      </c>
      <c r="J18" s="194">
        <v>81671.904761904763</v>
      </c>
      <c r="K18" s="464">
        <f t="shared" si="1"/>
        <v>3430220</v>
      </c>
      <c r="L18" s="467">
        <v>49</v>
      </c>
      <c r="M18" s="467">
        <v>64441.428571428572</v>
      </c>
      <c r="N18" s="462">
        <f t="shared" si="2"/>
        <v>3157630</v>
      </c>
      <c r="O18" s="300">
        <v>47</v>
      </c>
      <c r="P18" s="192">
        <v>67226.914893617024</v>
      </c>
      <c r="Q18" s="464">
        <f t="shared" si="3"/>
        <v>3159665</v>
      </c>
      <c r="R18" s="467">
        <v>52</v>
      </c>
      <c r="S18" s="467">
        <v>52586.153846153844</v>
      </c>
      <c r="T18" s="462">
        <f t="shared" si="4"/>
        <v>2734480</v>
      </c>
      <c r="U18" s="494">
        <v>51</v>
      </c>
      <c r="V18" s="191">
        <v>51185.568627450979</v>
      </c>
      <c r="W18" s="464">
        <f t="shared" si="5"/>
        <v>2610464</v>
      </c>
      <c r="X18" s="467">
        <v>6</v>
      </c>
      <c r="Y18" s="467">
        <v>36500</v>
      </c>
      <c r="Z18" s="462">
        <f t="shared" si="6"/>
        <v>219000</v>
      </c>
      <c r="AA18" s="300">
        <v>16</v>
      </c>
      <c r="AB18" s="192">
        <v>37535.6875</v>
      </c>
      <c r="AC18" s="464">
        <f t="shared" si="7"/>
        <v>600571</v>
      </c>
      <c r="AD18" s="467"/>
      <c r="AE18" s="467"/>
      <c r="AF18" s="462">
        <f t="shared" si="8"/>
        <v>0</v>
      </c>
      <c r="AG18" s="300"/>
      <c r="AH18" s="192"/>
      <c r="AI18" s="464">
        <f t="shared" si="9"/>
        <v>0</v>
      </c>
      <c r="AJ18" s="467"/>
      <c r="AK18" s="467"/>
      <c r="AL18" s="462">
        <f t="shared" si="10"/>
        <v>0</v>
      </c>
      <c r="AM18" s="192"/>
      <c r="AN18" s="192"/>
      <c r="AO18" s="206">
        <f t="shared" si="11"/>
        <v>0</v>
      </c>
      <c r="AP18" s="467">
        <v>9</v>
      </c>
      <c r="AQ18" s="467">
        <v>89784.777777777781</v>
      </c>
      <c r="AR18" s="462">
        <f t="shared" si="12"/>
        <v>661157.14659999998</v>
      </c>
      <c r="AS18" s="300">
        <v>11</v>
      </c>
      <c r="AT18" s="192">
        <v>104829.36363636363</v>
      </c>
      <c r="AU18" s="464">
        <f t="shared" si="13"/>
        <v>943485.23860000004</v>
      </c>
      <c r="AV18" s="467">
        <v>14</v>
      </c>
      <c r="AW18" s="467">
        <v>87504.857142857145</v>
      </c>
      <c r="AX18" s="462">
        <f t="shared" si="14"/>
        <v>1002350.6376</v>
      </c>
      <c r="AY18" s="300">
        <v>15</v>
      </c>
      <c r="AZ18" s="192">
        <v>88674.066666666666</v>
      </c>
      <c r="BA18" s="464">
        <f t="shared" si="15"/>
        <v>1088296.8202</v>
      </c>
      <c r="BB18" s="467">
        <v>7</v>
      </c>
      <c r="BC18" s="467">
        <v>64331.714285714283</v>
      </c>
      <c r="BD18" s="462">
        <f t="shared" si="16"/>
        <v>368453.46040000004</v>
      </c>
      <c r="BE18" s="300">
        <v>12</v>
      </c>
      <c r="BF18" s="192">
        <v>63886.833333333336</v>
      </c>
      <c r="BG18" s="464">
        <f t="shared" si="17"/>
        <v>627266.48440000007</v>
      </c>
      <c r="BH18" s="467">
        <v>4</v>
      </c>
      <c r="BI18" s="467">
        <v>54919</v>
      </c>
      <c r="BJ18" s="462">
        <f t="shared" si="18"/>
        <v>179738.9032</v>
      </c>
      <c r="BK18" s="300">
        <v>3</v>
      </c>
      <c r="BL18" s="192">
        <v>52452.333333333336</v>
      </c>
      <c r="BM18" s="464">
        <f t="shared" si="19"/>
        <v>128749.49740000001</v>
      </c>
      <c r="BN18" s="467">
        <v>2</v>
      </c>
      <c r="BO18" s="467">
        <v>90660</v>
      </c>
      <c r="BP18" s="462">
        <f t="shared" si="20"/>
        <v>148356.024</v>
      </c>
      <c r="BQ18" s="300">
        <v>1</v>
      </c>
      <c r="BR18" s="192">
        <v>81736</v>
      </c>
      <c r="BS18" s="464">
        <f t="shared" si="21"/>
        <v>66876.395199999999</v>
      </c>
      <c r="BT18" s="467"/>
      <c r="BU18" s="467"/>
      <c r="BV18" s="462">
        <f t="shared" si="22"/>
        <v>0</v>
      </c>
      <c r="BW18" s="192"/>
      <c r="BX18" s="192"/>
      <c r="BY18" s="463">
        <f t="shared" si="23"/>
        <v>0</v>
      </c>
    </row>
    <row r="19" spans="1:77" s="193" customFormat="1" ht="12.75" customHeight="1" x14ac:dyDescent="0.2">
      <c r="A19" s="620" t="s">
        <v>97</v>
      </c>
      <c r="B19" s="241" t="s">
        <v>342</v>
      </c>
      <c r="C19" s="242"/>
      <c r="D19" s="240">
        <v>101879</v>
      </c>
      <c r="E19" s="243">
        <v>4</v>
      </c>
      <c r="F19" s="234">
        <v>74</v>
      </c>
      <c r="G19" s="208">
        <v>76153.689189189186</v>
      </c>
      <c r="H19" s="461">
        <f t="shared" si="0"/>
        <v>5635373</v>
      </c>
      <c r="I19" s="194">
        <v>78</v>
      </c>
      <c r="J19" s="194">
        <v>78557.397435897437</v>
      </c>
      <c r="K19" s="464">
        <f t="shared" si="1"/>
        <v>6127477</v>
      </c>
      <c r="L19" s="467">
        <v>52</v>
      </c>
      <c r="M19" s="467">
        <v>65875.153846153844</v>
      </c>
      <c r="N19" s="462">
        <f t="shared" si="2"/>
        <v>3425508</v>
      </c>
      <c r="O19" s="300">
        <v>48</v>
      </c>
      <c r="P19" s="192">
        <v>67588.020833333328</v>
      </c>
      <c r="Q19" s="464">
        <f t="shared" si="3"/>
        <v>3244225</v>
      </c>
      <c r="R19" s="467">
        <v>79</v>
      </c>
      <c r="S19" s="467">
        <v>54918.810126582277</v>
      </c>
      <c r="T19" s="462">
        <f t="shared" si="4"/>
        <v>4338586</v>
      </c>
      <c r="U19" s="494">
        <v>75</v>
      </c>
      <c r="V19" s="191">
        <v>56298.746666666666</v>
      </c>
      <c r="W19" s="464">
        <f t="shared" si="5"/>
        <v>4222406</v>
      </c>
      <c r="X19" s="467">
        <v>24</v>
      </c>
      <c r="Y19" s="467">
        <v>47679.458333333336</v>
      </c>
      <c r="Z19" s="462">
        <f t="shared" si="6"/>
        <v>1144307</v>
      </c>
      <c r="AA19" s="300">
        <v>23</v>
      </c>
      <c r="AB19" s="192">
        <v>49584.739130434784</v>
      </c>
      <c r="AC19" s="464">
        <f t="shared" si="7"/>
        <v>1140449</v>
      </c>
      <c r="AD19" s="467"/>
      <c r="AE19" s="467"/>
      <c r="AF19" s="462">
        <f t="shared" si="8"/>
        <v>0</v>
      </c>
      <c r="AG19" s="300"/>
      <c r="AH19" s="192"/>
      <c r="AI19" s="464">
        <f t="shared" si="9"/>
        <v>0</v>
      </c>
      <c r="AJ19" s="467"/>
      <c r="AK19" s="467"/>
      <c r="AL19" s="462">
        <f t="shared" si="10"/>
        <v>0</v>
      </c>
      <c r="AM19" s="192"/>
      <c r="AN19" s="192"/>
      <c r="AO19" s="206">
        <f t="shared" si="11"/>
        <v>0</v>
      </c>
      <c r="AP19" s="467">
        <v>5</v>
      </c>
      <c r="AQ19" s="467">
        <v>90974.6</v>
      </c>
      <c r="AR19" s="462">
        <f t="shared" si="12"/>
        <v>372177.08860000002</v>
      </c>
      <c r="AS19" s="300">
        <v>3</v>
      </c>
      <c r="AT19" s="192">
        <v>93735</v>
      </c>
      <c r="AU19" s="464">
        <f t="shared" si="13"/>
        <v>230081.93100000001</v>
      </c>
      <c r="AV19" s="467"/>
      <c r="AW19" s="467"/>
      <c r="AX19" s="462">
        <f t="shared" si="14"/>
        <v>0</v>
      </c>
      <c r="AY19" s="300">
        <v>1</v>
      </c>
      <c r="AZ19" s="192">
        <v>82299</v>
      </c>
      <c r="BA19" s="464">
        <f t="shared" si="15"/>
        <v>67337.041800000006</v>
      </c>
      <c r="BB19" s="467">
        <v>4</v>
      </c>
      <c r="BC19" s="467">
        <v>65743.75</v>
      </c>
      <c r="BD19" s="462">
        <f t="shared" si="16"/>
        <v>215166.14500000002</v>
      </c>
      <c r="BE19" s="300">
        <v>3</v>
      </c>
      <c r="BF19" s="192">
        <v>65831</v>
      </c>
      <c r="BG19" s="464">
        <f t="shared" si="17"/>
        <v>161588.7726</v>
      </c>
      <c r="BH19" s="467"/>
      <c r="BI19" s="467"/>
      <c r="BJ19" s="462">
        <f t="shared" si="18"/>
        <v>0</v>
      </c>
      <c r="BK19" s="300">
        <v>1</v>
      </c>
      <c r="BL19" s="192">
        <v>40436</v>
      </c>
      <c r="BM19" s="464">
        <f t="shared" si="19"/>
        <v>33084.735200000003</v>
      </c>
      <c r="BN19" s="467"/>
      <c r="BO19" s="467"/>
      <c r="BP19" s="462">
        <f t="shared" si="20"/>
        <v>0</v>
      </c>
      <c r="BQ19" s="300"/>
      <c r="BR19" s="192"/>
      <c r="BS19" s="464">
        <f t="shared" si="21"/>
        <v>0</v>
      </c>
      <c r="BT19" s="467"/>
      <c r="BU19" s="467"/>
      <c r="BV19" s="462">
        <f t="shared" si="22"/>
        <v>0</v>
      </c>
      <c r="BW19" s="192"/>
      <c r="BX19" s="192"/>
      <c r="BY19" s="463">
        <f t="shared" si="23"/>
        <v>0</v>
      </c>
    </row>
    <row r="20" spans="1:77" s="193" customFormat="1" ht="12.75" customHeight="1" x14ac:dyDescent="0.2">
      <c r="A20" s="620" t="s">
        <v>97</v>
      </c>
      <c r="B20" s="241" t="s">
        <v>343</v>
      </c>
      <c r="C20" s="242"/>
      <c r="D20" s="240">
        <v>101709</v>
      </c>
      <c r="E20" s="243">
        <v>5</v>
      </c>
      <c r="F20" s="234">
        <v>34</v>
      </c>
      <c r="G20" s="208">
        <v>75971.470588235301</v>
      </c>
      <c r="H20" s="461">
        <f t="shared" si="0"/>
        <v>2583030</v>
      </c>
      <c r="I20" s="194">
        <v>32</v>
      </c>
      <c r="J20" s="194">
        <v>77687</v>
      </c>
      <c r="K20" s="464">
        <f t="shared" si="1"/>
        <v>2485984</v>
      </c>
      <c r="L20" s="467">
        <v>42</v>
      </c>
      <c r="M20" s="467">
        <v>61071.761904761908</v>
      </c>
      <c r="N20" s="462">
        <f t="shared" si="2"/>
        <v>2565014</v>
      </c>
      <c r="O20" s="300">
        <v>43</v>
      </c>
      <c r="P20" s="192">
        <v>59897.046511627908</v>
      </c>
      <c r="Q20" s="464">
        <f t="shared" si="3"/>
        <v>2575573</v>
      </c>
      <c r="R20" s="467">
        <v>52</v>
      </c>
      <c r="S20" s="467">
        <v>49170.538461538461</v>
      </c>
      <c r="T20" s="462">
        <f t="shared" si="4"/>
        <v>2556868</v>
      </c>
      <c r="U20" s="494">
        <v>47</v>
      </c>
      <c r="V20" s="191">
        <v>51219.893617021276</v>
      </c>
      <c r="W20" s="464">
        <f t="shared" si="5"/>
        <v>2407335</v>
      </c>
      <c r="X20" s="467">
        <v>3</v>
      </c>
      <c r="Y20" s="467">
        <v>42909</v>
      </c>
      <c r="Z20" s="462">
        <f t="shared" si="6"/>
        <v>128727</v>
      </c>
      <c r="AA20" s="300">
        <v>3</v>
      </c>
      <c r="AB20" s="192">
        <v>47747.666666666664</v>
      </c>
      <c r="AC20" s="464">
        <f t="shared" si="7"/>
        <v>143243</v>
      </c>
      <c r="AD20" s="467"/>
      <c r="AE20" s="467"/>
      <c r="AF20" s="462">
        <f t="shared" si="8"/>
        <v>0</v>
      </c>
      <c r="AG20" s="300"/>
      <c r="AH20" s="192"/>
      <c r="AI20" s="464">
        <f t="shared" si="9"/>
        <v>0</v>
      </c>
      <c r="AJ20" s="467"/>
      <c r="AK20" s="467"/>
      <c r="AL20" s="462">
        <f t="shared" si="10"/>
        <v>0</v>
      </c>
      <c r="AM20" s="192"/>
      <c r="AN20" s="192"/>
      <c r="AO20" s="206">
        <f t="shared" si="11"/>
        <v>0</v>
      </c>
      <c r="AP20" s="467"/>
      <c r="AQ20" s="467"/>
      <c r="AR20" s="462">
        <f t="shared" si="12"/>
        <v>0</v>
      </c>
      <c r="AS20" s="300"/>
      <c r="AT20" s="192"/>
      <c r="AU20" s="464">
        <f t="shared" si="13"/>
        <v>0</v>
      </c>
      <c r="AV20" s="467"/>
      <c r="AW20" s="467"/>
      <c r="AX20" s="462">
        <f t="shared" si="14"/>
        <v>0</v>
      </c>
      <c r="AY20" s="300"/>
      <c r="AZ20" s="192"/>
      <c r="BA20" s="464">
        <f t="shared" si="15"/>
        <v>0</v>
      </c>
      <c r="BB20" s="467"/>
      <c r="BC20" s="467"/>
      <c r="BD20" s="462">
        <f t="shared" si="16"/>
        <v>0</v>
      </c>
      <c r="BE20" s="300"/>
      <c r="BF20" s="192"/>
      <c r="BG20" s="464">
        <f t="shared" si="17"/>
        <v>0</v>
      </c>
      <c r="BH20" s="467"/>
      <c r="BI20" s="467"/>
      <c r="BJ20" s="462">
        <f t="shared" si="18"/>
        <v>0</v>
      </c>
      <c r="BK20" s="300"/>
      <c r="BL20" s="192"/>
      <c r="BM20" s="464">
        <f t="shared" si="19"/>
        <v>0</v>
      </c>
      <c r="BN20" s="467"/>
      <c r="BO20" s="467"/>
      <c r="BP20" s="462">
        <f t="shared" si="20"/>
        <v>0</v>
      </c>
      <c r="BQ20" s="300"/>
      <c r="BR20" s="192"/>
      <c r="BS20" s="464">
        <f t="shared" si="21"/>
        <v>0</v>
      </c>
      <c r="BT20" s="467"/>
      <c r="BU20" s="467"/>
      <c r="BV20" s="462">
        <f t="shared" si="22"/>
        <v>0</v>
      </c>
      <c r="BW20" s="192"/>
      <c r="BX20" s="192"/>
      <c r="BY20" s="463">
        <f t="shared" si="23"/>
        <v>0</v>
      </c>
    </row>
    <row r="21" spans="1:77" s="193" customFormat="1" ht="12.75" customHeight="1" x14ac:dyDescent="0.2">
      <c r="A21" s="620" t="s">
        <v>97</v>
      </c>
      <c r="B21" s="241" t="s">
        <v>344</v>
      </c>
      <c r="C21" s="242"/>
      <c r="D21" s="240">
        <v>101587</v>
      </c>
      <c r="E21" s="243">
        <v>5</v>
      </c>
      <c r="F21" s="234">
        <v>27</v>
      </c>
      <c r="G21" s="208">
        <v>61491.296296296299</v>
      </c>
      <c r="H21" s="461">
        <f t="shared" si="0"/>
        <v>1660265</v>
      </c>
      <c r="I21" s="194">
        <v>13</v>
      </c>
      <c r="J21" s="194">
        <v>72260.153846153844</v>
      </c>
      <c r="K21" s="464">
        <f t="shared" si="1"/>
        <v>939382</v>
      </c>
      <c r="L21" s="467">
        <v>24</v>
      </c>
      <c r="M21" s="467">
        <v>62906.333333333336</v>
      </c>
      <c r="N21" s="462">
        <f t="shared" si="2"/>
        <v>1509752</v>
      </c>
      <c r="O21" s="300">
        <v>21</v>
      </c>
      <c r="P21" s="192">
        <v>61986.047619047618</v>
      </c>
      <c r="Q21" s="464">
        <f t="shared" si="3"/>
        <v>1301707</v>
      </c>
      <c r="R21" s="467">
        <v>45</v>
      </c>
      <c r="S21" s="467">
        <v>49731.244444444441</v>
      </c>
      <c r="T21" s="462">
        <f t="shared" si="4"/>
        <v>2237906</v>
      </c>
      <c r="U21" s="494">
        <v>57</v>
      </c>
      <c r="V21" s="191">
        <v>49249.631578947367</v>
      </c>
      <c r="W21" s="464">
        <f t="shared" si="5"/>
        <v>2807229</v>
      </c>
      <c r="X21" s="467">
        <v>9</v>
      </c>
      <c r="Y21" s="467">
        <v>41163.777777777781</v>
      </c>
      <c r="Z21" s="462">
        <f t="shared" si="6"/>
        <v>370474</v>
      </c>
      <c r="AA21" s="300">
        <v>12</v>
      </c>
      <c r="AB21" s="192">
        <v>40373.5</v>
      </c>
      <c r="AC21" s="464">
        <f t="shared" si="7"/>
        <v>484482</v>
      </c>
      <c r="AD21" s="467">
        <v>5</v>
      </c>
      <c r="AE21" s="467">
        <v>31210.400000000001</v>
      </c>
      <c r="AF21" s="462">
        <f t="shared" si="8"/>
        <v>156052</v>
      </c>
      <c r="AG21" s="300">
        <v>5</v>
      </c>
      <c r="AH21" s="192">
        <v>31210.400000000001</v>
      </c>
      <c r="AI21" s="464">
        <f t="shared" si="9"/>
        <v>156052</v>
      </c>
      <c r="AJ21" s="467"/>
      <c r="AK21" s="467"/>
      <c r="AL21" s="462">
        <f t="shared" si="10"/>
        <v>0</v>
      </c>
      <c r="AM21" s="192"/>
      <c r="AN21" s="192"/>
      <c r="AO21" s="206">
        <f t="shared" si="11"/>
        <v>0</v>
      </c>
      <c r="AP21" s="467"/>
      <c r="AQ21" s="467"/>
      <c r="AR21" s="462">
        <f t="shared" si="12"/>
        <v>0</v>
      </c>
      <c r="AS21" s="300"/>
      <c r="AT21" s="192"/>
      <c r="AU21" s="464">
        <f t="shared" si="13"/>
        <v>0</v>
      </c>
      <c r="AV21" s="467"/>
      <c r="AW21" s="467"/>
      <c r="AX21" s="462">
        <f t="shared" si="14"/>
        <v>0</v>
      </c>
      <c r="AY21" s="300"/>
      <c r="AZ21" s="192"/>
      <c r="BA21" s="464">
        <f t="shared" si="15"/>
        <v>0</v>
      </c>
      <c r="BB21" s="467"/>
      <c r="BC21" s="467"/>
      <c r="BD21" s="462">
        <f t="shared" si="16"/>
        <v>0</v>
      </c>
      <c r="BE21" s="300"/>
      <c r="BF21" s="192"/>
      <c r="BG21" s="464">
        <f t="shared" si="17"/>
        <v>0</v>
      </c>
      <c r="BH21" s="467"/>
      <c r="BI21" s="467"/>
      <c r="BJ21" s="462">
        <f t="shared" si="18"/>
        <v>0</v>
      </c>
      <c r="BK21" s="300"/>
      <c r="BL21" s="192"/>
      <c r="BM21" s="464">
        <f t="shared" si="19"/>
        <v>0</v>
      </c>
      <c r="BN21" s="467">
        <v>3</v>
      </c>
      <c r="BO21" s="467">
        <v>31000</v>
      </c>
      <c r="BP21" s="462">
        <f t="shared" si="20"/>
        <v>76092.600000000006</v>
      </c>
      <c r="BQ21" s="300">
        <v>4</v>
      </c>
      <c r="BR21" s="192">
        <v>123000</v>
      </c>
      <c r="BS21" s="464">
        <f t="shared" si="21"/>
        <v>402554.4</v>
      </c>
      <c r="BT21" s="467"/>
      <c r="BU21" s="467"/>
      <c r="BV21" s="462">
        <f t="shared" si="22"/>
        <v>0</v>
      </c>
      <c r="BW21" s="192"/>
      <c r="BX21" s="192"/>
      <c r="BY21" s="463">
        <f t="shared" si="23"/>
        <v>0</v>
      </c>
    </row>
    <row r="22" spans="1:77" s="193" customFormat="1" ht="12.75" customHeight="1" x14ac:dyDescent="0.2">
      <c r="A22" s="620" t="s">
        <v>97</v>
      </c>
      <c r="B22" s="245" t="s">
        <v>345</v>
      </c>
      <c r="C22" s="246"/>
      <c r="D22" s="240">
        <v>100812</v>
      </c>
      <c r="E22" s="243">
        <v>6</v>
      </c>
      <c r="F22" s="234">
        <v>17</v>
      </c>
      <c r="G22" s="208">
        <v>84287</v>
      </c>
      <c r="H22" s="461">
        <f t="shared" si="0"/>
        <v>1432879</v>
      </c>
      <c r="I22" s="194">
        <v>16</v>
      </c>
      <c r="J22" s="194">
        <v>84454.5625</v>
      </c>
      <c r="K22" s="464">
        <f t="shared" si="1"/>
        <v>1351273</v>
      </c>
      <c r="L22" s="467">
        <v>16</v>
      </c>
      <c r="M22" s="467">
        <v>70319.5</v>
      </c>
      <c r="N22" s="462">
        <f t="shared" si="2"/>
        <v>1125112</v>
      </c>
      <c r="O22" s="300">
        <v>17</v>
      </c>
      <c r="P22" s="192">
        <v>73266.76470588235</v>
      </c>
      <c r="Q22" s="464">
        <f t="shared" si="3"/>
        <v>1245535</v>
      </c>
      <c r="R22" s="467">
        <v>39</v>
      </c>
      <c r="S22" s="467">
        <v>60620.256410256414</v>
      </c>
      <c r="T22" s="462">
        <f t="shared" si="4"/>
        <v>2364190</v>
      </c>
      <c r="U22" s="494">
        <v>35</v>
      </c>
      <c r="V22" s="191">
        <v>60361.857142857145</v>
      </c>
      <c r="W22" s="464">
        <f t="shared" si="5"/>
        <v>2112665</v>
      </c>
      <c r="X22" s="467">
        <v>2</v>
      </c>
      <c r="Y22" s="467">
        <v>63018</v>
      </c>
      <c r="Z22" s="462">
        <f t="shared" si="6"/>
        <v>126036</v>
      </c>
      <c r="AA22" s="300">
        <v>1</v>
      </c>
      <c r="AB22" s="192">
        <v>59858</v>
      </c>
      <c r="AC22" s="464">
        <f t="shared" si="7"/>
        <v>59858</v>
      </c>
      <c r="AD22" s="467"/>
      <c r="AE22" s="467"/>
      <c r="AF22" s="462">
        <f t="shared" si="8"/>
        <v>0</v>
      </c>
      <c r="AG22" s="300"/>
      <c r="AH22" s="192"/>
      <c r="AI22" s="464">
        <f t="shared" si="9"/>
        <v>0</v>
      </c>
      <c r="AJ22" s="467"/>
      <c r="AK22" s="467"/>
      <c r="AL22" s="462">
        <f t="shared" si="10"/>
        <v>0</v>
      </c>
      <c r="AM22" s="192"/>
      <c r="AN22" s="192"/>
      <c r="AO22" s="206">
        <f t="shared" si="11"/>
        <v>0</v>
      </c>
      <c r="AP22" s="467">
        <v>4</v>
      </c>
      <c r="AQ22" s="467">
        <v>104502.25</v>
      </c>
      <c r="AR22" s="462">
        <f t="shared" si="12"/>
        <v>342014.96380000003</v>
      </c>
      <c r="AS22" s="300">
        <v>4</v>
      </c>
      <c r="AT22" s="192">
        <v>104502.25</v>
      </c>
      <c r="AU22" s="464">
        <f t="shared" si="13"/>
        <v>342014.96380000003</v>
      </c>
      <c r="AV22" s="467">
        <v>4</v>
      </c>
      <c r="AW22" s="467">
        <v>91814</v>
      </c>
      <c r="AX22" s="462">
        <f t="shared" si="14"/>
        <v>300488.85920000001</v>
      </c>
      <c r="AY22" s="300">
        <v>6</v>
      </c>
      <c r="AZ22" s="192">
        <v>90312.5</v>
      </c>
      <c r="BA22" s="464">
        <f t="shared" si="15"/>
        <v>443362.125</v>
      </c>
      <c r="BB22" s="467">
        <v>3</v>
      </c>
      <c r="BC22" s="467">
        <v>82174</v>
      </c>
      <c r="BD22" s="462">
        <f t="shared" si="16"/>
        <v>201704.30040000001</v>
      </c>
      <c r="BE22" s="300">
        <v>4</v>
      </c>
      <c r="BF22" s="192">
        <v>83604.5</v>
      </c>
      <c r="BG22" s="464">
        <f t="shared" si="17"/>
        <v>273620.8076</v>
      </c>
      <c r="BH22" s="467">
        <v>1</v>
      </c>
      <c r="BI22" s="467">
        <v>22000</v>
      </c>
      <c r="BJ22" s="462">
        <f t="shared" si="18"/>
        <v>18000.400000000001</v>
      </c>
      <c r="BK22" s="300">
        <v>2</v>
      </c>
      <c r="BL22" s="192">
        <v>46346.5</v>
      </c>
      <c r="BM22" s="464">
        <f t="shared" si="19"/>
        <v>75841.412600000011</v>
      </c>
      <c r="BN22" s="467"/>
      <c r="BO22" s="467"/>
      <c r="BP22" s="462">
        <f t="shared" si="20"/>
        <v>0</v>
      </c>
      <c r="BQ22" s="300"/>
      <c r="BR22" s="192"/>
      <c r="BS22" s="464">
        <f t="shared" si="21"/>
        <v>0</v>
      </c>
      <c r="BT22" s="467"/>
      <c r="BU22" s="467"/>
      <c r="BV22" s="462">
        <f t="shared" si="22"/>
        <v>0</v>
      </c>
      <c r="BW22" s="192"/>
      <c r="BX22" s="192"/>
      <c r="BY22" s="463">
        <f t="shared" si="23"/>
        <v>0</v>
      </c>
    </row>
    <row r="23" spans="1:77" s="193" customFormat="1" ht="12.75" customHeight="1" x14ac:dyDescent="0.2">
      <c r="A23" s="620" t="s">
        <v>97</v>
      </c>
      <c r="B23" s="241" t="s">
        <v>350</v>
      </c>
      <c r="C23" s="269" t="s">
        <v>388</v>
      </c>
      <c r="D23" s="240">
        <v>101240</v>
      </c>
      <c r="E23" s="270">
        <v>8</v>
      </c>
      <c r="F23" s="234"/>
      <c r="G23" s="208"/>
      <c r="H23" s="461">
        <f t="shared" si="0"/>
        <v>0</v>
      </c>
      <c r="I23" s="194"/>
      <c r="J23" s="194"/>
      <c r="K23" s="464">
        <f t="shared" si="1"/>
        <v>0</v>
      </c>
      <c r="L23" s="467"/>
      <c r="M23" s="467"/>
      <c r="N23" s="462">
        <f t="shared" si="2"/>
        <v>0</v>
      </c>
      <c r="O23" s="300"/>
      <c r="P23" s="192"/>
      <c r="Q23" s="464">
        <f t="shared" si="3"/>
        <v>0</v>
      </c>
      <c r="R23" s="467"/>
      <c r="S23" s="467"/>
      <c r="T23" s="462">
        <f t="shared" si="4"/>
        <v>0</v>
      </c>
      <c r="U23" s="494"/>
      <c r="V23" s="191"/>
      <c r="W23" s="464">
        <f t="shared" si="5"/>
        <v>0</v>
      </c>
      <c r="X23" s="467"/>
      <c r="Y23" s="467"/>
      <c r="Z23" s="462">
        <f t="shared" si="6"/>
        <v>0</v>
      </c>
      <c r="AA23" s="300"/>
      <c r="AB23" s="192"/>
      <c r="AC23" s="464">
        <f t="shared" si="7"/>
        <v>0</v>
      </c>
      <c r="AD23" s="467"/>
      <c r="AE23" s="467"/>
      <c r="AF23" s="462">
        <f t="shared" si="8"/>
        <v>0</v>
      </c>
      <c r="AG23" s="300"/>
      <c r="AH23" s="192"/>
      <c r="AI23" s="464">
        <f t="shared" si="9"/>
        <v>0</v>
      </c>
      <c r="AJ23" s="467">
        <v>152</v>
      </c>
      <c r="AK23" s="467">
        <v>53533.230263157893</v>
      </c>
      <c r="AL23" s="462">
        <f t="shared" si="10"/>
        <v>8137051</v>
      </c>
      <c r="AM23" s="192">
        <v>152</v>
      </c>
      <c r="AN23" s="192">
        <v>54025.868421052633</v>
      </c>
      <c r="AO23" s="206">
        <f t="shared" si="11"/>
        <v>8211932</v>
      </c>
      <c r="AP23" s="467"/>
      <c r="AQ23" s="467"/>
      <c r="AR23" s="462">
        <f t="shared" si="12"/>
        <v>0</v>
      </c>
      <c r="AS23" s="300"/>
      <c r="AT23" s="192"/>
      <c r="AU23" s="464">
        <f t="shared" si="13"/>
        <v>0</v>
      </c>
      <c r="AV23" s="467"/>
      <c r="AW23" s="467"/>
      <c r="AX23" s="462">
        <f t="shared" si="14"/>
        <v>0</v>
      </c>
      <c r="AY23" s="300"/>
      <c r="AZ23" s="192"/>
      <c r="BA23" s="464">
        <f t="shared" si="15"/>
        <v>0</v>
      </c>
      <c r="BB23" s="467"/>
      <c r="BC23" s="467"/>
      <c r="BD23" s="462">
        <f t="shared" si="16"/>
        <v>0</v>
      </c>
      <c r="BE23" s="300"/>
      <c r="BF23" s="192"/>
      <c r="BG23" s="464">
        <f t="shared" si="17"/>
        <v>0</v>
      </c>
      <c r="BH23" s="467"/>
      <c r="BI23" s="467"/>
      <c r="BJ23" s="462">
        <f t="shared" si="18"/>
        <v>0</v>
      </c>
      <c r="BK23" s="300"/>
      <c r="BL23" s="192"/>
      <c r="BM23" s="464">
        <f t="shared" si="19"/>
        <v>0</v>
      </c>
      <c r="BN23" s="467"/>
      <c r="BO23" s="467"/>
      <c r="BP23" s="462">
        <f t="shared" si="20"/>
        <v>0</v>
      </c>
      <c r="BQ23" s="300"/>
      <c r="BR23" s="192"/>
      <c r="BS23" s="464">
        <f t="shared" si="21"/>
        <v>0</v>
      </c>
      <c r="BT23" s="467">
        <v>1</v>
      </c>
      <c r="BU23" s="467">
        <v>90487</v>
      </c>
      <c r="BV23" s="462">
        <f t="shared" si="22"/>
        <v>74036.463400000008</v>
      </c>
      <c r="BW23" s="192">
        <v>1</v>
      </c>
      <c r="BX23" s="192">
        <v>90487</v>
      </c>
      <c r="BY23" s="463">
        <f t="shared" si="23"/>
        <v>74036.463400000008</v>
      </c>
    </row>
    <row r="24" spans="1:77" s="193" customFormat="1" ht="12.75" customHeight="1" x14ac:dyDescent="0.2">
      <c r="A24" s="620" t="s">
        <v>97</v>
      </c>
      <c r="B24" s="241" t="s">
        <v>346</v>
      </c>
      <c r="C24" s="242"/>
      <c r="D24" s="240">
        <v>101505</v>
      </c>
      <c r="E24" s="243">
        <v>8</v>
      </c>
      <c r="F24" s="234"/>
      <c r="G24" s="208"/>
      <c r="H24" s="461">
        <f t="shared" si="0"/>
        <v>0</v>
      </c>
      <c r="I24" s="194"/>
      <c r="J24" s="194"/>
      <c r="K24" s="464">
        <f t="shared" si="1"/>
        <v>0</v>
      </c>
      <c r="L24" s="467"/>
      <c r="M24" s="467"/>
      <c r="N24" s="462">
        <f t="shared" si="2"/>
        <v>0</v>
      </c>
      <c r="O24" s="300"/>
      <c r="P24" s="192"/>
      <c r="Q24" s="464">
        <f t="shared" si="3"/>
        <v>0</v>
      </c>
      <c r="R24" s="467"/>
      <c r="S24" s="467"/>
      <c r="T24" s="462">
        <f t="shared" si="4"/>
        <v>0</v>
      </c>
      <c r="U24" s="494"/>
      <c r="V24" s="191"/>
      <c r="W24" s="464">
        <f t="shared" si="5"/>
        <v>0</v>
      </c>
      <c r="X24" s="467"/>
      <c r="Y24" s="467"/>
      <c r="Z24" s="462">
        <f t="shared" si="6"/>
        <v>0</v>
      </c>
      <c r="AA24" s="300"/>
      <c r="AB24" s="192"/>
      <c r="AC24" s="464">
        <f t="shared" si="7"/>
        <v>0</v>
      </c>
      <c r="AD24" s="467"/>
      <c r="AE24" s="467"/>
      <c r="AF24" s="462">
        <f t="shared" si="8"/>
        <v>0</v>
      </c>
      <c r="AG24" s="300"/>
      <c r="AH24" s="192"/>
      <c r="AI24" s="464">
        <f t="shared" si="9"/>
        <v>0</v>
      </c>
      <c r="AJ24" s="467">
        <v>120</v>
      </c>
      <c r="AK24" s="467">
        <v>53171.566666666666</v>
      </c>
      <c r="AL24" s="462">
        <f t="shared" si="10"/>
        <v>6380588</v>
      </c>
      <c r="AM24" s="192">
        <v>120</v>
      </c>
      <c r="AN24" s="192">
        <v>53864.95</v>
      </c>
      <c r="AO24" s="206">
        <f t="shared" si="11"/>
        <v>6463794</v>
      </c>
      <c r="AP24" s="467"/>
      <c r="AQ24" s="467"/>
      <c r="AR24" s="462">
        <f t="shared" si="12"/>
        <v>0</v>
      </c>
      <c r="AS24" s="300"/>
      <c r="AT24" s="192"/>
      <c r="AU24" s="464">
        <f t="shared" si="13"/>
        <v>0</v>
      </c>
      <c r="AV24" s="467"/>
      <c r="AW24" s="467"/>
      <c r="AX24" s="462">
        <f t="shared" si="14"/>
        <v>0</v>
      </c>
      <c r="AY24" s="300"/>
      <c r="AZ24" s="192"/>
      <c r="BA24" s="464">
        <f t="shared" si="15"/>
        <v>0</v>
      </c>
      <c r="BB24" s="467"/>
      <c r="BC24" s="467"/>
      <c r="BD24" s="462">
        <f t="shared" si="16"/>
        <v>0</v>
      </c>
      <c r="BE24" s="300"/>
      <c r="BF24" s="192"/>
      <c r="BG24" s="464">
        <f t="shared" si="17"/>
        <v>0</v>
      </c>
      <c r="BH24" s="467"/>
      <c r="BI24" s="467"/>
      <c r="BJ24" s="462">
        <f t="shared" si="18"/>
        <v>0</v>
      </c>
      <c r="BK24" s="300"/>
      <c r="BL24" s="192"/>
      <c r="BM24" s="464">
        <f t="shared" si="19"/>
        <v>0</v>
      </c>
      <c r="BN24" s="467"/>
      <c r="BO24" s="467"/>
      <c r="BP24" s="462">
        <f t="shared" si="20"/>
        <v>0</v>
      </c>
      <c r="BQ24" s="300"/>
      <c r="BR24" s="192"/>
      <c r="BS24" s="464">
        <f t="shared" si="21"/>
        <v>0</v>
      </c>
      <c r="BT24" s="467">
        <v>16</v>
      </c>
      <c r="BU24" s="467">
        <v>60408.4375</v>
      </c>
      <c r="BV24" s="462">
        <f t="shared" si="22"/>
        <v>790818.93700000003</v>
      </c>
      <c r="BW24" s="192">
        <v>12</v>
      </c>
      <c r="BX24" s="192">
        <v>66966.833333333328</v>
      </c>
      <c r="BY24" s="463">
        <f t="shared" si="23"/>
        <v>657507.15639999998</v>
      </c>
    </row>
    <row r="25" spans="1:77" s="193" customFormat="1" ht="12.75" customHeight="1" x14ac:dyDescent="0.2">
      <c r="A25" s="620" t="s">
        <v>97</v>
      </c>
      <c r="B25" s="241" t="s">
        <v>347</v>
      </c>
      <c r="C25" s="242"/>
      <c r="D25" s="240">
        <v>101514</v>
      </c>
      <c r="E25" s="243">
        <v>8</v>
      </c>
      <c r="F25" s="234"/>
      <c r="G25" s="208"/>
      <c r="H25" s="461">
        <f t="shared" si="0"/>
        <v>0</v>
      </c>
      <c r="I25" s="194"/>
      <c r="J25" s="194"/>
      <c r="K25" s="464">
        <f t="shared" si="1"/>
        <v>0</v>
      </c>
      <c r="L25" s="467"/>
      <c r="M25" s="467"/>
      <c r="N25" s="462">
        <f t="shared" si="2"/>
        <v>0</v>
      </c>
      <c r="O25" s="300"/>
      <c r="P25" s="192"/>
      <c r="Q25" s="464">
        <f t="shared" si="3"/>
        <v>0</v>
      </c>
      <c r="R25" s="467"/>
      <c r="S25" s="467"/>
      <c r="T25" s="462">
        <f t="shared" si="4"/>
        <v>0</v>
      </c>
      <c r="U25" s="494"/>
      <c r="V25" s="191"/>
      <c r="W25" s="464">
        <f t="shared" si="5"/>
        <v>0</v>
      </c>
      <c r="X25" s="467"/>
      <c r="Y25" s="467"/>
      <c r="Z25" s="462">
        <f t="shared" si="6"/>
        <v>0</v>
      </c>
      <c r="AA25" s="300"/>
      <c r="AB25" s="192"/>
      <c r="AC25" s="464">
        <f t="shared" si="7"/>
        <v>0</v>
      </c>
      <c r="AD25" s="467"/>
      <c r="AE25" s="467"/>
      <c r="AF25" s="462">
        <f t="shared" si="8"/>
        <v>0</v>
      </c>
      <c r="AG25" s="300"/>
      <c r="AH25" s="192"/>
      <c r="AI25" s="464">
        <f t="shared" si="9"/>
        <v>0</v>
      </c>
      <c r="AJ25" s="467">
        <v>145</v>
      </c>
      <c r="AK25" s="467">
        <v>54137.331034482755</v>
      </c>
      <c r="AL25" s="462">
        <f t="shared" si="10"/>
        <v>7849912.9999999991</v>
      </c>
      <c r="AM25" s="192">
        <v>147</v>
      </c>
      <c r="AN25" s="192">
        <v>54486.462585034016</v>
      </c>
      <c r="AO25" s="206">
        <f t="shared" si="11"/>
        <v>8009510</v>
      </c>
      <c r="AP25" s="467"/>
      <c r="AQ25" s="467"/>
      <c r="AR25" s="462">
        <f t="shared" si="12"/>
        <v>0</v>
      </c>
      <c r="AS25" s="300"/>
      <c r="AT25" s="192"/>
      <c r="AU25" s="464">
        <f t="shared" si="13"/>
        <v>0</v>
      </c>
      <c r="AV25" s="467"/>
      <c r="AW25" s="467"/>
      <c r="AX25" s="462">
        <f t="shared" si="14"/>
        <v>0</v>
      </c>
      <c r="AY25" s="300"/>
      <c r="AZ25" s="192"/>
      <c r="BA25" s="464">
        <f t="shared" si="15"/>
        <v>0</v>
      </c>
      <c r="BB25" s="467"/>
      <c r="BC25" s="467"/>
      <c r="BD25" s="462">
        <f t="shared" si="16"/>
        <v>0</v>
      </c>
      <c r="BE25" s="300"/>
      <c r="BF25" s="192"/>
      <c r="BG25" s="464">
        <f t="shared" si="17"/>
        <v>0</v>
      </c>
      <c r="BH25" s="467"/>
      <c r="BI25" s="467"/>
      <c r="BJ25" s="462">
        <f t="shared" si="18"/>
        <v>0</v>
      </c>
      <c r="BK25" s="300"/>
      <c r="BL25" s="192"/>
      <c r="BM25" s="464">
        <f t="shared" si="19"/>
        <v>0</v>
      </c>
      <c r="BN25" s="467"/>
      <c r="BO25" s="467"/>
      <c r="BP25" s="462">
        <f t="shared" si="20"/>
        <v>0</v>
      </c>
      <c r="BQ25" s="300"/>
      <c r="BR25" s="192"/>
      <c r="BS25" s="464">
        <f t="shared" si="21"/>
        <v>0</v>
      </c>
      <c r="BT25" s="467"/>
      <c r="BU25" s="467"/>
      <c r="BV25" s="462">
        <f t="shared" si="22"/>
        <v>0</v>
      </c>
      <c r="BW25" s="192">
        <v>1</v>
      </c>
      <c r="BX25" s="192">
        <v>31841</v>
      </c>
      <c r="BY25" s="463">
        <f t="shared" si="23"/>
        <v>26052.306200000003</v>
      </c>
    </row>
    <row r="26" spans="1:77" s="193" customFormat="1" x14ac:dyDescent="0.2">
      <c r="A26" s="620" t="s">
        <v>97</v>
      </c>
      <c r="B26" s="241" t="s">
        <v>358</v>
      </c>
      <c r="C26" s="269" t="s">
        <v>388</v>
      </c>
      <c r="D26" s="240">
        <v>101295</v>
      </c>
      <c r="E26" s="270">
        <v>8</v>
      </c>
      <c r="F26" s="234"/>
      <c r="G26" s="208"/>
      <c r="H26" s="461">
        <f t="shared" si="0"/>
        <v>0</v>
      </c>
      <c r="I26" s="194"/>
      <c r="J26" s="194"/>
      <c r="K26" s="464">
        <f t="shared" si="1"/>
        <v>0</v>
      </c>
      <c r="L26" s="467"/>
      <c r="M26" s="467"/>
      <c r="N26" s="462">
        <f t="shared" si="2"/>
        <v>0</v>
      </c>
      <c r="O26" s="300"/>
      <c r="P26" s="192"/>
      <c r="Q26" s="464">
        <f t="shared" si="3"/>
        <v>0</v>
      </c>
      <c r="R26" s="467"/>
      <c r="S26" s="467"/>
      <c r="T26" s="462">
        <f t="shared" si="4"/>
        <v>0</v>
      </c>
      <c r="U26" s="494"/>
      <c r="V26" s="191"/>
      <c r="W26" s="464">
        <f t="shared" si="5"/>
        <v>0</v>
      </c>
      <c r="X26" s="467"/>
      <c r="Y26" s="467"/>
      <c r="Z26" s="462">
        <f t="shared" si="6"/>
        <v>0</v>
      </c>
      <c r="AA26" s="300"/>
      <c r="AB26" s="192"/>
      <c r="AC26" s="464">
        <f t="shared" si="7"/>
        <v>0</v>
      </c>
      <c r="AD26" s="467"/>
      <c r="AE26" s="467"/>
      <c r="AF26" s="462">
        <f t="shared" si="8"/>
        <v>0</v>
      </c>
      <c r="AG26" s="300"/>
      <c r="AH26" s="192"/>
      <c r="AI26" s="464">
        <f t="shared" si="9"/>
        <v>0</v>
      </c>
      <c r="AJ26" s="467">
        <v>123</v>
      </c>
      <c r="AK26" s="467">
        <v>52211.235772357722</v>
      </c>
      <c r="AL26" s="462">
        <f t="shared" si="10"/>
        <v>6421982</v>
      </c>
      <c r="AM26" s="192">
        <v>122</v>
      </c>
      <c r="AN26" s="192">
        <v>52488.893442622953</v>
      </c>
      <c r="AO26" s="206">
        <f t="shared" si="11"/>
        <v>6403645</v>
      </c>
      <c r="AP26" s="467"/>
      <c r="AQ26" s="467"/>
      <c r="AR26" s="462">
        <f t="shared" si="12"/>
        <v>0</v>
      </c>
      <c r="AS26" s="300"/>
      <c r="AT26" s="192"/>
      <c r="AU26" s="464">
        <f t="shared" si="13"/>
        <v>0</v>
      </c>
      <c r="AV26" s="467"/>
      <c r="AW26" s="467"/>
      <c r="AX26" s="462">
        <f t="shared" si="14"/>
        <v>0</v>
      </c>
      <c r="AY26" s="300"/>
      <c r="AZ26" s="192"/>
      <c r="BA26" s="464">
        <f t="shared" si="15"/>
        <v>0</v>
      </c>
      <c r="BB26" s="467"/>
      <c r="BC26" s="467"/>
      <c r="BD26" s="462">
        <f t="shared" si="16"/>
        <v>0</v>
      </c>
      <c r="BE26" s="300"/>
      <c r="BF26" s="192"/>
      <c r="BG26" s="464">
        <f t="shared" si="17"/>
        <v>0</v>
      </c>
      <c r="BH26" s="467"/>
      <c r="BI26" s="467"/>
      <c r="BJ26" s="462">
        <f t="shared" si="18"/>
        <v>0</v>
      </c>
      <c r="BK26" s="300"/>
      <c r="BL26" s="192"/>
      <c r="BM26" s="464">
        <f t="shared" si="19"/>
        <v>0</v>
      </c>
      <c r="BN26" s="467"/>
      <c r="BO26" s="467"/>
      <c r="BP26" s="462">
        <f t="shared" si="20"/>
        <v>0</v>
      </c>
      <c r="BQ26" s="300"/>
      <c r="BR26" s="192"/>
      <c r="BS26" s="464">
        <f t="shared" si="21"/>
        <v>0</v>
      </c>
      <c r="BT26" s="467">
        <v>4</v>
      </c>
      <c r="BU26" s="467">
        <v>42430.25</v>
      </c>
      <c r="BV26" s="462">
        <f t="shared" si="22"/>
        <v>138865.72220000002</v>
      </c>
      <c r="BW26" s="192">
        <v>5</v>
      </c>
      <c r="BX26" s="192">
        <v>51125.8</v>
      </c>
      <c r="BY26" s="463">
        <f t="shared" si="23"/>
        <v>209155.64780000001</v>
      </c>
    </row>
    <row r="27" spans="1:77" s="193" customFormat="1" ht="12.75" customHeight="1" x14ac:dyDescent="0.2">
      <c r="A27" s="620" t="s">
        <v>97</v>
      </c>
      <c r="B27" s="241" t="s">
        <v>348</v>
      </c>
      <c r="C27" s="242"/>
      <c r="D27" s="240">
        <v>102429</v>
      </c>
      <c r="E27" s="243">
        <v>9</v>
      </c>
      <c r="F27" s="234"/>
      <c r="G27" s="208"/>
      <c r="H27" s="461">
        <f t="shared" si="0"/>
        <v>0</v>
      </c>
      <c r="I27" s="194"/>
      <c r="J27" s="194"/>
      <c r="K27" s="464">
        <f t="shared" si="1"/>
        <v>0</v>
      </c>
      <c r="L27" s="467"/>
      <c r="M27" s="467"/>
      <c r="N27" s="462">
        <f t="shared" si="2"/>
        <v>0</v>
      </c>
      <c r="O27" s="300"/>
      <c r="P27" s="192"/>
      <c r="Q27" s="464">
        <f t="shared" si="3"/>
        <v>0</v>
      </c>
      <c r="R27" s="467"/>
      <c r="S27" s="467"/>
      <c r="T27" s="462">
        <f t="shared" si="4"/>
        <v>0</v>
      </c>
      <c r="U27" s="494"/>
      <c r="V27" s="191"/>
      <c r="W27" s="464">
        <f t="shared" si="5"/>
        <v>0</v>
      </c>
      <c r="X27" s="467"/>
      <c r="Y27" s="467"/>
      <c r="Z27" s="462">
        <f t="shared" si="6"/>
        <v>0</v>
      </c>
      <c r="AA27" s="300"/>
      <c r="AB27" s="192"/>
      <c r="AC27" s="464">
        <f t="shared" si="7"/>
        <v>0</v>
      </c>
      <c r="AD27" s="467"/>
      <c r="AE27" s="467"/>
      <c r="AF27" s="462">
        <f t="shared" si="8"/>
        <v>0</v>
      </c>
      <c r="AG27" s="300"/>
      <c r="AH27" s="192"/>
      <c r="AI27" s="464">
        <f t="shared" si="9"/>
        <v>0</v>
      </c>
      <c r="AJ27" s="467">
        <v>114</v>
      </c>
      <c r="AK27" s="467">
        <v>56041.26315789474</v>
      </c>
      <c r="AL27" s="462">
        <f t="shared" si="10"/>
        <v>6388704</v>
      </c>
      <c r="AM27" s="192">
        <v>114</v>
      </c>
      <c r="AN27" s="192">
        <v>54485.192982456138</v>
      </c>
      <c r="AO27" s="206">
        <f t="shared" si="11"/>
        <v>6211312</v>
      </c>
      <c r="AP27" s="467"/>
      <c r="AQ27" s="467"/>
      <c r="AR27" s="462">
        <f t="shared" si="12"/>
        <v>0</v>
      </c>
      <c r="AS27" s="300"/>
      <c r="AT27" s="192"/>
      <c r="AU27" s="464">
        <f t="shared" si="13"/>
        <v>0</v>
      </c>
      <c r="AV27" s="467"/>
      <c r="AW27" s="467"/>
      <c r="AX27" s="462">
        <f t="shared" si="14"/>
        <v>0</v>
      </c>
      <c r="AY27" s="300"/>
      <c r="AZ27" s="192"/>
      <c r="BA27" s="464">
        <f t="shared" si="15"/>
        <v>0</v>
      </c>
      <c r="BB27" s="467"/>
      <c r="BC27" s="467"/>
      <c r="BD27" s="462">
        <f t="shared" si="16"/>
        <v>0</v>
      </c>
      <c r="BE27" s="300"/>
      <c r="BF27" s="192"/>
      <c r="BG27" s="464">
        <f t="shared" si="17"/>
        <v>0</v>
      </c>
      <c r="BH27" s="467"/>
      <c r="BI27" s="467"/>
      <c r="BJ27" s="462">
        <f t="shared" si="18"/>
        <v>0</v>
      </c>
      <c r="BK27" s="300"/>
      <c r="BL27" s="192"/>
      <c r="BM27" s="464">
        <f t="shared" si="19"/>
        <v>0</v>
      </c>
      <c r="BN27" s="467"/>
      <c r="BO27" s="467"/>
      <c r="BP27" s="462">
        <f t="shared" si="20"/>
        <v>0</v>
      </c>
      <c r="BQ27" s="300"/>
      <c r="BR27" s="192"/>
      <c r="BS27" s="464">
        <f t="shared" si="21"/>
        <v>0</v>
      </c>
      <c r="BT27" s="467">
        <v>5</v>
      </c>
      <c r="BU27" s="467">
        <v>23447.599999999999</v>
      </c>
      <c r="BV27" s="462">
        <f t="shared" si="22"/>
        <v>95924.131600000008</v>
      </c>
      <c r="BW27" s="192">
        <v>1</v>
      </c>
      <c r="BX27" s="192">
        <v>33792</v>
      </c>
      <c r="BY27" s="463">
        <f t="shared" si="23"/>
        <v>27648.614400000002</v>
      </c>
    </row>
    <row r="28" spans="1:77" s="193" customFormat="1" ht="12.75" customHeight="1" x14ac:dyDescent="0.2">
      <c r="A28" s="620" t="s">
        <v>97</v>
      </c>
      <c r="B28" s="247" t="s">
        <v>349</v>
      </c>
      <c r="C28" s="248"/>
      <c r="D28" s="240">
        <v>102030</v>
      </c>
      <c r="E28" s="243">
        <v>9</v>
      </c>
      <c r="F28" s="234"/>
      <c r="G28" s="208"/>
      <c r="H28" s="461">
        <f t="shared" si="0"/>
        <v>0</v>
      </c>
      <c r="I28" s="194"/>
      <c r="J28" s="194"/>
      <c r="K28" s="464">
        <f t="shared" si="1"/>
        <v>0</v>
      </c>
      <c r="L28" s="467"/>
      <c r="M28" s="467"/>
      <c r="N28" s="462">
        <f t="shared" si="2"/>
        <v>0</v>
      </c>
      <c r="O28" s="300"/>
      <c r="P28" s="192"/>
      <c r="Q28" s="464">
        <f t="shared" si="3"/>
        <v>0</v>
      </c>
      <c r="R28" s="467"/>
      <c r="S28" s="467"/>
      <c r="T28" s="462">
        <f t="shared" si="4"/>
        <v>0</v>
      </c>
      <c r="U28" s="494"/>
      <c r="V28" s="191"/>
      <c r="W28" s="464">
        <f t="shared" si="5"/>
        <v>0</v>
      </c>
      <c r="X28" s="467"/>
      <c r="Y28" s="467"/>
      <c r="Z28" s="462">
        <f t="shared" si="6"/>
        <v>0</v>
      </c>
      <c r="AA28" s="300"/>
      <c r="AB28" s="192"/>
      <c r="AC28" s="464">
        <f t="shared" si="7"/>
        <v>0</v>
      </c>
      <c r="AD28" s="467"/>
      <c r="AE28" s="467"/>
      <c r="AF28" s="462">
        <f t="shared" si="8"/>
        <v>0</v>
      </c>
      <c r="AG28" s="300"/>
      <c r="AH28" s="192"/>
      <c r="AI28" s="464">
        <f t="shared" si="9"/>
        <v>0</v>
      </c>
      <c r="AJ28" s="467">
        <v>82</v>
      </c>
      <c r="AK28" s="467">
        <v>55248.341463414632</v>
      </c>
      <c r="AL28" s="462">
        <f t="shared" si="10"/>
        <v>4530364</v>
      </c>
      <c r="AM28" s="192">
        <v>80</v>
      </c>
      <c r="AN28" s="192">
        <v>54785.087500000001</v>
      </c>
      <c r="AO28" s="206">
        <f t="shared" si="11"/>
        <v>4382807</v>
      </c>
      <c r="AP28" s="467"/>
      <c r="AQ28" s="467"/>
      <c r="AR28" s="462">
        <f t="shared" si="12"/>
        <v>0</v>
      </c>
      <c r="AS28" s="300"/>
      <c r="AT28" s="192"/>
      <c r="AU28" s="464">
        <f t="shared" si="13"/>
        <v>0</v>
      </c>
      <c r="AV28" s="467"/>
      <c r="AW28" s="467"/>
      <c r="AX28" s="462">
        <f t="shared" si="14"/>
        <v>0</v>
      </c>
      <c r="AY28" s="300"/>
      <c r="AZ28" s="192"/>
      <c r="BA28" s="464">
        <f t="shared" si="15"/>
        <v>0</v>
      </c>
      <c r="BB28" s="467"/>
      <c r="BC28" s="467"/>
      <c r="BD28" s="462">
        <f t="shared" si="16"/>
        <v>0</v>
      </c>
      <c r="BE28" s="300"/>
      <c r="BF28" s="192"/>
      <c r="BG28" s="464">
        <f t="shared" si="17"/>
        <v>0</v>
      </c>
      <c r="BH28" s="467"/>
      <c r="BI28" s="467"/>
      <c r="BJ28" s="462">
        <f t="shared" si="18"/>
        <v>0</v>
      </c>
      <c r="BK28" s="300"/>
      <c r="BL28" s="192"/>
      <c r="BM28" s="464">
        <f t="shared" si="19"/>
        <v>0</v>
      </c>
      <c r="BN28" s="467"/>
      <c r="BO28" s="467"/>
      <c r="BP28" s="462">
        <f t="shared" si="20"/>
        <v>0</v>
      </c>
      <c r="BQ28" s="300"/>
      <c r="BR28" s="192"/>
      <c r="BS28" s="464">
        <f t="shared" si="21"/>
        <v>0</v>
      </c>
      <c r="BT28" s="467">
        <v>9</v>
      </c>
      <c r="BU28" s="467">
        <v>51090.888888888891</v>
      </c>
      <c r="BV28" s="462">
        <f t="shared" si="22"/>
        <v>376223.08760000003</v>
      </c>
      <c r="BW28" s="192">
        <v>6</v>
      </c>
      <c r="BX28" s="192">
        <v>51399.5</v>
      </c>
      <c r="BY28" s="463">
        <f t="shared" si="23"/>
        <v>252330.42540000001</v>
      </c>
    </row>
    <row r="29" spans="1:77" s="193" customFormat="1" x14ac:dyDescent="0.2">
      <c r="A29" s="620" t="s">
        <v>97</v>
      </c>
      <c r="B29" s="241" t="s">
        <v>360</v>
      </c>
      <c r="C29" s="269" t="s">
        <v>389</v>
      </c>
      <c r="D29" s="240">
        <v>100760</v>
      </c>
      <c r="E29" s="270">
        <v>9</v>
      </c>
      <c r="F29" s="234"/>
      <c r="G29" s="208"/>
      <c r="H29" s="461">
        <f t="shared" si="0"/>
        <v>0</v>
      </c>
      <c r="I29" s="194"/>
      <c r="J29" s="194"/>
      <c r="K29" s="464">
        <f t="shared" si="1"/>
        <v>0</v>
      </c>
      <c r="L29" s="467"/>
      <c r="M29" s="467"/>
      <c r="N29" s="462">
        <f t="shared" si="2"/>
        <v>0</v>
      </c>
      <c r="O29" s="300"/>
      <c r="P29" s="192"/>
      <c r="Q29" s="464">
        <f t="shared" si="3"/>
        <v>0</v>
      </c>
      <c r="R29" s="467"/>
      <c r="S29" s="467"/>
      <c r="T29" s="462">
        <f t="shared" si="4"/>
        <v>0</v>
      </c>
      <c r="U29" s="494"/>
      <c r="V29" s="191"/>
      <c r="W29" s="464">
        <f t="shared" si="5"/>
        <v>0</v>
      </c>
      <c r="X29" s="467"/>
      <c r="Y29" s="467"/>
      <c r="Z29" s="462">
        <f t="shared" si="6"/>
        <v>0</v>
      </c>
      <c r="AA29" s="300"/>
      <c r="AB29" s="192"/>
      <c r="AC29" s="464">
        <f t="shared" si="7"/>
        <v>0</v>
      </c>
      <c r="AD29" s="467"/>
      <c r="AE29" s="467"/>
      <c r="AF29" s="462">
        <f t="shared" si="8"/>
        <v>0</v>
      </c>
      <c r="AG29" s="300"/>
      <c r="AH29" s="192"/>
      <c r="AI29" s="464">
        <f t="shared" si="9"/>
        <v>0</v>
      </c>
      <c r="AJ29" s="467">
        <v>52</v>
      </c>
      <c r="AK29" s="467">
        <v>54204.788461538461</v>
      </c>
      <c r="AL29" s="462">
        <f t="shared" si="10"/>
        <v>2818649</v>
      </c>
      <c r="AM29" s="192">
        <v>55</v>
      </c>
      <c r="AN29" s="192">
        <v>53784.854545454546</v>
      </c>
      <c r="AO29" s="206">
        <f t="shared" si="11"/>
        <v>2958167</v>
      </c>
      <c r="AP29" s="467"/>
      <c r="AQ29" s="467"/>
      <c r="AR29" s="462">
        <f t="shared" si="12"/>
        <v>0</v>
      </c>
      <c r="AS29" s="300"/>
      <c r="AT29" s="192"/>
      <c r="AU29" s="464">
        <f t="shared" si="13"/>
        <v>0</v>
      </c>
      <c r="AV29" s="467"/>
      <c r="AW29" s="467"/>
      <c r="AX29" s="462">
        <f t="shared" si="14"/>
        <v>0</v>
      </c>
      <c r="AY29" s="300"/>
      <c r="AZ29" s="192"/>
      <c r="BA29" s="464">
        <f t="shared" si="15"/>
        <v>0</v>
      </c>
      <c r="BB29" s="467"/>
      <c r="BC29" s="467"/>
      <c r="BD29" s="462">
        <f t="shared" si="16"/>
        <v>0</v>
      </c>
      <c r="BE29" s="300"/>
      <c r="BF29" s="192"/>
      <c r="BG29" s="464">
        <f t="shared" si="17"/>
        <v>0</v>
      </c>
      <c r="BH29" s="467"/>
      <c r="BI29" s="467"/>
      <c r="BJ29" s="462">
        <f t="shared" si="18"/>
        <v>0</v>
      </c>
      <c r="BK29" s="300"/>
      <c r="BL29" s="192"/>
      <c r="BM29" s="464">
        <f t="shared" si="19"/>
        <v>0</v>
      </c>
      <c r="BN29" s="467"/>
      <c r="BO29" s="467"/>
      <c r="BP29" s="462">
        <f t="shared" si="20"/>
        <v>0</v>
      </c>
      <c r="BQ29" s="300"/>
      <c r="BR29" s="192"/>
      <c r="BS29" s="464">
        <f t="shared" si="21"/>
        <v>0</v>
      </c>
      <c r="BT29" s="467">
        <v>4</v>
      </c>
      <c r="BU29" s="467">
        <v>67093.5</v>
      </c>
      <c r="BV29" s="462">
        <f t="shared" si="22"/>
        <v>219583.60680000001</v>
      </c>
      <c r="BW29" s="192">
        <v>7</v>
      </c>
      <c r="BX29" s="192">
        <v>50992.857142857145</v>
      </c>
      <c r="BY29" s="463">
        <f t="shared" si="23"/>
        <v>292056.49</v>
      </c>
    </row>
    <row r="30" spans="1:77" s="193" customFormat="1" x14ac:dyDescent="0.2">
      <c r="A30" s="620" t="s">
        <v>97</v>
      </c>
      <c r="B30" s="241" t="s">
        <v>362</v>
      </c>
      <c r="C30" s="269" t="s">
        <v>390</v>
      </c>
      <c r="D30" s="240">
        <v>101143</v>
      </c>
      <c r="E30" s="270">
        <v>9</v>
      </c>
      <c r="F30" s="234"/>
      <c r="G30" s="208"/>
      <c r="H30" s="461">
        <f t="shared" si="0"/>
        <v>0</v>
      </c>
      <c r="I30" s="194"/>
      <c r="J30" s="194"/>
      <c r="K30" s="464">
        <f t="shared" si="1"/>
        <v>0</v>
      </c>
      <c r="L30" s="467"/>
      <c r="M30" s="467"/>
      <c r="N30" s="462">
        <f t="shared" si="2"/>
        <v>0</v>
      </c>
      <c r="O30" s="300"/>
      <c r="P30" s="192"/>
      <c r="Q30" s="464">
        <f t="shared" si="3"/>
        <v>0</v>
      </c>
      <c r="R30" s="467"/>
      <c r="S30" s="467"/>
      <c r="T30" s="462">
        <f t="shared" si="4"/>
        <v>0</v>
      </c>
      <c r="U30" s="494"/>
      <c r="V30" s="191"/>
      <c r="W30" s="464">
        <f t="shared" si="5"/>
        <v>0</v>
      </c>
      <c r="X30" s="467"/>
      <c r="Y30" s="467"/>
      <c r="Z30" s="462">
        <f t="shared" si="6"/>
        <v>0</v>
      </c>
      <c r="AA30" s="300"/>
      <c r="AB30" s="192"/>
      <c r="AC30" s="464">
        <f t="shared" si="7"/>
        <v>0</v>
      </c>
      <c r="AD30" s="467"/>
      <c r="AE30" s="467"/>
      <c r="AF30" s="462">
        <f t="shared" si="8"/>
        <v>0</v>
      </c>
      <c r="AG30" s="300"/>
      <c r="AH30" s="192"/>
      <c r="AI30" s="464">
        <f t="shared" si="9"/>
        <v>0</v>
      </c>
      <c r="AJ30" s="467">
        <v>69</v>
      </c>
      <c r="AK30" s="467">
        <v>51427.304347826088</v>
      </c>
      <c r="AL30" s="462">
        <f t="shared" si="10"/>
        <v>3548484</v>
      </c>
      <c r="AM30" s="192">
        <v>65</v>
      </c>
      <c r="AN30" s="192">
        <v>51909.523076923077</v>
      </c>
      <c r="AO30" s="206">
        <f t="shared" si="11"/>
        <v>3374119</v>
      </c>
      <c r="AP30" s="467"/>
      <c r="AQ30" s="467"/>
      <c r="AR30" s="462">
        <f t="shared" si="12"/>
        <v>0</v>
      </c>
      <c r="AS30" s="300"/>
      <c r="AT30" s="192"/>
      <c r="AU30" s="464">
        <f t="shared" si="13"/>
        <v>0</v>
      </c>
      <c r="AV30" s="467"/>
      <c r="AW30" s="467"/>
      <c r="AX30" s="462">
        <f t="shared" si="14"/>
        <v>0</v>
      </c>
      <c r="AY30" s="300"/>
      <c r="AZ30" s="192"/>
      <c r="BA30" s="464">
        <f t="shared" si="15"/>
        <v>0</v>
      </c>
      <c r="BB30" s="467"/>
      <c r="BC30" s="467"/>
      <c r="BD30" s="462">
        <f t="shared" si="16"/>
        <v>0</v>
      </c>
      <c r="BE30" s="300"/>
      <c r="BF30" s="192"/>
      <c r="BG30" s="464">
        <f t="shared" si="17"/>
        <v>0</v>
      </c>
      <c r="BH30" s="467"/>
      <c r="BI30" s="467"/>
      <c r="BJ30" s="462">
        <f t="shared" si="18"/>
        <v>0</v>
      </c>
      <c r="BK30" s="300"/>
      <c r="BL30" s="192"/>
      <c r="BM30" s="464">
        <f t="shared" si="19"/>
        <v>0</v>
      </c>
      <c r="BN30" s="467"/>
      <c r="BO30" s="467"/>
      <c r="BP30" s="462">
        <f t="shared" si="20"/>
        <v>0</v>
      </c>
      <c r="BQ30" s="300"/>
      <c r="BR30" s="192"/>
      <c r="BS30" s="464">
        <f t="shared" si="21"/>
        <v>0</v>
      </c>
      <c r="BT30" s="467"/>
      <c r="BU30" s="467"/>
      <c r="BV30" s="462">
        <f t="shared" si="22"/>
        <v>0</v>
      </c>
      <c r="BW30" s="192">
        <v>2</v>
      </c>
      <c r="BX30" s="192">
        <v>44251.5</v>
      </c>
      <c r="BY30" s="463">
        <f t="shared" si="23"/>
        <v>72413.154600000009</v>
      </c>
    </row>
    <row r="31" spans="1:77" s="193" customFormat="1" ht="12.75" customHeight="1" x14ac:dyDescent="0.2">
      <c r="A31" s="620" t="s">
        <v>97</v>
      </c>
      <c r="B31" s="241" t="s">
        <v>351</v>
      </c>
      <c r="C31" s="242"/>
      <c r="D31" s="240">
        <v>101286</v>
      </c>
      <c r="E31" s="243">
        <v>9</v>
      </c>
      <c r="F31" s="234"/>
      <c r="G31" s="208"/>
      <c r="H31" s="461">
        <f t="shared" si="0"/>
        <v>0</v>
      </c>
      <c r="I31" s="194"/>
      <c r="J31" s="194"/>
      <c r="K31" s="464">
        <f t="shared" si="1"/>
        <v>0</v>
      </c>
      <c r="L31" s="467"/>
      <c r="M31" s="467"/>
      <c r="N31" s="462">
        <f t="shared" si="2"/>
        <v>0</v>
      </c>
      <c r="O31" s="300"/>
      <c r="P31" s="192"/>
      <c r="Q31" s="464">
        <f t="shared" si="3"/>
        <v>0</v>
      </c>
      <c r="R31" s="467"/>
      <c r="S31" s="467"/>
      <c r="T31" s="462">
        <f t="shared" si="4"/>
        <v>0</v>
      </c>
      <c r="U31" s="494"/>
      <c r="V31" s="191"/>
      <c r="W31" s="464">
        <f t="shared" si="5"/>
        <v>0</v>
      </c>
      <c r="X31" s="467"/>
      <c r="Y31" s="467"/>
      <c r="Z31" s="462">
        <f t="shared" si="6"/>
        <v>0</v>
      </c>
      <c r="AA31" s="300"/>
      <c r="AB31" s="192"/>
      <c r="AC31" s="464">
        <f t="shared" si="7"/>
        <v>0</v>
      </c>
      <c r="AD31" s="467"/>
      <c r="AE31" s="467"/>
      <c r="AF31" s="462">
        <f t="shared" si="8"/>
        <v>0</v>
      </c>
      <c r="AG31" s="300"/>
      <c r="AH31" s="192"/>
      <c r="AI31" s="464">
        <f t="shared" si="9"/>
        <v>0</v>
      </c>
      <c r="AJ31" s="467">
        <v>124</v>
      </c>
      <c r="AK31" s="467">
        <v>50961.645161290326</v>
      </c>
      <c r="AL31" s="462">
        <f t="shared" si="10"/>
        <v>6319244</v>
      </c>
      <c r="AM31" s="192">
        <v>126</v>
      </c>
      <c r="AN31" s="192">
        <v>50909.444444444445</v>
      </c>
      <c r="AO31" s="206">
        <f t="shared" si="11"/>
        <v>6414590</v>
      </c>
      <c r="AP31" s="467"/>
      <c r="AQ31" s="467"/>
      <c r="AR31" s="462">
        <f t="shared" si="12"/>
        <v>0</v>
      </c>
      <c r="AS31" s="300"/>
      <c r="AT31" s="192"/>
      <c r="AU31" s="464">
        <f t="shared" si="13"/>
        <v>0</v>
      </c>
      <c r="AV31" s="467"/>
      <c r="AW31" s="467"/>
      <c r="AX31" s="462">
        <f t="shared" si="14"/>
        <v>0</v>
      </c>
      <c r="AY31" s="300"/>
      <c r="AZ31" s="192"/>
      <c r="BA31" s="464">
        <f t="shared" si="15"/>
        <v>0</v>
      </c>
      <c r="BB31" s="467"/>
      <c r="BC31" s="467"/>
      <c r="BD31" s="462">
        <f t="shared" si="16"/>
        <v>0</v>
      </c>
      <c r="BE31" s="300"/>
      <c r="BF31" s="192"/>
      <c r="BG31" s="464">
        <f t="shared" si="17"/>
        <v>0</v>
      </c>
      <c r="BH31" s="467"/>
      <c r="BI31" s="467"/>
      <c r="BJ31" s="462">
        <f t="shared" si="18"/>
        <v>0</v>
      </c>
      <c r="BK31" s="300"/>
      <c r="BL31" s="192"/>
      <c r="BM31" s="464">
        <f t="shared" si="19"/>
        <v>0</v>
      </c>
      <c r="BN31" s="467"/>
      <c r="BO31" s="467"/>
      <c r="BP31" s="462">
        <f t="shared" si="20"/>
        <v>0</v>
      </c>
      <c r="BQ31" s="300"/>
      <c r="BR31" s="192"/>
      <c r="BS31" s="464">
        <f t="shared" si="21"/>
        <v>0</v>
      </c>
      <c r="BT31" s="467">
        <v>3</v>
      </c>
      <c r="BU31" s="467">
        <v>71805</v>
      </c>
      <c r="BV31" s="462">
        <f t="shared" si="22"/>
        <v>176252.55300000001</v>
      </c>
      <c r="BW31" s="192">
        <v>2</v>
      </c>
      <c r="BX31" s="192">
        <v>40500</v>
      </c>
      <c r="BY31" s="463">
        <f t="shared" si="23"/>
        <v>66274.2</v>
      </c>
    </row>
    <row r="32" spans="1:77" s="193" customFormat="1" ht="12.75" customHeight="1" x14ac:dyDescent="0.2">
      <c r="A32" s="620" t="s">
        <v>97</v>
      </c>
      <c r="B32" s="241" t="s">
        <v>352</v>
      </c>
      <c r="C32" s="242"/>
      <c r="D32" s="240">
        <v>101161</v>
      </c>
      <c r="E32" s="243">
        <v>9</v>
      </c>
      <c r="F32" s="234"/>
      <c r="G32" s="208"/>
      <c r="H32" s="461">
        <f t="shared" si="0"/>
        <v>0</v>
      </c>
      <c r="I32" s="194"/>
      <c r="J32" s="194"/>
      <c r="K32" s="464">
        <f t="shared" si="1"/>
        <v>0</v>
      </c>
      <c r="L32" s="467"/>
      <c r="M32" s="467"/>
      <c r="N32" s="462">
        <f t="shared" si="2"/>
        <v>0</v>
      </c>
      <c r="O32" s="300"/>
      <c r="P32" s="192"/>
      <c r="Q32" s="464">
        <f t="shared" si="3"/>
        <v>0</v>
      </c>
      <c r="R32" s="467"/>
      <c r="S32" s="467"/>
      <c r="T32" s="462">
        <f t="shared" si="4"/>
        <v>0</v>
      </c>
      <c r="U32" s="494"/>
      <c r="V32" s="191"/>
      <c r="W32" s="464">
        <f t="shared" si="5"/>
        <v>0</v>
      </c>
      <c r="X32" s="467"/>
      <c r="Y32" s="467"/>
      <c r="Z32" s="462">
        <f t="shared" si="6"/>
        <v>0</v>
      </c>
      <c r="AA32" s="300"/>
      <c r="AB32" s="192"/>
      <c r="AC32" s="464">
        <f t="shared" si="7"/>
        <v>0</v>
      </c>
      <c r="AD32" s="467"/>
      <c r="AE32" s="467"/>
      <c r="AF32" s="462">
        <f t="shared" si="8"/>
        <v>0</v>
      </c>
      <c r="AG32" s="300"/>
      <c r="AH32" s="192"/>
      <c r="AI32" s="464">
        <f t="shared" si="9"/>
        <v>0</v>
      </c>
      <c r="AJ32" s="467">
        <v>61</v>
      </c>
      <c r="AK32" s="467">
        <v>53318.229508196724</v>
      </c>
      <c r="AL32" s="462">
        <f t="shared" si="10"/>
        <v>3252412</v>
      </c>
      <c r="AM32" s="192">
        <v>62</v>
      </c>
      <c r="AN32" s="192">
        <v>53446.596774193546</v>
      </c>
      <c r="AO32" s="206">
        <f t="shared" si="11"/>
        <v>3313689</v>
      </c>
      <c r="AP32" s="467"/>
      <c r="AQ32" s="467"/>
      <c r="AR32" s="462">
        <f t="shared" si="12"/>
        <v>0</v>
      </c>
      <c r="AS32" s="300"/>
      <c r="AT32" s="192"/>
      <c r="AU32" s="464">
        <f t="shared" si="13"/>
        <v>0</v>
      </c>
      <c r="AV32" s="467"/>
      <c r="AW32" s="467"/>
      <c r="AX32" s="462">
        <f t="shared" si="14"/>
        <v>0</v>
      </c>
      <c r="AY32" s="300"/>
      <c r="AZ32" s="192"/>
      <c r="BA32" s="464">
        <f t="shared" si="15"/>
        <v>0</v>
      </c>
      <c r="BB32" s="467"/>
      <c r="BC32" s="467"/>
      <c r="BD32" s="462">
        <f t="shared" si="16"/>
        <v>0</v>
      </c>
      <c r="BE32" s="300"/>
      <c r="BF32" s="192"/>
      <c r="BG32" s="464">
        <f t="shared" si="17"/>
        <v>0</v>
      </c>
      <c r="BH32" s="467"/>
      <c r="BI32" s="467"/>
      <c r="BJ32" s="462">
        <f t="shared" si="18"/>
        <v>0</v>
      </c>
      <c r="BK32" s="300"/>
      <c r="BL32" s="192"/>
      <c r="BM32" s="464">
        <f t="shared" si="19"/>
        <v>0</v>
      </c>
      <c r="BN32" s="467"/>
      <c r="BO32" s="467"/>
      <c r="BP32" s="462">
        <f t="shared" si="20"/>
        <v>0</v>
      </c>
      <c r="BQ32" s="300"/>
      <c r="BR32" s="192"/>
      <c r="BS32" s="464">
        <f t="shared" si="21"/>
        <v>0</v>
      </c>
      <c r="BT32" s="467">
        <v>10</v>
      </c>
      <c r="BU32" s="467">
        <v>79222.3</v>
      </c>
      <c r="BV32" s="462">
        <f t="shared" si="22"/>
        <v>648196.85860000004</v>
      </c>
      <c r="BW32" s="192">
        <v>12</v>
      </c>
      <c r="BX32" s="192">
        <v>73173.5</v>
      </c>
      <c r="BY32" s="463">
        <f t="shared" si="23"/>
        <v>718446.69240000006</v>
      </c>
    </row>
    <row r="33" spans="1:77" s="193" customFormat="1" ht="12.75" customHeight="1" x14ac:dyDescent="0.2">
      <c r="A33" s="620" t="s">
        <v>97</v>
      </c>
      <c r="B33" s="241" t="s">
        <v>353</v>
      </c>
      <c r="C33" s="242"/>
      <c r="D33" s="240">
        <v>101569</v>
      </c>
      <c r="E33" s="243">
        <v>9</v>
      </c>
      <c r="F33" s="234"/>
      <c r="G33" s="208"/>
      <c r="H33" s="461">
        <f t="shared" si="0"/>
        <v>0</v>
      </c>
      <c r="I33" s="194"/>
      <c r="J33" s="194"/>
      <c r="K33" s="464">
        <f t="shared" si="1"/>
        <v>0</v>
      </c>
      <c r="L33" s="467"/>
      <c r="M33" s="467"/>
      <c r="N33" s="462">
        <f t="shared" si="2"/>
        <v>0</v>
      </c>
      <c r="O33" s="300"/>
      <c r="P33" s="192"/>
      <c r="Q33" s="464">
        <f t="shared" si="3"/>
        <v>0</v>
      </c>
      <c r="R33" s="467"/>
      <c r="S33" s="467"/>
      <c r="T33" s="462">
        <f t="shared" si="4"/>
        <v>0</v>
      </c>
      <c r="U33" s="494"/>
      <c r="V33" s="191"/>
      <c r="W33" s="464">
        <f t="shared" si="5"/>
        <v>0</v>
      </c>
      <c r="X33" s="467"/>
      <c r="Y33" s="467"/>
      <c r="Z33" s="462">
        <f t="shared" si="6"/>
        <v>0</v>
      </c>
      <c r="AA33" s="300"/>
      <c r="AB33" s="192"/>
      <c r="AC33" s="464">
        <f t="shared" si="7"/>
        <v>0</v>
      </c>
      <c r="AD33" s="467"/>
      <c r="AE33" s="467"/>
      <c r="AF33" s="462">
        <f t="shared" si="8"/>
        <v>0</v>
      </c>
      <c r="AG33" s="300"/>
      <c r="AH33" s="192"/>
      <c r="AI33" s="464">
        <f t="shared" si="9"/>
        <v>0</v>
      </c>
      <c r="AJ33" s="467">
        <v>95</v>
      </c>
      <c r="AK33" s="467">
        <v>53957.715789473681</v>
      </c>
      <c r="AL33" s="462">
        <f t="shared" si="10"/>
        <v>5125983</v>
      </c>
      <c r="AM33" s="192">
        <v>95</v>
      </c>
      <c r="AN33" s="192">
        <v>54223.57894736842</v>
      </c>
      <c r="AO33" s="206">
        <f t="shared" si="11"/>
        <v>5151240</v>
      </c>
      <c r="AP33" s="467"/>
      <c r="AQ33" s="467"/>
      <c r="AR33" s="462">
        <f t="shared" si="12"/>
        <v>0</v>
      </c>
      <c r="AS33" s="300"/>
      <c r="AT33" s="192"/>
      <c r="AU33" s="464">
        <f t="shared" si="13"/>
        <v>0</v>
      </c>
      <c r="AV33" s="467"/>
      <c r="AW33" s="467"/>
      <c r="AX33" s="462">
        <f t="shared" si="14"/>
        <v>0</v>
      </c>
      <c r="AY33" s="300"/>
      <c r="AZ33" s="192"/>
      <c r="BA33" s="464">
        <f t="shared" si="15"/>
        <v>0</v>
      </c>
      <c r="BB33" s="467"/>
      <c r="BC33" s="467"/>
      <c r="BD33" s="462">
        <f t="shared" si="16"/>
        <v>0</v>
      </c>
      <c r="BE33" s="300"/>
      <c r="BF33" s="192"/>
      <c r="BG33" s="464">
        <f t="shared" si="17"/>
        <v>0</v>
      </c>
      <c r="BH33" s="467"/>
      <c r="BI33" s="467"/>
      <c r="BJ33" s="462">
        <f t="shared" si="18"/>
        <v>0</v>
      </c>
      <c r="BK33" s="300"/>
      <c r="BL33" s="192"/>
      <c r="BM33" s="464">
        <f t="shared" si="19"/>
        <v>0</v>
      </c>
      <c r="BN33" s="467"/>
      <c r="BO33" s="467"/>
      <c r="BP33" s="462">
        <f t="shared" si="20"/>
        <v>0</v>
      </c>
      <c r="BQ33" s="300"/>
      <c r="BR33" s="192"/>
      <c r="BS33" s="464">
        <f t="shared" si="21"/>
        <v>0</v>
      </c>
      <c r="BT33" s="467"/>
      <c r="BU33" s="467"/>
      <c r="BV33" s="462">
        <f t="shared" si="22"/>
        <v>0</v>
      </c>
      <c r="BW33" s="192"/>
      <c r="BX33" s="192"/>
      <c r="BY33" s="463">
        <f t="shared" si="23"/>
        <v>0</v>
      </c>
    </row>
    <row r="34" spans="1:77" s="193" customFormat="1" ht="12.75" customHeight="1" x14ac:dyDescent="0.2">
      <c r="A34" s="620" t="s">
        <v>97</v>
      </c>
      <c r="B34" s="247" t="s">
        <v>354</v>
      </c>
      <c r="C34" s="248" t="s">
        <v>1078</v>
      </c>
      <c r="D34" s="240">
        <v>101897</v>
      </c>
      <c r="E34" s="243">
        <v>9</v>
      </c>
      <c r="F34" s="234"/>
      <c r="G34" s="208"/>
      <c r="H34" s="461">
        <f t="shared" si="0"/>
        <v>0</v>
      </c>
      <c r="I34" s="194"/>
      <c r="J34" s="194"/>
      <c r="K34" s="464">
        <f t="shared" si="1"/>
        <v>0</v>
      </c>
      <c r="L34" s="467"/>
      <c r="M34" s="467"/>
      <c r="N34" s="462">
        <f t="shared" si="2"/>
        <v>0</v>
      </c>
      <c r="O34" s="300"/>
      <c r="P34" s="192"/>
      <c r="Q34" s="464">
        <f t="shared" si="3"/>
        <v>0</v>
      </c>
      <c r="R34" s="467"/>
      <c r="S34" s="467"/>
      <c r="T34" s="462">
        <f t="shared" si="4"/>
        <v>0</v>
      </c>
      <c r="U34" s="494"/>
      <c r="V34" s="191"/>
      <c r="W34" s="464">
        <f t="shared" si="5"/>
        <v>0</v>
      </c>
      <c r="X34" s="467"/>
      <c r="Y34" s="467"/>
      <c r="Z34" s="462">
        <f t="shared" si="6"/>
        <v>0</v>
      </c>
      <c r="AA34" s="300"/>
      <c r="AB34" s="192"/>
      <c r="AC34" s="464">
        <f t="shared" si="7"/>
        <v>0</v>
      </c>
      <c r="AD34" s="467"/>
      <c r="AE34" s="467"/>
      <c r="AF34" s="462">
        <f t="shared" si="8"/>
        <v>0</v>
      </c>
      <c r="AG34" s="300"/>
      <c r="AH34" s="192"/>
      <c r="AI34" s="464">
        <f t="shared" si="9"/>
        <v>0</v>
      </c>
      <c r="AJ34" s="467">
        <v>39</v>
      </c>
      <c r="AK34" s="467">
        <v>55499.230769230766</v>
      </c>
      <c r="AL34" s="462">
        <f t="shared" si="10"/>
        <v>2164470</v>
      </c>
      <c r="AM34" s="192">
        <v>45</v>
      </c>
      <c r="AN34" s="192">
        <v>54543.688888888886</v>
      </c>
      <c r="AO34" s="206">
        <f t="shared" si="11"/>
        <v>2454466</v>
      </c>
      <c r="AP34" s="467"/>
      <c r="AQ34" s="467"/>
      <c r="AR34" s="462">
        <f t="shared" si="12"/>
        <v>0</v>
      </c>
      <c r="AS34" s="300"/>
      <c r="AT34" s="192"/>
      <c r="AU34" s="464">
        <f t="shared" si="13"/>
        <v>0</v>
      </c>
      <c r="AV34" s="467"/>
      <c r="AW34" s="467"/>
      <c r="AX34" s="462">
        <f t="shared" si="14"/>
        <v>0</v>
      </c>
      <c r="AY34" s="300"/>
      <c r="AZ34" s="192"/>
      <c r="BA34" s="464">
        <f t="shared" si="15"/>
        <v>0</v>
      </c>
      <c r="BB34" s="467"/>
      <c r="BC34" s="467"/>
      <c r="BD34" s="462">
        <f t="shared" si="16"/>
        <v>0</v>
      </c>
      <c r="BE34" s="300"/>
      <c r="BF34" s="192"/>
      <c r="BG34" s="464">
        <f t="shared" si="17"/>
        <v>0</v>
      </c>
      <c r="BH34" s="467"/>
      <c r="BI34" s="467"/>
      <c r="BJ34" s="462">
        <f t="shared" si="18"/>
        <v>0</v>
      </c>
      <c r="BK34" s="300"/>
      <c r="BL34" s="192"/>
      <c r="BM34" s="464">
        <f t="shared" si="19"/>
        <v>0</v>
      </c>
      <c r="BN34" s="467"/>
      <c r="BO34" s="467"/>
      <c r="BP34" s="462">
        <f t="shared" si="20"/>
        <v>0</v>
      </c>
      <c r="BQ34" s="300"/>
      <c r="BR34" s="192"/>
      <c r="BS34" s="464">
        <f t="shared" si="21"/>
        <v>0</v>
      </c>
      <c r="BT34" s="467">
        <v>12</v>
      </c>
      <c r="BU34" s="467">
        <v>70001.333333333328</v>
      </c>
      <c r="BV34" s="462">
        <f t="shared" si="22"/>
        <v>687301.09120000002</v>
      </c>
      <c r="BW34" s="192">
        <v>12</v>
      </c>
      <c r="BX34" s="192">
        <v>71484.916666666672</v>
      </c>
      <c r="BY34" s="463">
        <f t="shared" si="23"/>
        <v>701867.50580000004</v>
      </c>
    </row>
    <row r="35" spans="1:77" s="193" customFormat="1" ht="12.75" customHeight="1" x14ac:dyDescent="0.2">
      <c r="A35" s="620" t="s">
        <v>97</v>
      </c>
      <c r="B35" s="241" t="s">
        <v>355</v>
      </c>
      <c r="C35" s="242"/>
      <c r="D35" s="240">
        <v>101736</v>
      </c>
      <c r="E35" s="243">
        <v>9</v>
      </c>
      <c r="F35" s="234"/>
      <c r="G35" s="208"/>
      <c r="H35" s="461">
        <f t="shared" si="0"/>
        <v>0</v>
      </c>
      <c r="I35" s="194"/>
      <c r="J35" s="194"/>
      <c r="K35" s="464">
        <f t="shared" si="1"/>
        <v>0</v>
      </c>
      <c r="L35" s="467"/>
      <c r="M35" s="467"/>
      <c r="N35" s="462">
        <f t="shared" si="2"/>
        <v>0</v>
      </c>
      <c r="O35" s="300"/>
      <c r="P35" s="192"/>
      <c r="Q35" s="464">
        <f t="shared" si="3"/>
        <v>0</v>
      </c>
      <c r="R35" s="467"/>
      <c r="S35" s="467"/>
      <c r="T35" s="462">
        <f t="shared" si="4"/>
        <v>0</v>
      </c>
      <c r="U35" s="494"/>
      <c r="V35" s="191"/>
      <c r="W35" s="464">
        <f t="shared" si="5"/>
        <v>0</v>
      </c>
      <c r="X35" s="467"/>
      <c r="Y35" s="467"/>
      <c r="Z35" s="462">
        <f t="shared" si="6"/>
        <v>0</v>
      </c>
      <c r="AA35" s="300"/>
      <c r="AB35" s="192"/>
      <c r="AC35" s="464">
        <f t="shared" si="7"/>
        <v>0</v>
      </c>
      <c r="AD35" s="467"/>
      <c r="AE35" s="467"/>
      <c r="AF35" s="462">
        <f t="shared" si="8"/>
        <v>0</v>
      </c>
      <c r="AG35" s="300"/>
      <c r="AH35" s="192"/>
      <c r="AI35" s="464">
        <f t="shared" si="9"/>
        <v>0</v>
      </c>
      <c r="AJ35" s="467">
        <v>81</v>
      </c>
      <c r="AK35" s="467">
        <v>54319.444444444445</v>
      </c>
      <c r="AL35" s="462">
        <f t="shared" si="10"/>
        <v>4399875</v>
      </c>
      <c r="AM35" s="192">
        <v>74</v>
      </c>
      <c r="AN35" s="192">
        <v>55235.891891891893</v>
      </c>
      <c r="AO35" s="206">
        <f t="shared" si="11"/>
        <v>4087456</v>
      </c>
      <c r="AP35" s="467"/>
      <c r="AQ35" s="467"/>
      <c r="AR35" s="462">
        <f t="shared" si="12"/>
        <v>0</v>
      </c>
      <c r="AS35" s="300"/>
      <c r="AT35" s="192"/>
      <c r="AU35" s="464">
        <f t="shared" si="13"/>
        <v>0</v>
      </c>
      <c r="AV35" s="467"/>
      <c r="AW35" s="467"/>
      <c r="AX35" s="462">
        <f t="shared" si="14"/>
        <v>0</v>
      </c>
      <c r="AY35" s="300"/>
      <c r="AZ35" s="192"/>
      <c r="BA35" s="464">
        <f t="shared" si="15"/>
        <v>0</v>
      </c>
      <c r="BB35" s="467"/>
      <c r="BC35" s="467"/>
      <c r="BD35" s="462">
        <f t="shared" si="16"/>
        <v>0</v>
      </c>
      <c r="BE35" s="300"/>
      <c r="BF35" s="192"/>
      <c r="BG35" s="464">
        <f t="shared" si="17"/>
        <v>0</v>
      </c>
      <c r="BH35" s="467"/>
      <c r="BI35" s="467"/>
      <c r="BJ35" s="462">
        <f t="shared" si="18"/>
        <v>0</v>
      </c>
      <c r="BK35" s="300"/>
      <c r="BL35" s="192"/>
      <c r="BM35" s="464">
        <f t="shared" si="19"/>
        <v>0</v>
      </c>
      <c r="BN35" s="467"/>
      <c r="BO35" s="467"/>
      <c r="BP35" s="462">
        <f t="shared" si="20"/>
        <v>0</v>
      </c>
      <c r="BQ35" s="300"/>
      <c r="BR35" s="192"/>
      <c r="BS35" s="464">
        <f t="shared" si="21"/>
        <v>0</v>
      </c>
      <c r="BT35" s="467">
        <v>8</v>
      </c>
      <c r="BU35" s="467">
        <v>49222.625</v>
      </c>
      <c r="BV35" s="462">
        <f t="shared" si="22"/>
        <v>322191.61420000001</v>
      </c>
      <c r="BW35" s="192">
        <v>7</v>
      </c>
      <c r="BX35" s="192">
        <v>48917.285714285717</v>
      </c>
      <c r="BY35" s="463">
        <f t="shared" si="23"/>
        <v>280168.86220000003</v>
      </c>
    </row>
    <row r="36" spans="1:77" s="193" customFormat="1" x14ac:dyDescent="0.2">
      <c r="A36" s="620" t="s">
        <v>97</v>
      </c>
      <c r="B36" s="241" t="s">
        <v>356</v>
      </c>
      <c r="C36" s="242" t="s">
        <v>1079</v>
      </c>
      <c r="D36" s="240">
        <v>102067</v>
      </c>
      <c r="E36" s="243">
        <v>9</v>
      </c>
      <c r="F36" s="234"/>
      <c r="G36" s="208"/>
      <c r="H36" s="461">
        <f t="shared" si="0"/>
        <v>0</v>
      </c>
      <c r="I36" s="194"/>
      <c r="J36" s="194"/>
      <c r="K36" s="464">
        <f t="shared" si="1"/>
        <v>0</v>
      </c>
      <c r="L36" s="467"/>
      <c r="M36" s="467"/>
      <c r="N36" s="462">
        <f t="shared" si="2"/>
        <v>0</v>
      </c>
      <c r="O36" s="300"/>
      <c r="P36" s="192"/>
      <c r="Q36" s="464">
        <f t="shared" si="3"/>
        <v>0</v>
      </c>
      <c r="R36" s="467"/>
      <c r="S36" s="467"/>
      <c r="T36" s="462">
        <f t="shared" si="4"/>
        <v>0</v>
      </c>
      <c r="U36" s="494"/>
      <c r="V36" s="191"/>
      <c r="W36" s="464">
        <f t="shared" si="5"/>
        <v>0</v>
      </c>
      <c r="X36" s="467"/>
      <c r="Y36" s="467"/>
      <c r="Z36" s="462">
        <f t="shared" si="6"/>
        <v>0</v>
      </c>
      <c r="AA36" s="300"/>
      <c r="AB36" s="192"/>
      <c r="AC36" s="464">
        <f t="shared" si="7"/>
        <v>0</v>
      </c>
      <c r="AD36" s="467"/>
      <c r="AE36" s="467"/>
      <c r="AF36" s="462">
        <f t="shared" si="8"/>
        <v>0</v>
      </c>
      <c r="AG36" s="300"/>
      <c r="AH36" s="192"/>
      <c r="AI36" s="464">
        <f t="shared" si="9"/>
        <v>0</v>
      </c>
      <c r="AJ36" s="467">
        <v>81</v>
      </c>
      <c r="AK36" s="467">
        <v>54925.888888888891</v>
      </c>
      <c r="AL36" s="462">
        <f t="shared" si="10"/>
        <v>4448997</v>
      </c>
      <c r="AM36" s="192">
        <v>85</v>
      </c>
      <c r="AN36" s="192">
        <v>54425.094117647059</v>
      </c>
      <c r="AO36" s="206">
        <f t="shared" si="11"/>
        <v>4626133</v>
      </c>
      <c r="AP36" s="467"/>
      <c r="AQ36" s="467"/>
      <c r="AR36" s="462">
        <f t="shared" si="12"/>
        <v>0</v>
      </c>
      <c r="AS36" s="300"/>
      <c r="AT36" s="192"/>
      <c r="AU36" s="464">
        <f t="shared" si="13"/>
        <v>0</v>
      </c>
      <c r="AV36" s="467"/>
      <c r="AW36" s="467"/>
      <c r="AX36" s="462">
        <f t="shared" si="14"/>
        <v>0</v>
      </c>
      <c r="AY36" s="300"/>
      <c r="AZ36" s="192"/>
      <c r="BA36" s="464">
        <f t="shared" si="15"/>
        <v>0</v>
      </c>
      <c r="BB36" s="467"/>
      <c r="BC36" s="467"/>
      <c r="BD36" s="462">
        <f t="shared" si="16"/>
        <v>0</v>
      </c>
      <c r="BE36" s="300"/>
      <c r="BF36" s="192"/>
      <c r="BG36" s="464">
        <f t="shared" si="17"/>
        <v>0</v>
      </c>
      <c r="BH36" s="467"/>
      <c r="BI36" s="467"/>
      <c r="BJ36" s="462">
        <f t="shared" si="18"/>
        <v>0</v>
      </c>
      <c r="BK36" s="300"/>
      <c r="BL36" s="192"/>
      <c r="BM36" s="464">
        <f t="shared" si="19"/>
        <v>0</v>
      </c>
      <c r="BN36" s="467"/>
      <c r="BO36" s="467"/>
      <c r="BP36" s="462">
        <f t="shared" si="20"/>
        <v>0</v>
      </c>
      <c r="BQ36" s="300"/>
      <c r="BR36" s="192"/>
      <c r="BS36" s="464">
        <f t="shared" si="21"/>
        <v>0</v>
      </c>
      <c r="BT36" s="467">
        <v>6</v>
      </c>
      <c r="BU36" s="467">
        <v>49602</v>
      </c>
      <c r="BV36" s="462">
        <f t="shared" si="22"/>
        <v>243506.13840000003</v>
      </c>
      <c r="BW36" s="192">
        <v>6</v>
      </c>
      <c r="BX36" s="192">
        <v>55424.5</v>
      </c>
      <c r="BY36" s="463">
        <f t="shared" si="23"/>
        <v>272089.95540000004</v>
      </c>
    </row>
    <row r="37" spans="1:77" s="193" customFormat="1" x14ac:dyDescent="0.2">
      <c r="A37" s="620" t="s">
        <v>97</v>
      </c>
      <c r="B37" s="241" t="s">
        <v>357</v>
      </c>
      <c r="C37" s="242"/>
      <c r="D37" s="240">
        <v>251260</v>
      </c>
      <c r="E37" s="243">
        <v>9</v>
      </c>
      <c r="F37" s="234"/>
      <c r="G37" s="208"/>
      <c r="H37" s="461">
        <f t="shared" si="0"/>
        <v>0</v>
      </c>
      <c r="I37" s="194"/>
      <c r="J37" s="194"/>
      <c r="K37" s="464">
        <f t="shared" si="1"/>
        <v>0</v>
      </c>
      <c r="L37" s="467"/>
      <c r="M37" s="467"/>
      <c r="N37" s="462">
        <f t="shared" si="2"/>
        <v>0</v>
      </c>
      <c r="O37" s="300"/>
      <c r="P37" s="192"/>
      <c r="Q37" s="464">
        <f t="shared" si="3"/>
        <v>0</v>
      </c>
      <c r="R37" s="467"/>
      <c r="S37" s="467"/>
      <c r="T37" s="462">
        <f t="shared" si="4"/>
        <v>0</v>
      </c>
      <c r="U37" s="494"/>
      <c r="V37" s="191"/>
      <c r="W37" s="464">
        <f t="shared" si="5"/>
        <v>0</v>
      </c>
      <c r="X37" s="467"/>
      <c r="Y37" s="467"/>
      <c r="Z37" s="462">
        <f t="shared" si="6"/>
        <v>0</v>
      </c>
      <c r="AA37" s="300"/>
      <c r="AB37" s="192"/>
      <c r="AC37" s="464">
        <f t="shared" si="7"/>
        <v>0</v>
      </c>
      <c r="AD37" s="467"/>
      <c r="AE37" s="467"/>
      <c r="AF37" s="462">
        <f t="shared" si="8"/>
        <v>0</v>
      </c>
      <c r="AG37" s="300"/>
      <c r="AH37" s="192"/>
      <c r="AI37" s="464">
        <f t="shared" si="9"/>
        <v>0</v>
      </c>
      <c r="AJ37" s="467">
        <v>82</v>
      </c>
      <c r="AK37" s="467">
        <v>51593.024390243903</v>
      </c>
      <c r="AL37" s="462">
        <f t="shared" si="10"/>
        <v>4230628</v>
      </c>
      <c r="AM37" s="192">
        <v>82</v>
      </c>
      <c r="AN37" s="192">
        <v>52271.317073170729</v>
      </c>
      <c r="AO37" s="206">
        <f t="shared" si="11"/>
        <v>4286248</v>
      </c>
      <c r="AP37" s="467"/>
      <c r="AQ37" s="467"/>
      <c r="AR37" s="462">
        <f t="shared" si="12"/>
        <v>0</v>
      </c>
      <c r="AS37" s="300"/>
      <c r="AT37" s="192"/>
      <c r="AU37" s="464">
        <f t="shared" si="13"/>
        <v>0</v>
      </c>
      <c r="AV37" s="467"/>
      <c r="AW37" s="467"/>
      <c r="AX37" s="462">
        <f t="shared" si="14"/>
        <v>0</v>
      </c>
      <c r="AY37" s="300"/>
      <c r="AZ37" s="192"/>
      <c r="BA37" s="464">
        <f t="shared" si="15"/>
        <v>0</v>
      </c>
      <c r="BB37" s="467"/>
      <c r="BC37" s="467"/>
      <c r="BD37" s="462">
        <f t="shared" si="16"/>
        <v>0</v>
      </c>
      <c r="BE37" s="300"/>
      <c r="BF37" s="192"/>
      <c r="BG37" s="464">
        <f t="shared" si="17"/>
        <v>0</v>
      </c>
      <c r="BH37" s="467"/>
      <c r="BI37" s="467"/>
      <c r="BJ37" s="462">
        <f t="shared" si="18"/>
        <v>0</v>
      </c>
      <c r="BK37" s="300"/>
      <c r="BL37" s="192"/>
      <c r="BM37" s="464">
        <f t="shared" si="19"/>
        <v>0</v>
      </c>
      <c r="BN37" s="467"/>
      <c r="BO37" s="467"/>
      <c r="BP37" s="462">
        <f t="shared" si="20"/>
        <v>0</v>
      </c>
      <c r="BQ37" s="300"/>
      <c r="BR37" s="192"/>
      <c r="BS37" s="464">
        <f t="shared" si="21"/>
        <v>0</v>
      </c>
      <c r="BT37" s="467">
        <v>4</v>
      </c>
      <c r="BU37" s="467">
        <v>38890</v>
      </c>
      <c r="BV37" s="462">
        <f t="shared" si="22"/>
        <v>127279.19200000001</v>
      </c>
      <c r="BW37" s="192">
        <v>4</v>
      </c>
      <c r="BX37" s="192">
        <v>43023.25</v>
      </c>
      <c r="BY37" s="463">
        <f t="shared" si="23"/>
        <v>140806.4926</v>
      </c>
    </row>
    <row r="38" spans="1:77" s="193" customFormat="1" x14ac:dyDescent="0.2">
      <c r="A38" s="620" t="s">
        <v>97</v>
      </c>
      <c r="B38" s="241" t="s">
        <v>359</v>
      </c>
      <c r="C38" s="242"/>
      <c r="D38" s="240">
        <v>101949</v>
      </c>
      <c r="E38" s="243">
        <v>10</v>
      </c>
      <c r="F38" s="234"/>
      <c r="G38" s="208"/>
      <c r="H38" s="461">
        <f t="shared" si="0"/>
        <v>0</v>
      </c>
      <c r="I38" s="194"/>
      <c r="J38" s="194"/>
      <c r="K38" s="464">
        <f t="shared" si="1"/>
        <v>0</v>
      </c>
      <c r="L38" s="467"/>
      <c r="M38" s="467"/>
      <c r="N38" s="462">
        <f t="shared" si="2"/>
        <v>0</v>
      </c>
      <c r="O38" s="300"/>
      <c r="P38" s="192"/>
      <c r="Q38" s="464">
        <f t="shared" si="3"/>
        <v>0</v>
      </c>
      <c r="R38" s="467"/>
      <c r="S38" s="467"/>
      <c r="T38" s="462">
        <f t="shared" si="4"/>
        <v>0</v>
      </c>
      <c r="U38" s="494"/>
      <c r="V38" s="191"/>
      <c r="W38" s="464">
        <f t="shared" si="5"/>
        <v>0</v>
      </c>
      <c r="X38" s="467"/>
      <c r="Y38" s="467"/>
      <c r="Z38" s="462">
        <f t="shared" si="6"/>
        <v>0</v>
      </c>
      <c r="AA38" s="300"/>
      <c r="AB38" s="192"/>
      <c r="AC38" s="464">
        <f t="shared" si="7"/>
        <v>0</v>
      </c>
      <c r="AD38" s="467"/>
      <c r="AE38" s="467"/>
      <c r="AF38" s="462">
        <f t="shared" si="8"/>
        <v>0</v>
      </c>
      <c r="AG38" s="300"/>
      <c r="AH38" s="192"/>
      <c r="AI38" s="464">
        <f t="shared" si="9"/>
        <v>0</v>
      </c>
      <c r="AJ38" s="467">
        <v>39</v>
      </c>
      <c r="AK38" s="467">
        <v>52220.564102564102</v>
      </c>
      <c r="AL38" s="462">
        <f t="shared" si="10"/>
        <v>2036602</v>
      </c>
      <c r="AM38" s="192">
        <v>42</v>
      </c>
      <c r="AN38" s="192">
        <v>52283.214285714283</v>
      </c>
      <c r="AO38" s="206">
        <f t="shared" si="11"/>
        <v>2195895</v>
      </c>
      <c r="AP38" s="467"/>
      <c r="AQ38" s="467"/>
      <c r="AR38" s="462">
        <f t="shared" si="12"/>
        <v>0</v>
      </c>
      <c r="AS38" s="300"/>
      <c r="AT38" s="192"/>
      <c r="AU38" s="464">
        <f t="shared" si="13"/>
        <v>0</v>
      </c>
      <c r="AV38" s="467"/>
      <c r="AW38" s="467"/>
      <c r="AX38" s="462">
        <f t="shared" si="14"/>
        <v>0</v>
      </c>
      <c r="AY38" s="300"/>
      <c r="AZ38" s="192"/>
      <c r="BA38" s="464">
        <f t="shared" si="15"/>
        <v>0</v>
      </c>
      <c r="BB38" s="467"/>
      <c r="BC38" s="467"/>
      <c r="BD38" s="462">
        <f t="shared" si="16"/>
        <v>0</v>
      </c>
      <c r="BE38" s="300"/>
      <c r="BF38" s="192"/>
      <c r="BG38" s="464">
        <f t="shared" si="17"/>
        <v>0</v>
      </c>
      <c r="BH38" s="467"/>
      <c r="BI38" s="467"/>
      <c r="BJ38" s="462">
        <f t="shared" si="18"/>
        <v>0</v>
      </c>
      <c r="BK38" s="300"/>
      <c r="BL38" s="192"/>
      <c r="BM38" s="464">
        <f t="shared" si="19"/>
        <v>0</v>
      </c>
      <c r="BN38" s="467"/>
      <c r="BO38" s="467"/>
      <c r="BP38" s="462">
        <f t="shared" si="20"/>
        <v>0</v>
      </c>
      <c r="BQ38" s="300"/>
      <c r="BR38" s="192"/>
      <c r="BS38" s="464">
        <f t="shared" si="21"/>
        <v>0</v>
      </c>
      <c r="BT38" s="467">
        <v>17</v>
      </c>
      <c r="BU38" s="467">
        <v>49493.470588235294</v>
      </c>
      <c r="BV38" s="462">
        <f t="shared" si="22"/>
        <v>688424.47980000009</v>
      </c>
      <c r="BW38" s="192">
        <v>16</v>
      </c>
      <c r="BX38" s="192">
        <v>48194</v>
      </c>
      <c r="BY38" s="463">
        <f t="shared" si="23"/>
        <v>630917.29280000005</v>
      </c>
    </row>
    <row r="39" spans="1:77" s="193" customFormat="1" x14ac:dyDescent="0.2">
      <c r="A39" s="620" t="s">
        <v>97</v>
      </c>
      <c r="B39" s="241" t="s">
        <v>361</v>
      </c>
      <c r="C39" s="242"/>
      <c r="D39" s="240">
        <v>101028</v>
      </c>
      <c r="E39" s="243">
        <v>10</v>
      </c>
      <c r="F39" s="234"/>
      <c r="G39" s="208"/>
      <c r="H39" s="461">
        <f t="shared" si="0"/>
        <v>0</v>
      </c>
      <c r="I39" s="194"/>
      <c r="J39" s="194"/>
      <c r="K39" s="464">
        <f t="shared" si="1"/>
        <v>0</v>
      </c>
      <c r="L39" s="467"/>
      <c r="M39" s="467"/>
      <c r="N39" s="462">
        <f t="shared" si="2"/>
        <v>0</v>
      </c>
      <c r="O39" s="300"/>
      <c r="P39" s="192"/>
      <c r="Q39" s="464">
        <f t="shared" si="3"/>
        <v>0</v>
      </c>
      <c r="R39" s="467"/>
      <c r="S39" s="467"/>
      <c r="T39" s="462">
        <f t="shared" si="4"/>
        <v>0</v>
      </c>
      <c r="U39" s="494"/>
      <c r="V39" s="191"/>
      <c r="W39" s="464">
        <f t="shared" si="5"/>
        <v>0</v>
      </c>
      <c r="X39" s="467"/>
      <c r="Y39" s="467"/>
      <c r="Z39" s="462">
        <f t="shared" si="6"/>
        <v>0</v>
      </c>
      <c r="AA39" s="300"/>
      <c r="AB39" s="192"/>
      <c r="AC39" s="464">
        <f t="shared" si="7"/>
        <v>0</v>
      </c>
      <c r="AD39" s="467"/>
      <c r="AE39" s="467"/>
      <c r="AF39" s="462">
        <f t="shared" si="8"/>
        <v>0</v>
      </c>
      <c r="AG39" s="300"/>
      <c r="AH39" s="192"/>
      <c r="AI39" s="464">
        <f t="shared" si="9"/>
        <v>0</v>
      </c>
      <c r="AJ39" s="467">
        <v>34</v>
      </c>
      <c r="AK39" s="467">
        <v>54935.26470588235</v>
      </c>
      <c r="AL39" s="462">
        <f t="shared" si="10"/>
        <v>1867799</v>
      </c>
      <c r="AM39" s="192">
        <v>35</v>
      </c>
      <c r="AN39" s="192">
        <v>53840.971428571429</v>
      </c>
      <c r="AO39" s="206">
        <f t="shared" si="11"/>
        <v>1884434</v>
      </c>
      <c r="AP39" s="467"/>
      <c r="AQ39" s="467"/>
      <c r="AR39" s="462">
        <f t="shared" si="12"/>
        <v>0</v>
      </c>
      <c r="AS39" s="300"/>
      <c r="AT39" s="192"/>
      <c r="AU39" s="464">
        <f t="shared" si="13"/>
        <v>0</v>
      </c>
      <c r="AV39" s="467"/>
      <c r="AW39" s="467"/>
      <c r="AX39" s="462">
        <f t="shared" si="14"/>
        <v>0</v>
      </c>
      <c r="AY39" s="300"/>
      <c r="AZ39" s="192"/>
      <c r="BA39" s="464">
        <f t="shared" si="15"/>
        <v>0</v>
      </c>
      <c r="BB39" s="467"/>
      <c r="BC39" s="467"/>
      <c r="BD39" s="462">
        <f t="shared" si="16"/>
        <v>0</v>
      </c>
      <c r="BE39" s="300"/>
      <c r="BF39" s="192"/>
      <c r="BG39" s="464">
        <f t="shared" si="17"/>
        <v>0</v>
      </c>
      <c r="BH39" s="467"/>
      <c r="BI39" s="467"/>
      <c r="BJ39" s="462">
        <f t="shared" si="18"/>
        <v>0</v>
      </c>
      <c r="BK39" s="300"/>
      <c r="BL39" s="192"/>
      <c r="BM39" s="464">
        <f t="shared" si="19"/>
        <v>0</v>
      </c>
      <c r="BN39" s="467"/>
      <c r="BO39" s="467"/>
      <c r="BP39" s="462">
        <f t="shared" si="20"/>
        <v>0</v>
      </c>
      <c r="BQ39" s="300"/>
      <c r="BR39" s="192"/>
      <c r="BS39" s="464">
        <f t="shared" si="21"/>
        <v>0</v>
      </c>
      <c r="BT39" s="467"/>
      <c r="BU39" s="467"/>
      <c r="BV39" s="462">
        <f t="shared" si="22"/>
        <v>0</v>
      </c>
      <c r="BW39" s="192"/>
      <c r="BX39" s="192"/>
      <c r="BY39" s="463">
        <f t="shared" si="23"/>
        <v>0</v>
      </c>
    </row>
    <row r="40" spans="1:77" s="193" customFormat="1" x14ac:dyDescent="0.2">
      <c r="A40" s="620" t="s">
        <v>97</v>
      </c>
      <c r="B40" s="241" t="s">
        <v>363</v>
      </c>
      <c r="C40" s="242"/>
      <c r="D40" s="240">
        <v>101301</v>
      </c>
      <c r="E40" s="243">
        <v>10</v>
      </c>
      <c r="F40" s="234"/>
      <c r="G40" s="208"/>
      <c r="H40" s="461">
        <f t="shared" si="0"/>
        <v>0</v>
      </c>
      <c r="I40" s="194"/>
      <c r="J40" s="194"/>
      <c r="K40" s="464">
        <f t="shared" si="1"/>
        <v>0</v>
      </c>
      <c r="L40" s="467"/>
      <c r="M40" s="467"/>
      <c r="N40" s="462">
        <f t="shared" si="2"/>
        <v>0</v>
      </c>
      <c r="O40" s="300"/>
      <c r="P40" s="192"/>
      <c r="Q40" s="464">
        <f t="shared" si="3"/>
        <v>0</v>
      </c>
      <c r="R40" s="467"/>
      <c r="S40" s="467"/>
      <c r="T40" s="462">
        <f t="shared" si="4"/>
        <v>0</v>
      </c>
      <c r="U40" s="494"/>
      <c r="V40" s="191"/>
      <c r="W40" s="464">
        <f t="shared" si="5"/>
        <v>0</v>
      </c>
      <c r="X40" s="467"/>
      <c r="Y40" s="467"/>
      <c r="Z40" s="462">
        <f t="shared" si="6"/>
        <v>0</v>
      </c>
      <c r="AA40" s="300"/>
      <c r="AB40" s="192"/>
      <c r="AC40" s="464">
        <f t="shared" si="7"/>
        <v>0</v>
      </c>
      <c r="AD40" s="467"/>
      <c r="AE40" s="467"/>
      <c r="AF40" s="462">
        <f t="shared" si="8"/>
        <v>0</v>
      </c>
      <c r="AG40" s="300"/>
      <c r="AH40" s="192"/>
      <c r="AI40" s="464">
        <f t="shared" si="9"/>
        <v>0</v>
      </c>
      <c r="AJ40" s="467">
        <v>52</v>
      </c>
      <c r="AK40" s="467">
        <v>50041.865384615383</v>
      </c>
      <c r="AL40" s="462">
        <f t="shared" si="10"/>
        <v>2602177</v>
      </c>
      <c r="AM40" s="192">
        <v>52</v>
      </c>
      <c r="AN40" s="192">
        <v>50856.038461538461</v>
      </c>
      <c r="AO40" s="206">
        <f t="shared" si="11"/>
        <v>2644514</v>
      </c>
      <c r="AP40" s="467"/>
      <c r="AQ40" s="467"/>
      <c r="AR40" s="462">
        <f t="shared" si="12"/>
        <v>0</v>
      </c>
      <c r="AS40" s="300"/>
      <c r="AT40" s="192"/>
      <c r="AU40" s="464">
        <f t="shared" si="13"/>
        <v>0</v>
      </c>
      <c r="AV40" s="467"/>
      <c r="AW40" s="467"/>
      <c r="AX40" s="462">
        <f t="shared" si="14"/>
        <v>0</v>
      </c>
      <c r="AY40" s="300"/>
      <c r="AZ40" s="192"/>
      <c r="BA40" s="464">
        <f t="shared" si="15"/>
        <v>0</v>
      </c>
      <c r="BB40" s="467"/>
      <c r="BC40" s="467"/>
      <c r="BD40" s="462">
        <f t="shared" si="16"/>
        <v>0</v>
      </c>
      <c r="BE40" s="300"/>
      <c r="BF40" s="192"/>
      <c r="BG40" s="464">
        <f t="shared" si="17"/>
        <v>0</v>
      </c>
      <c r="BH40" s="467"/>
      <c r="BI40" s="467"/>
      <c r="BJ40" s="462">
        <f t="shared" si="18"/>
        <v>0</v>
      </c>
      <c r="BK40" s="300"/>
      <c r="BL40" s="192"/>
      <c r="BM40" s="464">
        <f t="shared" si="19"/>
        <v>0</v>
      </c>
      <c r="BN40" s="467"/>
      <c r="BO40" s="467"/>
      <c r="BP40" s="462">
        <f t="shared" si="20"/>
        <v>0</v>
      </c>
      <c r="BQ40" s="300"/>
      <c r="BR40" s="192"/>
      <c r="BS40" s="464">
        <f t="shared" si="21"/>
        <v>0</v>
      </c>
      <c r="BT40" s="467">
        <v>3</v>
      </c>
      <c r="BU40" s="467">
        <v>38447.333333333336</v>
      </c>
      <c r="BV40" s="462">
        <f t="shared" si="22"/>
        <v>94372.824399999998</v>
      </c>
      <c r="BW40" s="192">
        <v>1</v>
      </c>
      <c r="BX40" s="192">
        <v>45887</v>
      </c>
      <c r="BY40" s="463">
        <f t="shared" si="23"/>
        <v>37544.743399999999</v>
      </c>
    </row>
    <row r="41" spans="1:77" s="193" customFormat="1" x14ac:dyDescent="0.2">
      <c r="A41" s="620" t="s">
        <v>97</v>
      </c>
      <c r="B41" s="241" t="s">
        <v>364</v>
      </c>
      <c r="C41" s="242"/>
      <c r="D41" s="240">
        <v>101499</v>
      </c>
      <c r="E41" s="243">
        <v>10</v>
      </c>
      <c r="F41" s="234"/>
      <c r="G41" s="208"/>
      <c r="H41" s="461">
        <f t="shared" si="0"/>
        <v>0</v>
      </c>
      <c r="I41" s="194"/>
      <c r="J41" s="194"/>
      <c r="K41" s="464">
        <f t="shared" si="1"/>
        <v>0</v>
      </c>
      <c r="L41" s="467"/>
      <c r="M41" s="467"/>
      <c r="N41" s="462">
        <f t="shared" si="2"/>
        <v>0</v>
      </c>
      <c r="O41" s="300"/>
      <c r="P41" s="192"/>
      <c r="Q41" s="464">
        <f t="shared" si="3"/>
        <v>0</v>
      </c>
      <c r="R41" s="467"/>
      <c r="S41" s="467"/>
      <c r="T41" s="462">
        <f t="shared" si="4"/>
        <v>0</v>
      </c>
      <c r="U41" s="494"/>
      <c r="V41" s="191"/>
      <c r="W41" s="464">
        <f t="shared" si="5"/>
        <v>0</v>
      </c>
      <c r="X41" s="467"/>
      <c r="Y41" s="467"/>
      <c r="Z41" s="462">
        <f t="shared" si="6"/>
        <v>0</v>
      </c>
      <c r="AA41" s="300"/>
      <c r="AB41" s="192"/>
      <c r="AC41" s="464">
        <f t="shared" si="7"/>
        <v>0</v>
      </c>
      <c r="AD41" s="467"/>
      <c r="AE41" s="467"/>
      <c r="AF41" s="462">
        <f t="shared" si="8"/>
        <v>0</v>
      </c>
      <c r="AG41" s="300"/>
      <c r="AH41" s="192"/>
      <c r="AI41" s="464">
        <f t="shared" si="9"/>
        <v>0</v>
      </c>
      <c r="AJ41" s="467">
        <v>33</v>
      </c>
      <c r="AK41" s="467">
        <v>52716.909090909088</v>
      </c>
      <c r="AL41" s="462">
        <f t="shared" si="10"/>
        <v>1739658</v>
      </c>
      <c r="AM41" s="192">
        <v>34</v>
      </c>
      <c r="AN41" s="192">
        <v>52475.382352941175</v>
      </c>
      <c r="AO41" s="206">
        <f t="shared" si="11"/>
        <v>1784163</v>
      </c>
      <c r="AP41" s="467"/>
      <c r="AQ41" s="467"/>
      <c r="AR41" s="462">
        <f t="shared" si="12"/>
        <v>0</v>
      </c>
      <c r="AS41" s="300"/>
      <c r="AT41" s="192"/>
      <c r="AU41" s="464">
        <f t="shared" si="13"/>
        <v>0</v>
      </c>
      <c r="AV41" s="467"/>
      <c r="AW41" s="467"/>
      <c r="AX41" s="462">
        <f t="shared" si="14"/>
        <v>0</v>
      </c>
      <c r="AY41" s="300"/>
      <c r="AZ41" s="192"/>
      <c r="BA41" s="464">
        <f t="shared" si="15"/>
        <v>0</v>
      </c>
      <c r="BB41" s="467"/>
      <c r="BC41" s="467"/>
      <c r="BD41" s="462">
        <f t="shared" si="16"/>
        <v>0</v>
      </c>
      <c r="BE41" s="300"/>
      <c r="BF41" s="192"/>
      <c r="BG41" s="464">
        <f t="shared" si="17"/>
        <v>0</v>
      </c>
      <c r="BH41" s="467"/>
      <c r="BI41" s="467"/>
      <c r="BJ41" s="462">
        <f t="shared" si="18"/>
        <v>0</v>
      </c>
      <c r="BK41" s="300"/>
      <c r="BL41" s="192"/>
      <c r="BM41" s="464">
        <f t="shared" si="19"/>
        <v>0</v>
      </c>
      <c r="BN41" s="467"/>
      <c r="BO41" s="467"/>
      <c r="BP41" s="462">
        <f t="shared" si="20"/>
        <v>0</v>
      </c>
      <c r="BQ41" s="300"/>
      <c r="BR41" s="192"/>
      <c r="BS41" s="464">
        <f t="shared" si="21"/>
        <v>0</v>
      </c>
      <c r="BT41" s="467">
        <v>4</v>
      </c>
      <c r="BU41" s="467">
        <v>85681.5</v>
      </c>
      <c r="BV41" s="462">
        <f t="shared" si="22"/>
        <v>280418.41320000001</v>
      </c>
      <c r="BW41" s="192">
        <v>2</v>
      </c>
      <c r="BX41" s="192">
        <v>80002</v>
      </c>
      <c r="BY41" s="463">
        <f t="shared" si="23"/>
        <v>130915.27280000001</v>
      </c>
    </row>
    <row r="42" spans="1:77" s="193" customFormat="1" x14ac:dyDescent="0.2">
      <c r="A42" s="620" t="s">
        <v>97</v>
      </c>
      <c r="B42" s="241" t="s">
        <v>365</v>
      </c>
      <c r="C42" s="242"/>
      <c r="D42" s="240">
        <v>101602</v>
      </c>
      <c r="E42" s="243">
        <v>10</v>
      </c>
      <c r="F42" s="234"/>
      <c r="G42" s="208"/>
      <c r="H42" s="461">
        <f t="shared" si="0"/>
        <v>0</v>
      </c>
      <c r="I42" s="194"/>
      <c r="J42" s="194"/>
      <c r="K42" s="464">
        <f t="shared" si="1"/>
        <v>0</v>
      </c>
      <c r="L42" s="467"/>
      <c r="M42" s="467"/>
      <c r="N42" s="462">
        <f t="shared" si="2"/>
        <v>0</v>
      </c>
      <c r="O42" s="300"/>
      <c r="P42" s="192"/>
      <c r="Q42" s="464">
        <f t="shared" si="3"/>
        <v>0</v>
      </c>
      <c r="R42" s="467"/>
      <c r="S42" s="467"/>
      <c r="T42" s="462">
        <f t="shared" si="4"/>
        <v>0</v>
      </c>
      <c r="U42" s="494"/>
      <c r="V42" s="191"/>
      <c r="W42" s="464">
        <f t="shared" si="5"/>
        <v>0</v>
      </c>
      <c r="X42" s="467"/>
      <c r="Y42" s="467"/>
      <c r="Z42" s="462">
        <f t="shared" si="6"/>
        <v>0</v>
      </c>
      <c r="AA42" s="300"/>
      <c r="AB42" s="192"/>
      <c r="AC42" s="464">
        <f t="shared" si="7"/>
        <v>0</v>
      </c>
      <c r="AD42" s="467"/>
      <c r="AE42" s="467"/>
      <c r="AF42" s="462">
        <f t="shared" si="8"/>
        <v>0</v>
      </c>
      <c r="AG42" s="300"/>
      <c r="AH42" s="192"/>
      <c r="AI42" s="464">
        <f t="shared" si="9"/>
        <v>0</v>
      </c>
      <c r="AJ42" s="467">
        <v>52</v>
      </c>
      <c r="AK42" s="467">
        <v>51103.076923076922</v>
      </c>
      <c r="AL42" s="462">
        <f t="shared" si="10"/>
        <v>2657360</v>
      </c>
      <c r="AM42" s="192">
        <v>55</v>
      </c>
      <c r="AN42" s="192">
        <v>50860.254545454547</v>
      </c>
      <c r="AO42" s="206">
        <f t="shared" si="11"/>
        <v>2797314</v>
      </c>
      <c r="AP42" s="467"/>
      <c r="AQ42" s="467"/>
      <c r="AR42" s="462">
        <f t="shared" si="12"/>
        <v>0</v>
      </c>
      <c r="AS42" s="300"/>
      <c r="AT42" s="192"/>
      <c r="AU42" s="464">
        <f t="shared" si="13"/>
        <v>0</v>
      </c>
      <c r="AV42" s="467"/>
      <c r="AW42" s="467"/>
      <c r="AX42" s="462">
        <f t="shared" si="14"/>
        <v>0</v>
      </c>
      <c r="AY42" s="300"/>
      <c r="AZ42" s="192"/>
      <c r="BA42" s="464">
        <f t="shared" si="15"/>
        <v>0</v>
      </c>
      <c r="BB42" s="467"/>
      <c r="BC42" s="467"/>
      <c r="BD42" s="462">
        <f t="shared" si="16"/>
        <v>0</v>
      </c>
      <c r="BE42" s="300"/>
      <c r="BF42" s="192"/>
      <c r="BG42" s="464">
        <f t="shared" si="17"/>
        <v>0</v>
      </c>
      <c r="BH42" s="467"/>
      <c r="BI42" s="467"/>
      <c r="BJ42" s="462">
        <f t="shared" si="18"/>
        <v>0</v>
      </c>
      <c r="BK42" s="300"/>
      <c r="BL42" s="192"/>
      <c r="BM42" s="464">
        <f t="shared" si="19"/>
        <v>0</v>
      </c>
      <c r="BN42" s="467"/>
      <c r="BO42" s="467"/>
      <c r="BP42" s="462">
        <f t="shared" si="20"/>
        <v>0</v>
      </c>
      <c r="BQ42" s="300"/>
      <c r="BR42" s="192"/>
      <c r="BS42" s="464">
        <f t="shared" si="21"/>
        <v>0</v>
      </c>
      <c r="BT42" s="467"/>
      <c r="BU42" s="467"/>
      <c r="BV42" s="462">
        <f t="shared" si="22"/>
        <v>0</v>
      </c>
      <c r="BW42" s="192"/>
      <c r="BX42" s="192"/>
      <c r="BY42" s="463">
        <f t="shared" si="23"/>
        <v>0</v>
      </c>
    </row>
    <row r="43" spans="1:77" s="193" customFormat="1" x14ac:dyDescent="0.2">
      <c r="A43" s="620" t="s">
        <v>97</v>
      </c>
      <c r="B43" s="241" t="s">
        <v>366</v>
      </c>
      <c r="C43" s="242" t="s">
        <v>1080</v>
      </c>
      <c r="D43" s="240">
        <v>102076</v>
      </c>
      <c r="E43" s="243">
        <v>10</v>
      </c>
      <c r="F43" s="234"/>
      <c r="G43" s="208"/>
      <c r="H43" s="461">
        <f t="shared" si="0"/>
        <v>0</v>
      </c>
      <c r="I43" s="194"/>
      <c r="J43" s="194"/>
      <c r="K43" s="464">
        <f t="shared" si="1"/>
        <v>0</v>
      </c>
      <c r="L43" s="467"/>
      <c r="M43" s="467"/>
      <c r="N43" s="462">
        <f t="shared" si="2"/>
        <v>0</v>
      </c>
      <c r="O43" s="300"/>
      <c r="P43" s="192"/>
      <c r="Q43" s="464">
        <f t="shared" si="3"/>
        <v>0</v>
      </c>
      <c r="R43" s="467"/>
      <c r="S43" s="467"/>
      <c r="T43" s="462">
        <f t="shared" si="4"/>
        <v>0</v>
      </c>
      <c r="U43" s="494"/>
      <c r="V43" s="191"/>
      <c r="W43" s="464">
        <f t="shared" si="5"/>
        <v>0</v>
      </c>
      <c r="X43" s="467"/>
      <c r="Y43" s="467"/>
      <c r="Z43" s="462">
        <f t="shared" si="6"/>
        <v>0</v>
      </c>
      <c r="AA43" s="300"/>
      <c r="AB43" s="192"/>
      <c r="AC43" s="464">
        <f t="shared" si="7"/>
        <v>0</v>
      </c>
      <c r="AD43" s="467"/>
      <c r="AE43" s="467"/>
      <c r="AF43" s="462">
        <f t="shared" si="8"/>
        <v>0</v>
      </c>
      <c r="AG43" s="300"/>
      <c r="AH43" s="192"/>
      <c r="AI43" s="464">
        <f t="shared" si="9"/>
        <v>0</v>
      </c>
      <c r="AJ43" s="467">
        <v>22</v>
      </c>
      <c r="AK43" s="467">
        <v>54464.045454545456</v>
      </c>
      <c r="AL43" s="462">
        <f t="shared" si="10"/>
        <v>1198209</v>
      </c>
      <c r="AM43" s="192">
        <v>20</v>
      </c>
      <c r="AN43" s="192">
        <v>57425.8</v>
      </c>
      <c r="AO43" s="206">
        <f t="shared" si="11"/>
        <v>1148516</v>
      </c>
      <c r="AP43" s="467"/>
      <c r="AQ43" s="467"/>
      <c r="AR43" s="462">
        <f t="shared" si="12"/>
        <v>0</v>
      </c>
      <c r="AS43" s="300"/>
      <c r="AT43" s="192"/>
      <c r="AU43" s="464">
        <f t="shared" si="13"/>
        <v>0</v>
      </c>
      <c r="AV43" s="467"/>
      <c r="AW43" s="467"/>
      <c r="AX43" s="462">
        <f t="shared" si="14"/>
        <v>0</v>
      </c>
      <c r="AY43" s="300"/>
      <c r="AZ43" s="192"/>
      <c r="BA43" s="464">
        <f t="shared" si="15"/>
        <v>0</v>
      </c>
      <c r="BB43" s="467"/>
      <c r="BC43" s="467"/>
      <c r="BD43" s="462">
        <f t="shared" si="16"/>
        <v>0</v>
      </c>
      <c r="BE43" s="300"/>
      <c r="BF43" s="192"/>
      <c r="BG43" s="464">
        <f t="shared" si="17"/>
        <v>0</v>
      </c>
      <c r="BH43" s="467"/>
      <c r="BI43" s="467"/>
      <c r="BJ43" s="462">
        <f t="shared" si="18"/>
        <v>0</v>
      </c>
      <c r="BK43" s="300"/>
      <c r="BL43" s="192"/>
      <c r="BM43" s="464">
        <f t="shared" si="19"/>
        <v>0</v>
      </c>
      <c r="BN43" s="467"/>
      <c r="BO43" s="467"/>
      <c r="BP43" s="462">
        <f t="shared" si="20"/>
        <v>0</v>
      </c>
      <c r="BQ43" s="300"/>
      <c r="BR43" s="192"/>
      <c r="BS43" s="464">
        <f t="shared" si="21"/>
        <v>0</v>
      </c>
      <c r="BT43" s="467">
        <v>15</v>
      </c>
      <c r="BU43" s="467">
        <v>74964.600000000006</v>
      </c>
      <c r="BV43" s="462">
        <f t="shared" si="22"/>
        <v>920040.53580000007</v>
      </c>
      <c r="BW43" s="192">
        <v>14</v>
      </c>
      <c r="BX43" s="192">
        <v>75477.5</v>
      </c>
      <c r="BY43" s="463">
        <f t="shared" si="23"/>
        <v>864579.66700000002</v>
      </c>
    </row>
    <row r="44" spans="1:77" s="193" customFormat="1" x14ac:dyDescent="0.2">
      <c r="A44" s="620" t="s">
        <v>97</v>
      </c>
      <c r="B44" s="241" t="s">
        <v>367</v>
      </c>
      <c r="C44" s="242"/>
      <c r="D44" s="240">
        <v>102313</v>
      </c>
      <c r="E44" s="243">
        <v>12</v>
      </c>
      <c r="F44" s="234"/>
      <c r="G44" s="208"/>
      <c r="H44" s="461">
        <f t="shared" si="0"/>
        <v>0</v>
      </c>
      <c r="I44" s="194"/>
      <c r="J44" s="194"/>
      <c r="K44" s="464">
        <f t="shared" si="1"/>
        <v>0</v>
      </c>
      <c r="L44" s="467"/>
      <c r="M44" s="467"/>
      <c r="N44" s="462">
        <f t="shared" si="2"/>
        <v>0</v>
      </c>
      <c r="O44" s="300"/>
      <c r="P44" s="192"/>
      <c r="Q44" s="464">
        <f t="shared" si="3"/>
        <v>0</v>
      </c>
      <c r="R44" s="467"/>
      <c r="S44" s="467"/>
      <c r="T44" s="462">
        <f t="shared" si="4"/>
        <v>0</v>
      </c>
      <c r="U44" s="494"/>
      <c r="V44" s="191"/>
      <c r="W44" s="464">
        <f t="shared" si="5"/>
        <v>0</v>
      </c>
      <c r="X44" s="467"/>
      <c r="Y44" s="467"/>
      <c r="Z44" s="462">
        <f t="shared" si="6"/>
        <v>0</v>
      </c>
      <c r="AA44" s="300"/>
      <c r="AB44" s="192"/>
      <c r="AC44" s="464">
        <f t="shared" si="7"/>
        <v>0</v>
      </c>
      <c r="AD44" s="467"/>
      <c r="AE44" s="467"/>
      <c r="AF44" s="462">
        <f t="shared" si="8"/>
        <v>0</v>
      </c>
      <c r="AG44" s="300"/>
      <c r="AH44" s="192"/>
      <c r="AI44" s="464">
        <f t="shared" si="9"/>
        <v>0</v>
      </c>
      <c r="AJ44" s="467">
        <v>69</v>
      </c>
      <c r="AK44" s="467">
        <v>52717.434782608696</v>
      </c>
      <c r="AL44" s="462">
        <f t="shared" si="10"/>
        <v>3637503</v>
      </c>
      <c r="AM44" s="192">
        <v>47</v>
      </c>
      <c r="AN44" s="192">
        <v>52402.425531914894</v>
      </c>
      <c r="AO44" s="206">
        <f t="shared" si="11"/>
        <v>2462914</v>
      </c>
      <c r="AP44" s="467"/>
      <c r="AQ44" s="467"/>
      <c r="AR44" s="462">
        <f t="shared" si="12"/>
        <v>0</v>
      </c>
      <c r="AS44" s="300"/>
      <c r="AT44" s="192"/>
      <c r="AU44" s="464">
        <f t="shared" si="13"/>
        <v>0</v>
      </c>
      <c r="AV44" s="467"/>
      <c r="AW44" s="467"/>
      <c r="AX44" s="462">
        <f t="shared" si="14"/>
        <v>0</v>
      </c>
      <c r="AY44" s="300"/>
      <c r="AZ44" s="192"/>
      <c r="BA44" s="464">
        <f t="shared" si="15"/>
        <v>0</v>
      </c>
      <c r="BB44" s="467"/>
      <c r="BC44" s="467"/>
      <c r="BD44" s="462">
        <f t="shared" si="16"/>
        <v>0</v>
      </c>
      <c r="BE44" s="300"/>
      <c r="BF44" s="192"/>
      <c r="BG44" s="464">
        <f t="shared" si="17"/>
        <v>0</v>
      </c>
      <c r="BH44" s="467"/>
      <c r="BI44" s="467"/>
      <c r="BJ44" s="462">
        <f t="shared" si="18"/>
        <v>0</v>
      </c>
      <c r="BK44" s="300"/>
      <c r="BL44" s="192"/>
      <c r="BM44" s="464">
        <f t="shared" si="19"/>
        <v>0</v>
      </c>
      <c r="BN44" s="467"/>
      <c r="BO44" s="467"/>
      <c r="BP44" s="462">
        <f t="shared" si="20"/>
        <v>0</v>
      </c>
      <c r="BQ44" s="300"/>
      <c r="BR44" s="192"/>
      <c r="BS44" s="464">
        <f t="shared" si="21"/>
        <v>0</v>
      </c>
      <c r="BT44" s="467">
        <v>7</v>
      </c>
      <c r="BU44" s="467">
        <v>88150.28571428571</v>
      </c>
      <c r="BV44" s="462">
        <f t="shared" si="22"/>
        <v>504871.94640000002</v>
      </c>
      <c r="BW44" s="192">
        <v>13</v>
      </c>
      <c r="BX44" s="192">
        <v>70430.538461538468</v>
      </c>
      <c r="BY44" s="463">
        <f t="shared" si="23"/>
        <v>749141.4654000001</v>
      </c>
    </row>
    <row r="45" spans="1:77" s="193" customFormat="1" x14ac:dyDescent="0.2">
      <c r="A45" s="620" t="s">
        <v>97</v>
      </c>
      <c r="B45" s="241" t="s">
        <v>368</v>
      </c>
      <c r="C45" s="242" t="s">
        <v>1081</v>
      </c>
      <c r="D45" s="240">
        <v>101462</v>
      </c>
      <c r="E45" s="243">
        <v>13</v>
      </c>
      <c r="F45" s="234"/>
      <c r="G45" s="208"/>
      <c r="H45" s="461">
        <f t="shared" si="0"/>
        <v>0</v>
      </c>
      <c r="I45" s="194"/>
      <c r="J45" s="194"/>
      <c r="K45" s="464">
        <f t="shared" si="1"/>
        <v>0</v>
      </c>
      <c r="L45" s="467"/>
      <c r="M45" s="467"/>
      <c r="N45" s="462">
        <f t="shared" si="2"/>
        <v>0</v>
      </c>
      <c r="O45" s="300"/>
      <c r="P45" s="192"/>
      <c r="Q45" s="464">
        <f t="shared" si="3"/>
        <v>0</v>
      </c>
      <c r="R45" s="467"/>
      <c r="S45" s="467"/>
      <c r="T45" s="462">
        <f t="shared" si="4"/>
        <v>0</v>
      </c>
      <c r="U45" s="494"/>
      <c r="V45" s="191"/>
      <c r="W45" s="464">
        <f t="shared" si="5"/>
        <v>0</v>
      </c>
      <c r="X45" s="467"/>
      <c r="Y45" s="467"/>
      <c r="Z45" s="462">
        <f t="shared" si="6"/>
        <v>0</v>
      </c>
      <c r="AA45" s="300"/>
      <c r="AB45" s="192"/>
      <c r="AC45" s="464">
        <f t="shared" si="7"/>
        <v>0</v>
      </c>
      <c r="AD45" s="467"/>
      <c r="AE45" s="467"/>
      <c r="AF45" s="462">
        <f t="shared" si="8"/>
        <v>0</v>
      </c>
      <c r="AG45" s="300"/>
      <c r="AH45" s="192"/>
      <c r="AI45" s="464">
        <f t="shared" si="9"/>
        <v>0</v>
      </c>
      <c r="AJ45" s="467">
        <v>24</v>
      </c>
      <c r="AK45" s="467">
        <v>53448.583333333336</v>
      </c>
      <c r="AL45" s="462">
        <f t="shared" si="10"/>
        <v>1282766</v>
      </c>
      <c r="AM45" s="192">
        <v>27</v>
      </c>
      <c r="AN45" s="192">
        <v>50783.851851851854</v>
      </c>
      <c r="AO45" s="206">
        <f t="shared" si="11"/>
        <v>1371164</v>
      </c>
      <c r="AP45" s="467"/>
      <c r="AQ45" s="467"/>
      <c r="AR45" s="462">
        <f t="shared" si="12"/>
        <v>0</v>
      </c>
      <c r="AS45" s="300"/>
      <c r="AT45" s="192"/>
      <c r="AU45" s="464">
        <f t="shared" si="13"/>
        <v>0</v>
      </c>
      <c r="AV45" s="467"/>
      <c r="AW45" s="467"/>
      <c r="AX45" s="462">
        <f t="shared" si="14"/>
        <v>0</v>
      </c>
      <c r="AY45" s="300"/>
      <c r="AZ45" s="192"/>
      <c r="BA45" s="464">
        <f t="shared" si="15"/>
        <v>0</v>
      </c>
      <c r="BB45" s="467"/>
      <c r="BC45" s="467"/>
      <c r="BD45" s="462">
        <f t="shared" si="16"/>
        <v>0</v>
      </c>
      <c r="BE45" s="300"/>
      <c r="BF45" s="192"/>
      <c r="BG45" s="464">
        <f t="shared" si="17"/>
        <v>0</v>
      </c>
      <c r="BH45" s="467"/>
      <c r="BI45" s="467"/>
      <c r="BJ45" s="462">
        <f t="shared" si="18"/>
        <v>0</v>
      </c>
      <c r="BK45" s="300"/>
      <c r="BL45" s="192"/>
      <c r="BM45" s="464">
        <f t="shared" si="19"/>
        <v>0</v>
      </c>
      <c r="BN45" s="467"/>
      <c r="BO45" s="467"/>
      <c r="BP45" s="462">
        <f t="shared" si="20"/>
        <v>0</v>
      </c>
      <c r="BQ45" s="300"/>
      <c r="BR45" s="192"/>
      <c r="BS45" s="464">
        <f t="shared" si="21"/>
        <v>0</v>
      </c>
      <c r="BT45" s="467">
        <v>4</v>
      </c>
      <c r="BU45" s="467">
        <v>30154.5</v>
      </c>
      <c r="BV45" s="462">
        <f t="shared" si="22"/>
        <v>98689.647600000011</v>
      </c>
      <c r="BW45" s="192">
        <v>3</v>
      </c>
      <c r="BX45" s="192">
        <v>52988.333333333336</v>
      </c>
      <c r="BY45" s="463">
        <f t="shared" si="23"/>
        <v>130065.163</v>
      </c>
    </row>
    <row r="46" spans="1:77" s="193" customFormat="1" x14ac:dyDescent="0.2">
      <c r="A46" s="620" t="s">
        <v>97</v>
      </c>
      <c r="B46" s="241" t="s">
        <v>369</v>
      </c>
      <c r="C46" s="242"/>
      <c r="D46" s="240">
        <v>101471</v>
      </c>
      <c r="E46" s="243">
        <v>13</v>
      </c>
      <c r="F46" s="234"/>
      <c r="G46" s="208"/>
      <c r="H46" s="461">
        <f t="shared" si="0"/>
        <v>0</v>
      </c>
      <c r="I46" s="194"/>
      <c r="J46" s="194"/>
      <c r="K46" s="464">
        <f t="shared" si="1"/>
        <v>0</v>
      </c>
      <c r="L46" s="467"/>
      <c r="M46" s="467"/>
      <c r="N46" s="462">
        <f t="shared" si="2"/>
        <v>0</v>
      </c>
      <c r="O46" s="300"/>
      <c r="P46" s="192"/>
      <c r="Q46" s="464">
        <f t="shared" si="3"/>
        <v>0</v>
      </c>
      <c r="R46" s="467"/>
      <c r="S46" s="467"/>
      <c r="T46" s="462">
        <f t="shared" si="4"/>
        <v>0</v>
      </c>
      <c r="U46" s="494"/>
      <c r="V46" s="191"/>
      <c r="W46" s="464">
        <f t="shared" si="5"/>
        <v>0</v>
      </c>
      <c r="X46" s="467"/>
      <c r="Y46" s="467"/>
      <c r="Z46" s="462">
        <f t="shared" si="6"/>
        <v>0</v>
      </c>
      <c r="AA46" s="300"/>
      <c r="AB46" s="192"/>
      <c r="AC46" s="464">
        <f t="shared" si="7"/>
        <v>0</v>
      </c>
      <c r="AD46" s="467"/>
      <c r="AE46" s="467"/>
      <c r="AF46" s="462">
        <f t="shared" si="8"/>
        <v>0</v>
      </c>
      <c r="AG46" s="300"/>
      <c r="AH46" s="192"/>
      <c r="AI46" s="464">
        <f t="shared" si="9"/>
        <v>0</v>
      </c>
      <c r="AJ46" s="467">
        <v>17</v>
      </c>
      <c r="AK46" s="467">
        <v>48086.941176470587</v>
      </c>
      <c r="AL46" s="462">
        <f t="shared" si="10"/>
        <v>817478</v>
      </c>
      <c r="AM46" s="192">
        <v>19</v>
      </c>
      <c r="AN46" s="192">
        <v>48392.42105263158</v>
      </c>
      <c r="AO46" s="206">
        <f t="shared" si="11"/>
        <v>919456</v>
      </c>
      <c r="AP46" s="467"/>
      <c r="AQ46" s="467"/>
      <c r="AR46" s="462">
        <f t="shared" si="12"/>
        <v>0</v>
      </c>
      <c r="AS46" s="300"/>
      <c r="AT46" s="192"/>
      <c r="AU46" s="464">
        <f t="shared" si="13"/>
        <v>0</v>
      </c>
      <c r="AV46" s="467"/>
      <c r="AW46" s="467"/>
      <c r="AX46" s="462">
        <f t="shared" si="14"/>
        <v>0</v>
      </c>
      <c r="AY46" s="300"/>
      <c r="AZ46" s="192"/>
      <c r="BA46" s="464">
        <f t="shared" si="15"/>
        <v>0</v>
      </c>
      <c r="BB46" s="467"/>
      <c r="BC46" s="467"/>
      <c r="BD46" s="462">
        <f t="shared" si="16"/>
        <v>0</v>
      </c>
      <c r="BE46" s="300"/>
      <c r="BF46" s="192"/>
      <c r="BG46" s="464">
        <f t="shared" si="17"/>
        <v>0</v>
      </c>
      <c r="BH46" s="467"/>
      <c r="BI46" s="467"/>
      <c r="BJ46" s="462">
        <f t="shared" si="18"/>
        <v>0</v>
      </c>
      <c r="BK46" s="300"/>
      <c r="BL46" s="192"/>
      <c r="BM46" s="464">
        <f t="shared" si="19"/>
        <v>0</v>
      </c>
      <c r="BN46" s="467"/>
      <c r="BO46" s="467"/>
      <c r="BP46" s="462">
        <f t="shared" si="20"/>
        <v>0</v>
      </c>
      <c r="BQ46" s="300"/>
      <c r="BR46" s="192"/>
      <c r="BS46" s="464">
        <f t="shared" si="21"/>
        <v>0</v>
      </c>
      <c r="BT46" s="467">
        <v>14</v>
      </c>
      <c r="BU46" s="467">
        <v>86097.928571428565</v>
      </c>
      <c r="BV46" s="462">
        <f t="shared" si="22"/>
        <v>986234.55220000003</v>
      </c>
      <c r="BW46" s="192">
        <v>13</v>
      </c>
      <c r="BX46" s="192">
        <v>86568.076923076922</v>
      </c>
      <c r="BY46" s="463">
        <f t="shared" si="23"/>
        <v>920790.0070000001</v>
      </c>
    </row>
    <row r="47" spans="1:77" s="193" customFormat="1" x14ac:dyDescent="0.2">
      <c r="A47" s="620" t="s">
        <v>97</v>
      </c>
      <c r="B47" s="241" t="s">
        <v>370</v>
      </c>
      <c r="C47" s="242"/>
      <c r="D47" s="240">
        <v>101994</v>
      </c>
      <c r="E47" s="243">
        <v>13</v>
      </c>
      <c r="F47" s="234"/>
      <c r="G47" s="208"/>
      <c r="H47" s="461">
        <f t="shared" si="0"/>
        <v>0</v>
      </c>
      <c r="I47" s="194"/>
      <c r="J47" s="194"/>
      <c r="K47" s="464">
        <f t="shared" si="1"/>
        <v>0</v>
      </c>
      <c r="L47" s="467"/>
      <c r="M47" s="467"/>
      <c r="N47" s="462">
        <f t="shared" si="2"/>
        <v>0</v>
      </c>
      <c r="O47" s="300"/>
      <c r="P47" s="192"/>
      <c r="Q47" s="464">
        <f t="shared" si="3"/>
        <v>0</v>
      </c>
      <c r="R47" s="467"/>
      <c r="S47" s="467"/>
      <c r="T47" s="462">
        <f t="shared" si="4"/>
        <v>0</v>
      </c>
      <c r="U47" s="494"/>
      <c r="V47" s="191"/>
      <c r="W47" s="464">
        <f t="shared" si="5"/>
        <v>0</v>
      </c>
      <c r="X47" s="467"/>
      <c r="Y47" s="467"/>
      <c r="Z47" s="462">
        <f t="shared" si="6"/>
        <v>0</v>
      </c>
      <c r="AA47" s="300"/>
      <c r="AB47" s="192"/>
      <c r="AC47" s="464">
        <f t="shared" si="7"/>
        <v>0</v>
      </c>
      <c r="AD47" s="467"/>
      <c r="AE47" s="467"/>
      <c r="AF47" s="462">
        <f t="shared" si="8"/>
        <v>0</v>
      </c>
      <c r="AG47" s="300"/>
      <c r="AH47" s="192"/>
      <c r="AI47" s="464">
        <f t="shared" si="9"/>
        <v>0</v>
      </c>
      <c r="AJ47" s="467">
        <v>20</v>
      </c>
      <c r="AK47" s="467">
        <v>50390.2</v>
      </c>
      <c r="AL47" s="462">
        <f t="shared" si="10"/>
        <v>1007804</v>
      </c>
      <c r="AM47" s="192">
        <v>21</v>
      </c>
      <c r="AN47" s="192">
        <v>51724.619047619046</v>
      </c>
      <c r="AO47" s="206">
        <f t="shared" si="11"/>
        <v>1086217</v>
      </c>
      <c r="AP47" s="467"/>
      <c r="AQ47" s="467"/>
      <c r="AR47" s="462">
        <f t="shared" si="12"/>
        <v>0</v>
      </c>
      <c r="AS47" s="300"/>
      <c r="AT47" s="192"/>
      <c r="AU47" s="464">
        <f t="shared" si="13"/>
        <v>0</v>
      </c>
      <c r="AV47" s="467"/>
      <c r="AW47" s="467"/>
      <c r="AX47" s="462">
        <f t="shared" si="14"/>
        <v>0</v>
      </c>
      <c r="AY47" s="300"/>
      <c r="AZ47" s="192"/>
      <c r="BA47" s="464">
        <f>(AY47*AZ47)*0.8182</f>
        <v>0</v>
      </c>
      <c r="BB47" s="467"/>
      <c r="BC47" s="467"/>
      <c r="BD47" s="462">
        <f t="shared" si="16"/>
        <v>0</v>
      </c>
      <c r="BE47" s="300"/>
      <c r="BF47" s="192"/>
      <c r="BG47" s="464">
        <f t="shared" si="17"/>
        <v>0</v>
      </c>
      <c r="BH47" s="467"/>
      <c r="BI47" s="467"/>
      <c r="BJ47" s="462">
        <f t="shared" si="18"/>
        <v>0</v>
      </c>
      <c r="BK47" s="300"/>
      <c r="BL47" s="192"/>
      <c r="BM47" s="464">
        <f t="shared" si="19"/>
        <v>0</v>
      </c>
      <c r="BN47" s="467"/>
      <c r="BO47" s="467"/>
      <c r="BP47" s="462">
        <f t="shared" si="20"/>
        <v>0</v>
      </c>
      <c r="BQ47" s="300"/>
      <c r="BR47" s="192"/>
      <c r="BS47" s="464">
        <f t="shared" si="21"/>
        <v>0</v>
      </c>
      <c r="BT47" s="467">
        <v>6</v>
      </c>
      <c r="BU47" s="467">
        <v>54097.666666666664</v>
      </c>
      <c r="BV47" s="462">
        <f>(BT47*BU47)*0.8182</f>
        <v>265576.26520000002</v>
      </c>
      <c r="BW47" s="192">
        <v>6</v>
      </c>
      <c r="BX47" s="192">
        <v>55712.5</v>
      </c>
      <c r="BY47" s="463">
        <f t="shared" si="23"/>
        <v>273503.80499999999</v>
      </c>
    </row>
    <row r="48" spans="1:77" x14ac:dyDescent="0.2">
      <c r="A48" s="195" t="s">
        <v>105</v>
      </c>
      <c r="B48" s="196" t="s">
        <v>228</v>
      </c>
      <c r="C48" s="233"/>
      <c r="D48" s="195">
        <v>106397</v>
      </c>
      <c r="E48" s="199">
        <v>1</v>
      </c>
      <c r="F48" s="234">
        <v>216</v>
      </c>
      <c r="G48" s="208">
        <v>106586.71296296296</v>
      </c>
      <c r="H48" s="461">
        <f t="shared" si="0"/>
        <v>23022730</v>
      </c>
      <c r="I48" s="194">
        <v>208</v>
      </c>
      <c r="J48" s="194">
        <v>110892.69</v>
      </c>
      <c r="K48" s="464">
        <f t="shared" si="1"/>
        <v>23065679.52</v>
      </c>
      <c r="L48" s="467">
        <v>165</v>
      </c>
      <c r="M48" s="203">
        <v>74213.272727272721</v>
      </c>
      <c r="N48" s="462">
        <f t="shared" si="2"/>
        <v>12245189.999999998</v>
      </c>
      <c r="O48" s="300">
        <v>168</v>
      </c>
      <c r="P48" s="192">
        <v>76343.47</v>
      </c>
      <c r="Q48" s="464">
        <f t="shared" si="3"/>
        <v>12825702.960000001</v>
      </c>
      <c r="R48" s="467">
        <v>155</v>
      </c>
      <c r="S48" s="203">
        <v>70544</v>
      </c>
      <c r="T48" s="462">
        <f t="shared" si="4"/>
        <v>10934320</v>
      </c>
      <c r="U48" s="494">
        <v>154</v>
      </c>
      <c r="V48" s="191">
        <v>76031.490000000005</v>
      </c>
      <c r="W48" s="464">
        <f t="shared" si="5"/>
        <v>11708849.460000001</v>
      </c>
      <c r="X48" s="467">
        <v>100</v>
      </c>
      <c r="Y48" s="203">
        <v>42014.18</v>
      </c>
      <c r="Z48" s="462">
        <f t="shared" si="6"/>
        <v>4201418</v>
      </c>
      <c r="AA48" s="300">
        <v>144</v>
      </c>
      <c r="AB48" s="192">
        <v>42321.5</v>
      </c>
      <c r="AC48" s="464">
        <f t="shared" si="7"/>
        <v>6094296</v>
      </c>
      <c r="AD48" s="467">
        <v>70</v>
      </c>
      <c r="AE48" s="203">
        <v>43871.028571428571</v>
      </c>
      <c r="AF48" s="462">
        <f t="shared" si="8"/>
        <v>3070972</v>
      </c>
      <c r="AG48" s="300">
        <v>67</v>
      </c>
      <c r="AH48" s="192">
        <v>44830.54</v>
      </c>
      <c r="AI48" s="464">
        <f t="shared" si="9"/>
        <v>3003646.18</v>
      </c>
      <c r="AJ48" s="467">
        <v>0</v>
      </c>
      <c r="AK48" s="203">
        <v>0</v>
      </c>
      <c r="AL48" s="462">
        <f t="shared" si="10"/>
        <v>0</v>
      </c>
      <c r="AM48" s="192"/>
      <c r="AN48" s="192"/>
      <c r="AO48" s="206">
        <f t="shared" si="11"/>
        <v>0</v>
      </c>
      <c r="AP48" s="203">
        <v>143</v>
      </c>
      <c r="AQ48" s="203">
        <v>121053.42657342658</v>
      </c>
      <c r="AR48" s="462">
        <f t="shared" si="12"/>
        <v>14163565.648</v>
      </c>
      <c r="AS48" s="300">
        <v>155</v>
      </c>
      <c r="AT48" s="192">
        <v>125514.68</v>
      </c>
      <c r="AU48" s="464">
        <f t="shared" si="13"/>
        <v>15917897.232279999</v>
      </c>
      <c r="AV48" s="467">
        <v>53</v>
      </c>
      <c r="AW48" s="203">
        <v>88342.283018867922</v>
      </c>
      <c r="AX48" s="462">
        <f t="shared" si="14"/>
        <v>3830927.7662</v>
      </c>
      <c r="AY48" s="300">
        <v>46</v>
      </c>
      <c r="AZ48" s="192">
        <v>87290.74</v>
      </c>
      <c r="BA48" s="464">
        <f t="shared" si="15"/>
        <v>3285379.0395280002</v>
      </c>
      <c r="BB48" s="467">
        <v>15</v>
      </c>
      <c r="BC48" s="203">
        <v>77584.399999999994</v>
      </c>
      <c r="BD48" s="462">
        <f t="shared" si="16"/>
        <v>952193.34120000002</v>
      </c>
      <c r="BE48" s="300">
        <v>13</v>
      </c>
      <c r="BF48" s="192">
        <v>77682.31</v>
      </c>
      <c r="BG48" s="464">
        <f t="shared" si="17"/>
        <v>826275.65854600002</v>
      </c>
      <c r="BH48" s="467">
        <v>29</v>
      </c>
      <c r="BI48" s="203">
        <v>56785.448275862072</v>
      </c>
      <c r="BJ48" s="462">
        <f t="shared" si="18"/>
        <v>1347393.7596</v>
      </c>
      <c r="BK48" s="300">
        <v>34</v>
      </c>
      <c r="BL48" s="192">
        <v>57872</v>
      </c>
      <c r="BM48" s="464">
        <f t="shared" si="19"/>
        <v>1609929.5936</v>
      </c>
      <c r="BN48" s="467">
        <v>6</v>
      </c>
      <c r="BO48" s="203">
        <v>84135.166666666672</v>
      </c>
      <c r="BP48" s="462">
        <f t="shared" si="20"/>
        <v>413036.3602</v>
      </c>
      <c r="BQ48" s="300">
        <v>6</v>
      </c>
      <c r="BR48" s="192">
        <v>78768.17</v>
      </c>
      <c r="BS48" s="464">
        <f t="shared" si="21"/>
        <v>386688.70016400004</v>
      </c>
      <c r="BT48" s="467">
        <v>0</v>
      </c>
      <c r="BU48" s="203">
        <v>0</v>
      </c>
      <c r="BV48" s="462">
        <f t="shared" si="22"/>
        <v>0</v>
      </c>
      <c r="BW48" s="192"/>
      <c r="BX48" s="192"/>
      <c r="BY48" s="463">
        <f t="shared" si="23"/>
        <v>0</v>
      </c>
    </row>
    <row r="49" spans="1:77" x14ac:dyDescent="0.2">
      <c r="A49" s="195" t="s">
        <v>105</v>
      </c>
      <c r="B49" s="196" t="s">
        <v>229</v>
      </c>
      <c r="C49" s="233"/>
      <c r="D49" s="195">
        <v>106458</v>
      </c>
      <c r="E49" s="199">
        <v>3</v>
      </c>
      <c r="F49" s="234">
        <v>86</v>
      </c>
      <c r="G49" s="208">
        <v>71929.558139534885</v>
      </c>
      <c r="H49" s="461">
        <f t="shared" ref="H49:H72" si="24">F49*G49</f>
        <v>6185942</v>
      </c>
      <c r="I49" s="194">
        <v>90</v>
      </c>
      <c r="J49" s="194">
        <v>77095.13</v>
      </c>
      <c r="K49" s="464">
        <f t="shared" ref="K49:K72" si="25">I49*J49</f>
        <v>6938561.7000000002</v>
      </c>
      <c r="L49" s="467">
        <v>106</v>
      </c>
      <c r="M49" s="203">
        <v>58569.264150943396</v>
      </c>
      <c r="N49" s="462">
        <f t="shared" si="2"/>
        <v>6208342</v>
      </c>
      <c r="O49" s="300">
        <v>104</v>
      </c>
      <c r="P49" s="192">
        <v>60972.36</v>
      </c>
      <c r="Q49" s="464">
        <f t="shared" ref="Q49:Q72" si="26">O49*P49</f>
        <v>6341125.4400000004</v>
      </c>
      <c r="R49" s="467">
        <v>134</v>
      </c>
      <c r="S49" s="203">
        <v>54350.305970149253</v>
      </c>
      <c r="T49" s="462">
        <f t="shared" si="4"/>
        <v>7282941</v>
      </c>
      <c r="U49" s="494">
        <v>130</v>
      </c>
      <c r="V49" s="191">
        <v>56582.68</v>
      </c>
      <c r="W49" s="464">
        <f t="shared" si="5"/>
        <v>7355748.4000000004</v>
      </c>
      <c r="X49" s="467">
        <v>89</v>
      </c>
      <c r="Y49" s="203">
        <v>34684.415730337081</v>
      </c>
      <c r="Z49" s="462">
        <f t="shared" si="6"/>
        <v>3086913</v>
      </c>
      <c r="AA49" s="300">
        <v>95</v>
      </c>
      <c r="AB49" s="192">
        <v>36157.06</v>
      </c>
      <c r="AC49" s="464">
        <f t="shared" ref="AC49" si="27">AA49*AB49</f>
        <v>3434920.6999999997</v>
      </c>
      <c r="AD49" s="467">
        <v>0</v>
      </c>
      <c r="AE49" s="203">
        <v>0</v>
      </c>
      <c r="AF49" s="462">
        <f t="shared" ref="AF49:AF72" si="28">AD49*AE49</f>
        <v>0</v>
      </c>
      <c r="AG49" s="300">
        <v>0</v>
      </c>
      <c r="AH49" s="192"/>
      <c r="AI49" s="464">
        <f t="shared" si="9"/>
        <v>0</v>
      </c>
      <c r="AJ49" s="467">
        <v>0</v>
      </c>
      <c r="AK49" s="203">
        <v>0</v>
      </c>
      <c r="AL49" s="462">
        <f t="shared" si="10"/>
        <v>0</v>
      </c>
      <c r="AM49" s="192"/>
      <c r="AN49" s="192"/>
      <c r="AO49" s="206">
        <f t="shared" si="11"/>
        <v>0</v>
      </c>
      <c r="AP49" s="203">
        <v>18</v>
      </c>
      <c r="AQ49" s="203">
        <v>100073.94444444444</v>
      </c>
      <c r="AR49" s="462">
        <f t="shared" si="12"/>
        <v>1473849.0242000001</v>
      </c>
      <c r="AS49" s="300">
        <v>14</v>
      </c>
      <c r="AT49" s="192">
        <v>103850</v>
      </c>
      <c r="AU49" s="464">
        <f t="shared" si="13"/>
        <v>1189580.98</v>
      </c>
      <c r="AV49" s="467">
        <v>20</v>
      </c>
      <c r="AW49" s="203">
        <v>83918.6</v>
      </c>
      <c r="AX49" s="462">
        <f t="shared" si="14"/>
        <v>1373243.9704</v>
      </c>
      <c r="AY49" s="300">
        <v>25</v>
      </c>
      <c r="AZ49" s="192">
        <v>84445.28</v>
      </c>
      <c r="BA49" s="464">
        <f t="shared" si="15"/>
        <v>1727328.2024000001</v>
      </c>
      <c r="BB49" s="467">
        <v>17</v>
      </c>
      <c r="BC49" s="203">
        <v>72595.76470588235</v>
      </c>
      <c r="BD49" s="462">
        <f t="shared" si="16"/>
        <v>1009763.5296</v>
      </c>
      <c r="BE49" s="300">
        <v>17</v>
      </c>
      <c r="BF49" s="192">
        <v>70135.53</v>
      </c>
      <c r="BG49" s="464">
        <f t="shared" si="17"/>
        <v>975543.14098200004</v>
      </c>
      <c r="BH49" s="467">
        <v>12</v>
      </c>
      <c r="BI49" s="203">
        <v>45289.416666666664</v>
      </c>
      <c r="BJ49" s="462">
        <f t="shared" si="18"/>
        <v>444669.60860000004</v>
      </c>
      <c r="BK49" s="300">
        <v>10</v>
      </c>
      <c r="BL49" s="192">
        <v>48178.6</v>
      </c>
      <c r="BM49" s="464">
        <f t="shared" si="19"/>
        <v>394197.3052</v>
      </c>
      <c r="BN49" s="467">
        <v>0</v>
      </c>
      <c r="BO49" s="203">
        <v>0</v>
      </c>
      <c r="BP49" s="462">
        <f t="shared" si="20"/>
        <v>0</v>
      </c>
      <c r="BQ49" s="300">
        <v>0</v>
      </c>
      <c r="BR49" s="192"/>
      <c r="BS49" s="464">
        <f t="shared" si="21"/>
        <v>0</v>
      </c>
      <c r="BT49" s="467">
        <v>0</v>
      </c>
      <c r="BU49" s="203">
        <v>0</v>
      </c>
      <c r="BV49" s="462">
        <f t="shared" si="22"/>
        <v>0</v>
      </c>
      <c r="BW49" s="192"/>
      <c r="BX49" s="192"/>
      <c r="BY49" s="463">
        <f t="shared" si="23"/>
        <v>0</v>
      </c>
    </row>
    <row r="50" spans="1:77" x14ac:dyDescent="0.2">
      <c r="A50" s="195" t="s">
        <v>105</v>
      </c>
      <c r="B50" s="196" t="s">
        <v>230</v>
      </c>
      <c r="C50" s="233"/>
      <c r="D50" s="195">
        <v>106245</v>
      </c>
      <c r="E50" s="199">
        <v>3</v>
      </c>
      <c r="F50" s="234">
        <v>112</v>
      </c>
      <c r="G50" s="208">
        <v>83832.267857142855</v>
      </c>
      <c r="H50" s="461">
        <f t="shared" si="24"/>
        <v>9389214</v>
      </c>
      <c r="I50" s="194">
        <v>116</v>
      </c>
      <c r="J50" s="194">
        <v>85717.15</v>
      </c>
      <c r="K50" s="464">
        <f t="shared" si="25"/>
        <v>9943189.3999999985</v>
      </c>
      <c r="L50" s="467">
        <v>109</v>
      </c>
      <c r="M50" s="203">
        <v>66162.46788990825</v>
      </c>
      <c r="N50" s="462">
        <f t="shared" ref="N50:N72" si="29">L50*M50</f>
        <v>7211708.9999999991</v>
      </c>
      <c r="O50" s="300">
        <v>104</v>
      </c>
      <c r="P50" s="192">
        <v>67215.009999999995</v>
      </c>
      <c r="Q50" s="464">
        <f t="shared" si="26"/>
        <v>6990361.0399999991</v>
      </c>
      <c r="R50" s="467">
        <v>102</v>
      </c>
      <c r="S50" s="203">
        <v>56930.656862745098</v>
      </c>
      <c r="T50" s="462">
        <f t="shared" ref="T50" si="30">R50*S50</f>
        <v>5806927</v>
      </c>
      <c r="U50" s="494">
        <v>100</v>
      </c>
      <c r="V50" s="191">
        <v>58754.29</v>
      </c>
      <c r="W50" s="464">
        <f t="shared" ref="W50:W51" si="31">U50*V50</f>
        <v>5875429</v>
      </c>
      <c r="X50" s="467">
        <v>70</v>
      </c>
      <c r="Y50" s="203">
        <v>40203.599999999999</v>
      </c>
      <c r="Z50" s="462">
        <f t="shared" si="6"/>
        <v>2814252</v>
      </c>
      <c r="AA50" s="300">
        <v>75</v>
      </c>
      <c r="AB50" s="192">
        <v>42124.61</v>
      </c>
      <c r="AC50" s="464">
        <f t="shared" ref="AC50:AC72" si="32">AA50*AB50</f>
        <v>3159345.75</v>
      </c>
      <c r="AD50" s="467">
        <v>4</v>
      </c>
      <c r="AE50" s="203">
        <v>36400</v>
      </c>
      <c r="AF50" s="462">
        <f t="shared" si="28"/>
        <v>145600</v>
      </c>
      <c r="AG50" s="300">
        <v>16</v>
      </c>
      <c r="AH50" s="192">
        <v>40935.56</v>
      </c>
      <c r="AI50" s="464">
        <f t="shared" si="9"/>
        <v>654968.96</v>
      </c>
      <c r="AJ50" s="467">
        <v>0</v>
      </c>
      <c r="AK50" s="203">
        <v>0</v>
      </c>
      <c r="AL50" s="462">
        <f t="shared" si="10"/>
        <v>0</v>
      </c>
      <c r="AM50" s="192"/>
      <c r="AN50" s="192"/>
      <c r="AO50" s="206">
        <f t="shared" si="11"/>
        <v>0</v>
      </c>
      <c r="AP50" s="203">
        <v>41</v>
      </c>
      <c r="AQ50" s="203">
        <v>94424.707317073175</v>
      </c>
      <c r="AR50" s="462">
        <f t="shared" si="12"/>
        <v>3167590.1166000003</v>
      </c>
      <c r="AS50" s="300">
        <v>32</v>
      </c>
      <c r="AT50" s="192">
        <v>102368.94</v>
      </c>
      <c r="AU50" s="464">
        <f t="shared" si="13"/>
        <v>2680264.5346560003</v>
      </c>
      <c r="AV50" s="467">
        <v>20</v>
      </c>
      <c r="AW50" s="203">
        <v>81485.45</v>
      </c>
      <c r="AX50" s="462">
        <f t="shared" si="14"/>
        <v>1333427.9038</v>
      </c>
      <c r="AY50" s="300">
        <v>19</v>
      </c>
      <c r="AZ50" s="192">
        <v>91409.53</v>
      </c>
      <c r="BA50" s="464">
        <f t="shared" si="15"/>
        <v>1421034.2714740001</v>
      </c>
      <c r="BB50" s="467">
        <v>21</v>
      </c>
      <c r="BC50" s="203">
        <v>55406.476190476191</v>
      </c>
      <c r="BD50" s="462">
        <f t="shared" si="16"/>
        <v>952005.15520000004</v>
      </c>
      <c r="BE50" s="300">
        <v>10</v>
      </c>
      <c r="BF50" s="192">
        <v>65066.6</v>
      </c>
      <c r="BG50" s="464">
        <f t="shared" si="17"/>
        <v>532374.92119999998</v>
      </c>
      <c r="BH50" s="467">
        <v>20</v>
      </c>
      <c r="BI50" s="203">
        <v>46756.4</v>
      </c>
      <c r="BJ50" s="462">
        <f t="shared" si="18"/>
        <v>765121.72960000008</v>
      </c>
      <c r="BK50" s="300">
        <v>15</v>
      </c>
      <c r="BL50" s="192">
        <v>52302.13</v>
      </c>
      <c r="BM50" s="464">
        <f t="shared" si="19"/>
        <v>641904.04148999997</v>
      </c>
      <c r="BN50" s="467">
        <v>8</v>
      </c>
      <c r="BO50" s="203">
        <v>44833.375</v>
      </c>
      <c r="BP50" s="462">
        <f t="shared" si="20"/>
        <v>293461.3394</v>
      </c>
      <c r="BQ50" s="300">
        <v>9</v>
      </c>
      <c r="BR50" s="192">
        <v>43056.67</v>
      </c>
      <c r="BS50" s="464">
        <f t="shared" si="21"/>
        <v>317060.70654599997</v>
      </c>
      <c r="BT50" s="467">
        <v>0</v>
      </c>
      <c r="BU50" s="203">
        <v>0</v>
      </c>
      <c r="BV50" s="462">
        <f t="shared" si="22"/>
        <v>0</v>
      </c>
      <c r="BW50" s="192"/>
      <c r="BX50" s="300"/>
      <c r="BY50" s="463">
        <f t="shared" si="23"/>
        <v>0</v>
      </c>
    </row>
    <row r="51" spans="1:77" x14ac:dyDescent="0.2">
      <c r="A51" s="195" t="s">
        <v>105</v>
      </c>
      <c r="B51" s="196" t="s">
        <v>231</v>
      </c>
      <c r="C51" s="233"/>
      <c r="D51" s="195">
        <v>106704</v>
      </c>
      <c r="E51" s="199">
        <v>3</v>
      </c>
      <c r="F51" s="234">
        <v>62</v>
      </c>
      <c r="G51" s="208">
        <v>75204.483870967742</v>
      </c>
      <c r="H51" s="461">
        <f t="shared" si="24"/>
        <v>4662678</v>
      </c>
      <c r="I51" s="194">
        <v>61</v>
      </c>
      <c r="J51" s="194">
        <v>76050.39</v>
      </c>
      <c r="K51" s="464">
        <f t="shared" si="25"/>
        <v>4639073.79</v>
      </c>
      <c r="L51" s="467">
        <v>101</v>
      </c>
      <c r="M51" s="203">
        <v>60495.792079207924</v>
      </c>
      <c r="N51" s="462">
        <f t="shared" si="29"/>
        <v>6110075</v>
      </c>
      <c r="O51" s="300">
        <v>112</v>
      </c>
      <c r="P51" s="192">
        <v>62189.43</v>
      </c>
      <c r="Q51" s="464">
        <f t="shared" si="26"/>
        <v>6965216.1600000001</v>
      </c>
      <c r="R51" s="467">
        <v>151</v>
      </c>
      <c r="S51" s="203">
        <v>54741.423841059601</v>
      </c>
      <c r="T51" s="462">
        <f t="shared" ref="T51:T72" si="33">R51*S51</f>
        <v>8265955</v>
      </c>
      <c r="U51" s="494">
        <v>152</v>
      </c>
      <c r="V51" s="191">
        <v>55562.3</v>
      </c>
      <c r="W51" s="464">
        <f t="shared" si="31"/>
        <v>8445469.5999999996</v>
      </c>
      <c r="X51" s="467">
        <v>94</v>
      </c>
      <c r="Y51" s="203">
        <v>39040.361702127659</v>
      </c>
      <c r="Z51" s="462">
        <f t="shared" ref="Z51:Z72" si="34">X51*Y51</f>
        <v>3669794</v>
      </c>
      <c r="AA51" s="300">
        <v>94</v>
      </c>
      <c r="AB51" s="192">
        <v>40649.910000000003</v>
      </c>
      <c r="AC51" s="464">
        <f t="shared" si="32"/>
        <v>3821091.5400000005</v>
      </c>
      <c r="AD51" s="467">
        <v>51</v>
      </c>
      <c r="AE51" s="203">
        <v>41177.156862745098</v>
      </c>
      <c r="AF51" s="462">
        <f t="shared" si="28"/>
        <v>2100035</v>
      </c>
      <c r="AG51" s="300">
        <v>53</v>
      </c>
      <c r="AH51" s="192">
        <v>42311.89</v>
      </c>
      <c r="AI51" s="464">
        <f t="shared" si="9"/>
        <v>2242530.17</v>
      </c>
      <c r="AJ51" s="467">
        <v>0</v>
      </c>
      <c r="AK51" s="203">
        <v>0</v>
      </c>
      <c r="AL51" s="462">
        <f t="shared" ref="AL51:AL72" si="35">AJ51*AK51</f>
        <v>0</v>
      </c>
      <c r="AM51" s="192"/>
      <c r="AN51" s="192"/>
      <c r="AO51" s="206">
        <f t="shared" si="11"/>
        <v>0</v>
      </c>
      <c r="AP51" s="203">
        <v>26</v>
      </c>
      <c r="AQ51" s="203">
        <v>81868.769230769234</v>
      </c>
      <c r="AR51" s="462">
        <f t="shared" si="12"/>
        <v>1741610.7016</v>
      </c>
      <c r="AS51" s="300">
        <v>24</v>
      </c>
      <c r="AT51" s="192">
        <v>103685.63</v>
      </c>
      <c r="AU51" s="464">
        <f t="shared" si="13"/>
        <v>2036053.9791840003</v>
      </c>
      <c r="AV51" s="467">
        <v>12</v>
      </c>
      <c r="AW51" s="203">
        <v>71997.583333333328</v>
      </c>
      <c r="AX51" s="462">
        <f t="shared" si="14"/>
        <v>706901.07220000005</v>
      </c>
      <c r="AY51" s="300">
        <v>12</v>
      </c>
      <c r="AZ51" s="192">
        <v>94043.75</v>
      </c>
      <c r="BA51" s="464">
        <f t="shared" si="15"/>
        <v>923359.15500000003</v>
      </c>
      <c r="BB51" s="467">
        <v>4</v>
      </c>
      <c r="BC51" s="203">
        <v>61677.75</v>
      </c>
      <c r="BD51" s="462">
        <f t="shared" si="16"/>
        <v>201858.94020000001</v>
      </c>
      <c r="BE51" s="300">
        <v>4</v>
      </c>
      <c r="BF51" s="192">
        <v>78657.75</v>
      </c>
      <c r="BG51" s="464">
        <f t="shared" si="17"/>
        <v>257431.08420000001</v>
      </c>
      <c r="BH51" s="467">
        <v>11</v>
      </c>
      <c r="BI51" s="203">
        <v>43272.272727272728</v>
      </c>
      <c r="BJ51" s="462">
        <f t="shared" si="18"/>
        <v>389459.109</v>
      </c>
      <c r="BK51" s="300">
        <v>11</v>
      </c>
      <c r="BL51" s="192">
        <v>53097.64</v>
      </c>
      <c r="BM51" s="464">
        <f t="shared" si="19"/>
        <v>477889.37952800008</v>
      </c>
      <c r="BN51" s="467">
        <v>3</v>
      </c>
      <c r="BO51" s="203">
        <v>34829.666666666664</v>
      </c>
      <c r="BP51" s="462">
        <f t="shared" si="20"/>
        <v>85492.899799999999</v>
      </c>
      <c r="BQ51" s="300">
        <v>4</v>
      </c>
      <c r="BR51" s="192">
        <v>44236.25</v>
      </c>
      <c r="BS51" s="464">
        <f t="shared" si="21"/>
        <v>144776.399</v>
      </c>
      <c r="BT51" s="467">
        <v>0</v>
      </c>
      <c r="BU51" s="203">
        <v>0</v>
      </c>
      <c r="BV51" s="462">
        <f t="shared" si="22"/>
        <v>0</v>
      </c>
      <c r="BW51" s="192"/>
      <c r="BX51" s="192"/>
      <c r="BY51" s="463">
        <f t="shared" si="23"/>
        <v>0</v>
      </c>
    </row>
    <row r="52" spans="1:77" x14ac:dyDescent="0.2">
      <c r="A52" s="195" t="s">
        <v>105</v>
      </c>
      <c r="B52" s="196" t="s">
        <v>232</v>
      </c>
      <c r="C52" s="233" t="s">
        <v>325</v>
      </c>
      <c r="D52" s="195">
        <v>106467</v>
      </c>
      <c r="E52" s="199">
        <v>4</v>
      </c>
      <c r="F52" s="234">
        <v>42</v>
      </c>
      <c r="G52" s="208">
        <v>66246.523809523816</v>
      </c>
      <c r="H52" s="461">
        <f t="shared" si="24"/>
        <v>2782354.0000000005</v>
      </c>
      <c r="I52" s="194">
        <v>44</v>
      </c>
      <c r="J52" s="194">
        <v>67720.2</v>
      </c>
      <c r="K52" s="464">
        <f t="shared" si="25"/>
        <v>2979688.8</v>
      </c>
      <c r="L52" s="467">
        <v>66</v>
      </c>
      <c r="M52" s="203">
        <v>58958.545454545456</v>
      </c>
      <c r="N52" s="462">
        <f t="shared" si="29"/>
        <v>3891264</v>
      </c>
      <c r="O52" s="300">
        <v>68</v>
      </c>
      <c r="P52" s="192">
        <v>58119.63</v>
      </c>
      <c r="Q52" s="464">
        <f t="shared" si="26"/>
        <v>3952134.84</v>
      </c>
      <c r="R52" s="467">
        <v>102</v>
      </c>
      <c r="S52" s="203">
        <v>48283.156862745098</v>
      </c>
      <c r="T52" s="462">
        <f t="shared" si="33"/>
        <v>4924882</v>
      </c>
      <c r="U52" s="494">
        <v>106</v>
      </c>
      <c r="V52" s="191">
        <v>48429.56</v>
      </c>
      <c r="W52" s="464">
        <f t="shared" ref="W52:W72" si="36">U52*V52</f>
        <v>5133533.3599999994</v>
      </c>
      <c r="X52" s="467">
        <v>24</v>
      </c>
      <c r="Y52" s="203">
        <v>37019.25</v>
      </c>
      <c r="Z52" s="462">
        <f t="shared" si="34"/>
        <v>888462</v>
      </c>
      <c r="AA52" s="300">
        <v>27</v>
      </c>
      <c r="AB52" s="192">
        <v>37885.15</v>
      </c>
      <c r="AC52" s="464">
        <f t="shared" si="32"/>
        <v>1022899.05</v>
      </c>
      <c r="AD52" s="467">
        <v>35</v>
      </c>
      <c r="AE52" s="203">
        <v>36957.885714285716</v>
      </c>
      <c r="AF52" s="462">
        <f t="shared" si="28"/>
        <v>1293526</v>
      </c>
      <c r="AG52" s="300">
        <v>46</v>
      </c>
      <c r="AH52" s="192">
        <v>40568.85</v>
      </c>
      <c r="AI52" s="464">
        <f t="shared" ref="AI52:AI72" si="37">AG52*AH52</f>
        <v>1866167.0999999999</v>
      </c>
      <c r="AJ52" s="467">
        <v>0</v>
      </c>
      <c r="AK52" s="203">
        <v>0</v>
      </c>
      <c r="AL52" s="462">
        <f t="shared" si="35"/>
        <v>0</v>
      </c>
      <c r="AM52" s="192"/>
      <c r="AN52" s="192"/>
      <c r="AO52" s="206">
        <f t="shared" ref="AO52:AO72" si="38">AM52*AN52</f>
        <v>0</v>
      </c>
      <c r="AP52" s="203">
        <v>11</v>
      </c>
      <c r="AQ52" s="203">
        <v>104969.27272727272</v>
      </c>
      <c r="AR52" s="462">
        <f t="shared" si="12"/>
        <v>944744.44839999999</v>
      </c>
      <c r="AS52" s="300">
        <v>9</v>
      </c>
      <c r="AT52" s="192">
        <v>99497.22</v>
      </c>
      <c r="AU52" s="464">
        <f t="shared" si="13"/>
        <v>732677.62863599998</v>
      </c>
      <c r="AV52" s="467">
        <v>9</v>
      </c>
      <c r="AW52" s="203">
        <v>79088.555555555562</v>
      </c>
      <c r="AX52" s="462">
        <f t="shared" si="14"/>
        <v>582392.30540000007</v>
      </c>
      <c r="AY52" s="300">
        <v>9</v>
      </c>
      <c r="AZ52" s="192">
        <v>79605</v>
      </c>
      <c r="BA52" s="464">
        <f t="shared" si="15"/>
        <v>586195.299</v>
      </c>
      <c r="BB52" s="467">
        <v>1</v>
      </c>
      <c r="BC52" s="203">
        <v>67626</v>
      </c>
      <c r="BD52" s="462">
        <f t="shared" si="16"/>
        <v>55331.593200000003</v>
      </c>
      <c r="BE52" s="300">
        <v>3</v>
      </c>
      <c r="BF52" s="192">
        <v>68921.67</v>
      </c>
      <c r="BG52" s="464">
        <f t="shared" si="17"/>
        <v>169175.13118200001</v>
      </c>
      <c r="BH52" s="467">
        <v>0</v>
      </c>
      <c r="BI52" s="203">
        <v>0</v>
      </c>
      <c r="BJ52" s="462">
        <f t="shared" si="18"/>
        <v>0</v>
      </c>
      <c r="BK52" s="300">
        <v>0</v>
      </c>
      <c r="BL52" s="192"/>
      <c r="BM52" s="464">
        <f t="shared" si="19"/>
        <v>0</v>
      </c>
      <c r="BN52" s="467">
        <v>0</v>
      </c>
      <c r="BO52" s="203">
        <v>0</v>
      </c>
      <c r="BP52" s="462">
        <f t="shared" si="20"/>
        <v>0</v>
      </c>
      <c r="BQ52" s="300">
        <v>0</v>
      </c>
      <c r="BR52" s="192"/>
      <c r="BS52" s="464">
        <f t="shared" si="21"/>
        <v>0</v>
      </c>
      <c r="BT52" s="467">
        <v>0</v>
      </c>
      <c r="BU52" s="203">
        <v>0</v>
      </c>
      <c r="BV52" s="462">
        <f t="shared" si="22"/>
        <v>0</v>
      </c>
      <c r="BW52" s="192"/>
      <c r="BX52" s="192"/>
      <c r="BY52" s="463">
        <f t="shared" si="23"/>
        <v>0</v>
      </c>
    </row>
    <row r="53" spans="1:77" x14ac:dyDescent="0.2">
      <c r="A53" s="195" t="s">
        <v>105</v>
      </c>
      <c r="B53" s="196" t="s">
        <v>233</v>
      </c>
      <c r="C53" s="233"/>
      <c r="D53" s="195">
        <v>107071</v>
      </c>
      <c r="E53" s="199">
        <v>4</v>
      </c>
      <c r="F53" s="234">
        <v>54</v>
      </c>
      <c r="G53" s="208">
        <v>62894</v>
      </c>
      <c r="H53" s="461">
        <f t="shared" si="24"/>
        <v>3396276</v>
      </c>
      <c r="I53" s="194">
        <v>64</v>
      </c>
      <c r="J53" s="194">
        <v>63740.14</v>
      </c>
      <c r="K53" s="464">
        <f t="shared" si="25"/>
        <v>4079368.96</v>
      </c>
      <c r="L53" s="467">
        <v>35</v>
      </c>
      <c r="M53" s="203">
        <v>53047.542857142857</v>
      </c>
      <c r="N53" s="462">
        <f t="shared" si="29"/>
        <v>1856664</v>
      </c>
      <c r="O53" s="300">
        <v>23</v>
      </c>
      <c r="P53" s="192">
        <v>53991.48</v>
      </c>
      <c r="Q53" s="464">
        <f t="shared" si="26"/>
        <v>1241804.04</v>
      </c>
      <c r="R53" s="467">
        <v>39</v>
      </c>
      <c r="S53" s="203">
        <v>48998.769230769234</v>
      </c>
      <c r="T53" s="462">
        <f t="shared" si="33"/>
        <v>1910952.0000000002</v>
      </c>
      <c r="U53" s="494">
        <v>48</v>
      </c>
      <c r="V53" s="191">
        <v>50980.92</v>
      </c>
      <c r="W53" s="464">
        <f t="shared" si="36"/>
        <v>2447084.16</v>
      </c>
      <c r="X53" s="467">
        <v>25</v>
      </c>
      <c r="Y53" s="203">
        <v>38808.639999999999</v>
      </c>
      <c r="Z53" s="462">
        <f t="shared" si="34"/>
        <v>970216</v>
      </c>
      <c r="AA53" s="300">
        <v>23</v>
      </c>
      <c r="AB53" s="192">
        <v>41873.35</v>
      </c>
      <c r="AC53" s="464">
        <f t="shared" si="32"/>
        <v>963087.04999999993</v>
      </c>
      <c r="AD53" s="467">
        <v>0</v>
      </c>
      <c r="AE53" s="203">
        <v>0</v>
      </c>
      <c r="AF53" s="462">
        <f t="shared" si="28"/>
        <v>0</v>
      </c>
      <c r="AG53" s="300">
        <v>0</v>
      </c>
      <c r="AH53" s="192"/>
      <c r="AI53" s="464">
        <f t="shared" si="37"/>
        <v>0</v>
      </c>
      <c r="AJ53" s="467">
        <v>0</v>
      </c>
      <c r="AK53" s="203">
        <v>0</v>
      </c>
      <c r="AL53" s="462">
        <f t="shared" si="35"/>
        <v>0</v>
      </c>
      <c r="AM53" s="192"/>
      <c r="AN53" s="192"/>
      <c r="AO53" s="206">
        <f t="shared" si="38"/>
        <v>0</v>
      </c>
      <c r="AP53" s="203">
        <v>3</v>
      </c>
      <c r="AQ53" s="203">
        <v>80155</v>
      </c>
      <c r="AR53" s="462">
        <f t="shared" si="12"/>
        <v>196748.46300000002</v>
      </c>
      <c r="AS53" s="300">
        <v>2</v>
      </c>
      <c r="AT53" s="192">
        <v>78114.5</v>
      </c>
      <c r="AU53" s="464">
        <f t="shared" si="13"/>
        <v>127826.5678</v>
      </c>
      <c r="AV53" s="467">
        <v>1</v>
      </c>
      <c r="AW53" s="203">
        <v>68150</v>
      </c>
      <c r="AX53" s="462">
        <f t="shared" si="14"/>
        <v>55760.33</v>
      </c>
      <c r="AY53" s="300">
        <v>2</v>
      </c>
      <c r="AZ53" s="192">
        <v>77973</v>
      </c>
      <c r="BA53" s="464">
        <f t="shared" si="15"/>
        <v>127595.0172</v>
      </c>
      <c r="BB53" s="467">
        <v>3</v>
      </c>
      <c r="BC53" s="203">
        <v>63282</v>
      </c>
      <c r="BD53" s="462">
        <f t="shared" si="16"/>
        <v>155331.99720000001</v>
      </c>
      <c r="BE53" s="300">
        <v>2</v>
      </c>
      <c r="BF53" s="192">
        <v>64827</v>
      </c>
      <c r="BG53" s="464">
        <f t="shared" si="17"/>
        <v>106082.90280000001</v>
      </c>
      <c r="BH53" s="467">
        <v>6</v>
      </c>
      <c r="BI53" s="203">
        <v>48434.166666666664</v>
      </c>
      <c r="BJ53" s="462">
        <f t="shared" si="18"/>
        <v>237773.011</v>
      </c>
      <c r="BK53" s="300">
        <v>6</v>
      </c>
      <c r="BL53" s="192">
        <v>50667.33</v>
      </c>
      <c r="BM53" s="464">
        <f t="shared" si="19"/>
        <v>248736.05643599998</v>
      </c>
      <c r="BN53" s="467">
        <v>0</v>
      </c>
      <c r="BO53" s="203">
        <v>0</v>
      </c>
      <c r="BP53" s="462">
        <f t="shared" si="20"/>
        <v>0</v>
      </c>
      <c r="BQ53" s="300">
        <v>1</v>
      </c>
      <c r="BR53" s="192">
        <v>62424</v>
      </c>
      <c r="BS53" s="464">
        <f t="shared" si="21"/>
        <v>51075.316800000001</v>
      </c>
      <c r="BT53" s="467">
        <v>0</v>
      </c>
      <c r="BU53" s="203">
        <v>0</v>
      </c>
      <c r="BV53" s="462">
        <f t="shared" si="22"/>
        <v>0</v>
      </c>
      <c r="BW53" s="300"/>
      <c r="BX53" s="300"/>
      <c r="BY53" s="463">
        <f t="shared" si="23"/>
        <v>0</v>
      </c>
    </row>
    <row r="54" spans="1:77" x14ac:dyDescent="0.2">
      <c r="A54" s="195" t="s">
        <v>105</v>
      </c>
      <c r="B54" s="196" t="s">
        <v>234</v>
      </c>
      <c r="C54" s="238" t="s">
        <v>326</v>
      </c>
      <c r="D54" s="195">
        <v>107983</v>
      </c>
      <c r="E54" s="239">
        <v>4</v>
      </c>
      <c r="F54" s="234">
        <v>17</v>
      </c>
      <c r="G54" s="208">
        <v>66832.470588235301</v>
      </c>
      <c r="H54" s="461">
        <f t="shared" si="24"/>
        <v>1136152</v>
      </c>
      <c r="I54" s="194">
        <v>17</v>
      </c>
      <c r="J54" s="194">
        <v>71565.820000000007</v>
      </c>
      <c r="K54" s="464">
        <f t="shared" si="25"/>
        <v>1216618.9400000002</v>
      </c>
      <c r="L54" s="467">
        <v>34</v>
      </c>
      <c r="M54" s="203">
        <v>56800.911764705881</v>
      </c>
      <c r="N54" s="462">
        <f t="shared" si="29"/>
        <v>1931231</v>
      </c>
      <c r="O54" s="300">
        <v>36</v>
      </c>
      <c r="P54" s="192">
        <v>56422.720000000001</v>
      </c>
      <c r="Q54" s="464">
        <f t="shared" si="26"/>
        <v>2031217.92</v>
      </c>
      <c r="R54" s="467">
        <v>58</v>
      </c>
      <c r="S54" s="203">
        <v>48927.603448275862</v>
      </c>
      <c r="T54" s="462">
        <f t="shared" si="33"/>
        <v>2837801</v>
      </c>
      <c r="U54" s="494">
        <v>57</v>
      </c>
      <c r="V54" s="191">
        <v>49842.04</v>
      </c>
      <c r="W54" s="464">
        <f t="shared" si="36"/>
        <v>2840996.2800000003</v>
      </c>
      <c r="X54" s="467">
        <v>26</v>
      </c>
      <c r="Y54" s="203">
        <v>41315.115384615383</v>
      </c>
      <c r="Z54" s="462">
        <f t="shared" si="34"/>
        <v>1074193</v>
      </c>
      <c r="AA54" s="300">
        <v>27</v>
      </c>
      <c r="AB54" s="192">
        <v>41271.67</v>
      </c>
      <c r="AC54" s="464">
        <f t="shared" si="32"/>
        <v>1114335.0899999999</v>
      </c>
      <c r="AD54" s="467">
        <v>0</v>
      </c>
      <c r="AE54" s="203">
        <v>0</v>
      </c>
      <c r="AF54" s="462">
        <f t="shared" si="28"/>
        <v>0</v>
      </c>
      <c r="AG54" s="300">
        <v>0</v>
      </c>
      <c r="AH54" s="192"/>
      <c r="AI54" s="464">
        <f t="shared" si="37"/>
        <v>0</v>
      </c>
      <c r="AJ54" s="467">
        <v>0</v>
      </c>
      <c r="AK54" s="203">
        <v>0</v>
      </c>
      <c r="AL54" s="462">
        <f t="shared" si="35"/>
        <v>0</v>
      </c>
      <c r="AM54" s="192"/>
      <c r="AN54" s="192"/>
      <c r="AO54" s="206">
        <f t="shared" si="38"/>
        <v>0</v>
      </c>
      <c r="AP54" s="203">
        <v>4</v>
      </c>
      <c r="AQ54" s="203">
        <v>101484.25</v>
      </c>
      <c r="AR54" s="462">
        <f t="shared" si="12"/>
        <v>332137.65340000001</v>
      </c>
      <c r="AS54" s="300">
        <v>4</v>
      </c>
      <c r="AT54" s="192">
        <v>107440.25</v>
      </c>
      <c r="AU54" s="464">
        <f t="shared" si="13"/>
        <v>351630.45020000002</v>
      </c>
      <c r="AV54" s="467">
        <v>1</v>
      </c>
      <c r="AW54" s="203">
        <v>103544</v>
      </c>
      <c r="AX54" s="462">
        <f t="shared" si="14"/>
        <v>84719.700800000006</v>
      </c>
      <c r="AY54" s="300">
        <v>1</v>
      </c>
      <c r="AZ54" s="192">
        <v>108000</v>
      </c>
      <c r="BA54" s="464">
        <f t="shared" si="15"/>
        <v>88365.6</v>
      </c>
      <c r="BB54" s="467">
        <v>5</v>
      </c>
      <c r="BC54" s="203">
        <v>66185.399999999994</v>
      </c>
      <c r="BD54" s="462">
        <f t="shared" si="16"/>
        <v>270764.47140000004</v>
      </c>
      <c r="BE54" s="300">
        <v>4</v>
      </c>
      <c r="BF54" s="192">
        <v>63860.5</v>
      </c>
      <c r="BG54" s="464">
        <f t="shared" si="17"/>
        <v>209002.64440000002</v>
      </c>
      <c r="BH54" s="467">
        <v>15</v>
      </c>
      <c r="BI54" s="203">
        <v>47358.866666666669</v>
      </c>
      <c r="BJ54" s="462">
        <f t="shared" si="18"/>
        <v>581235.37060000002</v>
      </c>
      <c r="BK54" s="300">
        <v>14</v>
      </c>
      <c r="BL54" s="192">
        <v>45899.21</v>
      </c>
      <c r="BM54" s="464">
        <f t="shared" si="19"/>
        <v>525766.27070799994</v>
      </c>
      <c r="BN54" s="467">
        <v>1</v>
      </c>
      <c r="BO54" s="203">
        <v>44000</v>
      </c>
      <c r="BP54" s="462">
        <f t="shared" si="20"/>
        <v>36000.800000000003</v>
      </c>
      <c r="BQ54" s="300">
        <v>1</v>
      </c>
      <c r="BR54" s="192">
        <v>56960</v>
      </c>
      <c r="BS54" s="464">
        <f t="shared" si="21"/>
        <v>46604.671999999999</v>
      </c>
      <c r="BT54" s="467">
        <v>0</v>
      </c>
      <c r="BU54" s="203">
        <v>0</v>
      </c>
      <c r="BV54" s="462">
        <f t="shared" si="22"/>
        <v>0</v>
      </c>
      <c r="BW54" s="192"/>
      <c r="BX54" s="192"/>
      <c r="BY54" s="463">
        <f t="shared" si="23"/>
        <v>0</v>
      </c>
    </row>
    <row r="55" spans="1:77" x14ac:dyDescent="0.2">
      <c r="A55" s="195" t="s">
        <v>105</v>
      </c>
      <c r="B55" s="196" t="s">
        <v>235</v>
      </c>
      <c r="C55" s="233"/>
      <c r="D55" s="195">
        <v>106485</v>
      </c>
      <c r="E55" s="199">
        <v>5</v>
      </c>
      <c r="F55" s="234">
        <v>16</v>
      </c>
      <c r="G55" s="208">
        <v>61699.25</v>
      </c>
      <c r="H55" s="461">
        <f t="shared" si="24"/>
        <v>987188</v>
      </c>
      <c r="I55" s="194">
        <v>17</v>
      </c>
      <c r="J55" s="194">
        <v>63217.94</v>
      </c>
      <c r="K55" s="464">
        <f t="shared" si="25"/>
        <v>1074704.98</v>
      </c>
      <c r="L55" s="467">
        <v>28</v>
      </c>
      <c r="M55" s="203">
        <v>57021.357142857145</v>
      </c>
      <c r="N55" s="462">
        <f t="shared" si="29"/>
        <v>1596598</v>
      </c>
      <c r="O55" s="192">
        <v>39</v>
      </c>
      <c r="P55" s="192">
        <v>55081.82</v>
      </c>
      <c r="Q55" s="464">
        <f t="shared" si="26"/>
        <v>2148190.98</v>
      </c>
      <c r="R55" s="467">
        <v>31</v>
      </c>
      <c r="S55" s="203">
        <v>45827.322580645159</v>
      </c>
      <c r="T55" s="462">
        <f t="shared" si="33"/>
        <v>1420647</v>
      </c>
      <c r="U55" s="191">
        <v>20</v>
      </c>
      <c r="V55" s="191">
        <v>46541.65</v>
      </c>
      <c r="W55" s="464">
        <f t="shared" si="36"/>
        <v>930833</v>
      </c>
      <c r="X55" s="467">
        <v>22</v>
      </c>
      <c r="Y55" s="203">
        <v>39993.818181818184</v>
      </c>
      <c r="Z55" s="462">
        <f t="shared" si="34"/>
        <v>879864</v>
      </c>
      <c r="AA55" s="192">
        <v>21</v>
      </c>
      <c r="AB55" s="192">
        <v>40985.379999999997</v>
      </c>
      <c r="AC55" s="464">
        <f t="shared" si="32"/>
        <v>860692.98</v>
      </c>
      <c r="AD55" s="467">
        <v>13</v>
      </c>
      <c r="AE55" s="203">
        <v>38807.769230769234</v>
      </c>
      <c r="AF55" s="462">
        <f t="shared" si="28"/>
        <v>504501.00000000006</v>
      </c>
      <c r="AG55" s="192">
        <v>8</v>
      </c>
      <c r="AH55" s="192">
        <v>40492.25</v>
      </c>
      <c r="AI55" s="464">
        <f t="shared" si="37"/>
        <v>323938</v>
      </c>
      <c r="AJ55" s="467">
        <v>0</v>
      </c>
      <c r="AK55" s="203">
        <v>0</v>
      </c>
      <c r="AL55" s="462">
        <f t="shared" si="35"/>
        <v>0</v>
      </c>
      <c r="AM55" s="300"/>
      <c r="AN55" s="192"/>
      <c r="AO55" s="206">
        <f t="shared" si="38"/>
        <v>0</v>
      </c>
      <c r="AP55" s="203">
        <v>4</v>
      </c>
      <c r="AQ55" s="203">
        <v>103739.25</v>
      </c>
      <c r="AR55" s="462">
        <f t="shared" si="12"/>
        <v>339517.8174</v>
      </c>
      <c r="AS55" s="192">
        <v>3</v>
      </c>
      <c r="AT55" s="192">
        <v>103231.33</v>
      </c>
      <c r="AU55" s="464">
        <f t="shared" si="13"/>
        <v>253391.62261799999</v>
      </c>
      <c r="AV55" s="467">
        <v>2</v>
      </c>
      <c r="AW55" s="203">
        <v>74286</v>
      </c>
      <c r="AX55" s="462">
        <f t="shared" si="14"/>
        <v>121561.61040000001</v>
      </c>
      <c r="AY55" s="192">
        <v>6</v>
      </c>
      <c r="AZ55" s="192">
        <v>71452.17</v>
      </c>
      <c r="BA55" s="464">
        <f t="shared" si="15"/>
        <v>350772.99296400003</v>
      </c>
      <c r="BB55" s="467">
        <v>5</v>
      </c>
      <c r="BC55" s="203">
        <v>66068</v>
      </c>
      <c r="BD55" s="462">
        <f t="shared" si="16"/>
        <v>270284.18800000002</v>
      </c>
      <c r="BE55" s="192">
        <v>3</v>
      </c>
      <c r="BF55" s="192">
        <v>63708</v>
      </c>
      <c r="BG55" s="464">
        <f t="shared" si="17"/>
        <v>156377.6568</v>
      </c>
      <c r="BH55" s="467">
        <v>2</v>
      </c>
      <c r="BI55" s="203">
        <v>62475</v>
      </c>
      <c r="BJ55" s="462">
        <f t="shared" si="18"/>
        <v>102234.09000000001</v>
      </c>
      <c r="BK55" s="192">
        <v>8</v>
      </c>
      <c r="BL55" s="192">
        <v>51681.38</v>
      </c>
      <c r="BM55" s="464">
        <f t="shared" si="19"/>
        <v>338285.64092799998</v>
      </c>
      <c r="BN55" s="467">
        <v>28</v>
      </c>
      <c r="BO55" s="203">
        <v>42789.857142857145</v>
      </c>
      <c r="BP55" s="462">
        <f t="shared" si="20"/>
        <v>980298.51120000007</v>
      </c>
      <c r="BQ55" s="192">
        <v>29</v>
      </c>
      <c r="BR55" s="192">
        <v>41391.69</v>
      </c>
      <c r="BS55" s="464">
        <f t="shared" si="21"/>
        <v>982133.74198200007</v>
      </c>
      <c r="BT55" s="467">
        <v>0</v>
      </c>
      <c r="BU55" s="203">
        <v>0</v>
      </c>
      <c r="BV55" s="462">
        <f t="shared" si="22"/>
        <v>0</v>
      </c>
      <c r="BW55" s="300"/>
      <c r="BX55" s="192"/>
      <c r="BY55" s="463">
        <f t="shared" si="23"/>
        <v>0</v>
      </c>
    </row>
    <row r="56" spans="1:77" x14ac:dyDescent="0.2">
      <c r="A56" s="195" t="s">
        <v>105</v>
      </c>
      <c r="B56" s="196" t="s">
        <v>1</v>
      </c>
      <c r="C56" s="233"/>
      <c r="D56" s="195">
        <v>108092</v>
      </c>
      <c r="E56" s="199">
        <v>6</v>
      </c>
      <c r="F56" s="234">
        <v>10</v>
      </c>
      <c r="G56" s="208">
        <v>80730.100000000006</v>
      </c>
      <c r="H56" s="461">
        <f t="shared" si="24"/>
        <v>807301</v>
      </c>
      <c r="I56" s="194">
        <v>10</v>
      </c>
      <c r="J56" s="194">
        <v>88512.1</v>
      </c>
      <c r="K56" s="464">
        <f t="shared" si="25"/>
        <v>885121</v>
      </c>
      <c r="L56" s="467">
        <v>39</v>
      </c>
      <c r="M56" s="203">
        <v>67671.794871794875</v>
      </c>
      <c r="N56" s="462">
        <f t="shared" si="29"/>
        <v>2639200</v>
      </c>
      <c r="O56" s="192">
        <v>36</v>
      </c>
      <c r="P56" s="192">
        <v>69515.14</v>
      </c>
      <c r="Q56" s="464">
        <f t="shared" si="26"/>
        <v>2502545.04</v>
      </c>
      <c r="R56" s="467">
        <v>95</v>
      </c>
      <c r="S56" s="203">
        <v>52792.831578947371</v>
      </c>
      <c r="T56" s="462">
        <f t="shared" si="33"/>
        <v>5015319</v>
      </c>
      <c r="U56" s="191">
        <v>98</v>
      </c>
      <c r="V56" s="191">
        <v>54242.720000000001</v>
      </c>
      <c r="W56" s="464">
        <f t="shared" si="36"/>
        <v>5315786.5600000005</v>
      </c>
      <c r="X56" s="467">
        <v>44</v>
      </c>
      <c r="Y56" s="203">
        <v>45735.022727272728</v>
      </c>
      <c r="Z56" s="462">
        <f t="shared" si="34"/>
        <v>2012341</v>
      </c>
      <c r="AA56" s="192">
        <v>47</v>
      </c>
      <c r="AB56" s="192">
        <v>47494.55</v>
      </c>
      <c r="AC56" s="464">
        <f t="shared" si="32"/>
        <v>2232243.85</v>
      </c>
      <c r="AD56" s="467">
        <v>6</v>
      </c>
      <c r="AE56" s="203">
        <v>38583.333333333336</v>
      </c>
      <c r="AF56" s="462">
        <f t="shared" si="28"/>
        <v>231500</v>
      </c>
      <c r="AG56" s="192">
        <v>8</v>
      </c>
      <c r="AH56" s="192">
        <v>43288.88</v>
      </c>
      <c r="AI56" s="464">
        <f t="shared" si="37"/>
        <v>346311.04</v>
      </c>
      <c r="AJ56" s="467">
        <v>0</v>
      </c>
      <c r="AK56" s="203">
        <v>0</v>
      </c>
      <c r="AL56" s="462">
        <f t="shared" si="35"/>
        <v>0</v>
      </c>
      <c r="AM56" s="300"/>
      <c r="AN56" s="192"/>
      <c r="AO56" s="206">
        <f t="shared" si="38"/>
        <v>0</v>
      </c>
      <c r="AP56" s="203">
        <v>1</v>
      </c>
      <c r="AQ56" s="203">
        <v>98075</v>
      </c>
      <c r="AR56" s="462">
        <f t="shared" si="12"/>
        <v>80244.964999999997</v>
      </c>
      <c r="AS56" s="192">
        <v>2</v>
      </c>
      <c r="AT56" s="192">
        <v>102484.5</v>
      </c>
      <c r="AU56" s="464">
        <f t="shared" si="13"/>
        <v>167705.63580000002</v>
      </c>
      <c r="AV56" s="467">
        <v>9</v>
      </c>
      <c r="AW56" s="203">
        <v>84329</v>
      </c>
      <c r="AX56" s="462">
        <f t="shared" si="14"/>
        <v>620981.89020000002</v>
      </c>
      <c r="AY56" s="192">
        <v>18</v>
      </c>
      <c r="AZ56" s="192">
        <v>92452.17</v>
      </c>
      <c r="BA56" s="464">
        <f t="shared" si="15"/>
        <v>1361598.578892</v>
      </c>
      <c r="BB56" s="467">
        <v>9</v>
      </c>
      <c r="BC56" s="203">
        <v>70948.222222222219</v>
      </c>
      <c r="BD56" s="462">
        <f t="shared" si="16"/>
        <v>522448.51880000002</v>
      </c>
      <c r="BE56" s="192">
        <v>8</v>
      </c>
      <c r="BF56" s="192">
        <v>69718.38</v>
      </c>
      <c r="BG56" s="464">
        <f t="shared" si="17"/>
        <v>456348.62812800007</v>
      </c>
      <c r="BH56" s="467">
        <v>11</v>
      </c>
      <c r="BI56" s="203">
        <v>56849.272727272728</v>
      </c>
      <c r="BJ56" s="462">
        <f t="shared" si="18"/>
        <v>511654.82440000004</v>
      </c>
      <c r="BK56" s="192">
        <v>13</v>
      </c>
      <c r="BL56" s="192">
        <v>59468.38</v>
      </c>
      <c r="BM56" s="464">
        <f t="shared" si="19"/>
        <v>632541.37070800003</v>
      </c>
      <c r="BN56" s="467">
        <v>1</v>
      </c>
      <c r="BO56" s="203">
        <v>65000</v>
      </c>
      <c r="BP56" s="462">
        <f t="shared" si="20"/>
        <v>53183</v>
      </c>
      <c r="BQ56" s="192">
        <v>1</v>
      </c>
      <c r="BR56" s="192">
        <v>55000</v>
      </c>
      <c r="BS56" s="464">
        <f t="shared" si="21"/>
        <v>45001</v>
      </c>
      <c r="BT56" s="467">
        <v>0</v>
      </c>
      <c r="BU56" s="203">
        <v>0</v>
      </c>
      <c r="BV56" s="462">
        <f t="shared" si="22"/>
        <v>0</v>
      </c>
      <c r="BW56" s="300"/>
      <c r="BX56" s="192"/>
      <c r="BY56" s="463">
        <f t="shared" si="23"/>
        <v>0</v>
      </c>
    </row>
    <row r="57" spans="1:77" x14ac:dyDescent="0.2">
      <c r="A57" s="195" t="s">
        <v>105</v>
      </c>
      <c r="B57" s="196" t="s">
        <v>236</v>
      </c>
      <c r="C57" s="233"/>
      <c r="D57" s="195">
        <v>106412</v>
      </c>
      <c r="E57" s="199">
        <v>6</v>
      </c>
      <c r="F57" s="234">
        <v>17</v>
      </c>
      <c r="G57" s="208">
        <v>57986.941176470587</v>
      </c>
      <c r="H57" s="461">
        <f t="shared" si="24"/>
        <v>985778</v>
      </c>
      <c r="I57" s="194">
        <v>13</v>
      </c>
      <c r="J57" s="194">
        <v>59526.15</v>
      </c>
      <c r="K57" s="464">
        <f t="shared" si="25"/>
        <v>773839.95000000007</v>
      </c>
      <c r="L57" s="467">
        <v>19</v>
      </c>
      <c r="M57" s="203">
        <v>55012.105263157893</v>
      </c>
      <c r="N57" s="462">
        <f t="shared" si="29"/>
        <v>1045230</v>
      </c>
      <c r="O57" s="192">
        <v>22</v>
      </c>
      <c r="P57" s="192">
        <v>55657.77</v>
      </c>
      <c r="Q57" s="464">
        <f t="shared" si="26"/>
        <v>1224470.94</v>
      </c>
      <c r="R57" s="467">
        <v>28</v>
      </c>
      <c r="S57" s="203">
        <v>46557.785714285717</v>
      </c>
      <c r="T57" s="462">
        <f t="shared" si="33"/>
        <v>1303618</v>
      </c>
      <c r="U57" s="191">
        <v>28</v>
      </c>
      <c r="V57" s="191">
        <v>46978.04</v>
      </c>
      <c r="W57" s="464">
        <f t="shared" si="36"/>
        <v>1315385.1200000001</v>
      </c>
      <c r="X57" s="467">
        <v>46</v>
      </c>
      <c r="Y57" s="203">
        <v>37562.260869565216</v>
      </c>
      <c r="Z57" s="462">
        <f t="shared" si="34"/>
        <v>1727864</v>
      </c>
      <c r="AA57" s="192">
        <v>48</v>
      </c>
      <c r="AB57" s="192">
        <v>38728.42</v>
      </c>
      <c r="AC57" s="464">
        <f t="shared" si="32"/>
        <v>1858964.16</v>
      </c>
      <c r="AD57" s="467">
        <v>0</v>
      </c>
      <c r="AE57" s="203">
        <v>0</v>
      </c>
      <c r="AF57" s="462">
        <f t="shared" si="28"/>
        <v>0</v>
      </c>
      <c r="AG57" s="192">
        <v>0</v>
      </c>
      <c r="AH57" s="192"/>
      <c r="AI57" s="464">
        <f t="shared" si="37"/>
        <v>0</v>
      </c>
      <c r="AJ57" s="467">
        <v>0</v>
      </c>
      <c r="AK57" s="203">
        <v>0</v>
      </c>
      <c r="AL57" s="462">
        <f t="shared" si="35"/>
        <v>0</v>
      </c>
      <c r="AM57" s="300"/>
      <c r="AN57" s="192"/>
      <c r="AO57" s="206">
        <f t="shared" si="38"/>
        <v>0</v>
      </c>
      <c r="AP57" s="203">
        <v>13</v>
      </c>
      <c r="AQ57" s="203">
        <v>76082.461538461532</v>
      </c>
      <c r="AR57" s="462">
        <f t="shared" si="12"/>
        <v>809258.71039999998</v>
      </c>
      <c r="AS57" s="192">
        <v>16</v>
      </c>
      <c r="AT57" s="192">
        <v>74403.56</v>
      </c>
      <c r="AU57" s="464">
        <f t="shared" si="13"/>
        <v>974031.88467200007</v>
      </c>
      <c r="AV57" s="467">
        <v>15</v>
      </c>
      <c r="AW57" s="203">
        <v>69133.866666666669</v>
      </c>
      <c r="AX57" s="462">
        <f t="shared" si="14"/>
        <v>848479.94560000009</v>
      </c>
      <c r="AY57" s="192">
        <v>15</v>
      </c>
      <c r="AZ57" s="192">
        <v>70838.87</v>
      </c>
      <c r="BA57" s="464">
        <f t="shared" si="15"/>
        <v>869405.45150999993</v>
      </c>
      <c r="BB57" s="467">
        <v>19</v>
      </c>
      <c r="BC57" s="203">
        <v>57762.315789473687</v>
      </c>
      <c r="BD57" s="462">
        <f t="shared" si="16"/>
        <v>897961.40880000009</v>
      </c>
      <c r="BE57" s="192">
        <v>19</v>
      </c>
      <c r="BF57" s="192">
        <v>60245.53</v>
      </c>
      <c r="BG57" s="464">
        <f t="shared" si="17"/>
        <v>936564.96027400007</v>
      </c>
      <c r="BH57" s="467">
        <v>14</v>
      </c>
      <c r="BI57" s="203">
        <v>42543.214285714283</v>
      </c>
      <c r="BJ57" s="462">
        <f t="shared" si="18"/>
        <v>487324.011</v>
      </c>
      <c r="BK57" s="192">
        <v>19</v>
      </c>
      <c r="BL57" s="192">
        <v>41859.47</v>
      </c>
      <c r="BM57" s="464">
        <f t="shared" si="19"/>
        <v>650738.94872600003</v>
      </c>
      <c r="BN57" s="467">
        <v>0</v>
      </c>
      <c r="BO57" s="203">
        <v>0</v>
      </c>
      <c r="BP57" s="462">
        <f t="shared" si="20"/>
        <v>0</v>
      </c>
      <c r="BQ57" s="192">
        <v>0</v>
      </c>
      <c r="BR57" s="192"/>
      <c r="BS57" s="464">
        <f t="shared" si="21"/>
        <v>0</v>
      </c>
      <c r="BT57" s="467">
        <v>0</v>
      </c>
      <c r="BU57" s="203">
        <v>0</v>
      </c>
      <c r="BV57" s="462">
        <f t="shared" si="22"/>
        <v>0</v>
      </c>
      <c r="BW57" s="300"/>
      <c r="BX57" s="192"/>
      <c r="BY57" s="463">
        <f t="shared" si="23"/>
        <v>0</v>
      </c>
    </row>
    <row r="58" spans="1:77" x14ac:dyDescent="0.2">
      <c r="A58" s="195" t="s">
        <v>105</v>
      </c>
      <c r="B58" s="196" t="s">
        <v>239</v>
      </c>
      <c r="C58" s="238" t="s">
        <v>327</v>
      </c>
      <c r="D58" s="195">
        <v>367459</v>
      </c>
      <c r="E58" s="239">
        <v>8</v>
      </c>
      <c r="F58" s="234">
        <v>0</v>
      </c>
      <c r="G58" s="208">
        <v>0</v>
      </c>
      <c r="H58" s="461">
        <f t="shared" si="24"/>
        <v>0</v>
      </c>
      <c r="I58" s="194"/>
      <c r="J58" s="194"/>
      <c r="K58" s="464">
        <f t="shared" si="25"/>
        <v>0</v>
      </c>
      <c r="L58" s="467">
        <v>0</v>
      </c>
      <c r="M58" s="203">
        <v>0</v>
      </c>
      <c r="N58" s="462">
        <f t="shared" si="29"/>
        <v>0</v>
      </c>
      <c r="O58" s="192"/>
      <c r="P58" s="192"/>
      <c r="Q58" s="464">
        <f t="shared" si="26"/>
        <v>0</v>
      </c>
      <c r="R58" s="467">
        <v>0</v>
      </c>
      <c r="S58" s="203">
        <v>0</v>
      </c>
      <c r="T58" s="462">
        <f t="shared" si="33"/>
        <v>0</v>
      </c>
      <c r="U58" s="191"/>
      <c r="V58" s="191"/>
      <c r="W58" s="464">
        <f t="shared" si="36"/>
        <v>0</v>
      </c>
      <c r="X58" s="467">
        <v>0</v>
      </c>
      <c r="Y58" s="203">
        <v>0</v>
      </c>
      <c r="Z58" s="462">
        <f t="shared" si="34"/>
        <v>0</v>
      </c>
      <c r="AA58" s="192"/>
      <c r="AB58" s="192"/>
      <c r="AC58" s="464">
        <f t="shared" si="32"/>
        <v>0</v>
      </c>
      <c r="AD58" s="467">
        <v>0</v>
      </c>
      <c r="AE58" s="203">
        <v>0</v>
      </c>
      <c r="AF58" s="462">
        <f t="shared" si="28"/>
        <v>0</v>
      </c>
      <c r="AG58" s="192"/>
      <c r="AH58" s="192"/>
      <c r="AI58" s="464">
        <f t="shared" si="37"/>
        <v>0</v>
      </c>
      <c r="AJ58" s="467">
        <v>143</v>
      </c>
      <c r="AK58" s="203">
        <v>50463.328671328672</v>
      </c>
      <c r="AL58" s="462">
        <f t="shared" si="35"/>
        <v>7216256</v>
      </c>
      <c r="AM58" s="300">
        <v>134</v>
      </c>
      <c r="AN58" s="192">
        <v>52804.15</v>
      </c>
      <c r="AO58" s="206">
        <f t="shared" si="38"/>
        <v>7075756.1000000006</v>
      </c>
      <c r="AP58" s="203">
        <v>0</v>
      </c>
      <c r="AQ58" s="203">
        <v>0</v>
      </c>
      <c r="AR58" s="462">
        <f t="shared" si="12"/>
        <v>0</v>
      </c>
      <c r="AS58" s="192"/>
      <c r="AT58" s="192"/>
      <c r="AU58" s="464">
        <f t="shared" si="13"/>
        <v>0</v>
      </c>
      <c r="AV58" s="467">
        <v>0</v>
      </c>
      <c r="AW58" s="203">
        <v>0</v>
      </c>
      <c r="AX58" s="462">
        <f t="shared" si="14"/>
        <v>0</v>
      </c>
      <c r="AY58" s="192"/>
      <c r="AZ58" s="192"/>
      <c r="BA58" s="464">
        <f t="shared" si="15"/>
        <v>0</v>
      </c>
      <c r="BB58" s="467">
        <v>0</v>
      </c>
      <c r="BC58" s="203">
        <v>0</v>
      </c>
      <c r="BD58" s="462">
        <f t="shared" si="16"/>
        <v>0</v>
      </c>
      <c r="BE58" s="192"/>
      <c r="BF58" s="192"/>
      <c r="BG58" s="464">
        <f t="shared" si="17"/>
        <v>0</v>
      </c>
      <c r="BH58" s="467">
        <v>0</v>
      </c>
      <c r="BI58" s="203">
        <v>0</v>
      </c>
      <c r="BJ58" s="462">
        <f t="shared" si="18"/>
        <v>0</v>
      </c>
      <c r="BK58" s="192"/>
      <c r="BL58" s="192"/>
      <c r="BM58" s="464">
        <f t="shared" si="19"/>
        <v>0</v>
      </c>
      <c r="BN58" s="467">
        <v>0</v>
      </c>
      <c r="BO58" s="203">
        <v>0</v>
      </c>
      <c r="BP58" s="462">
        <f t="shared" si="20"/>
        <v>0</v>
      </c>
      <c r="BQ58" s="192"/>
      <c r="BR58" s="192"/>
      <c r="BS58" s="464">
        <f t="shared" si="21"/>
        <v>0</v>
      </c>
      <c r="BT58" s="467">
        <v>0</v>
      </c>
      <c r="BU58" s="203">
        <v>0</v>
      </c>
      <c r="BV58" s="462">
        <f t="shared" si="22"/>
        <v>0</v>
      </c>
      <c r="BW58" s="300">
        <v>19</v>
      </c>
      <c r="BX58" s="192">
        <v>66823.53</v>
      </c>
      <c r="BY58" s="463">
        <f t="shared" si="23"/>
        <v>1038825.2326740001</v>
      </c>
    </row>
    <row r="59" spans="1:77" x14ac:dyDescent="0.2">
      <c r="A59" s="197" t="s">
        <v>105</v>
      </c>
      <c r="B59" s="198" t="s">
        <v>237</v>
      </c>
      <c r="C59" s="235"/>
      <c r="D59" s="197">
        <v>107664</v>
      </c>
      <c r="E59" s="200">
        <v>8</v>
      </c>
      <c r="F59" s="234">
        <v>0</v>
      </c>
      <c r="G59" s="208">
        <v>0</v>
      </c>
      <c r="H59" s="461">
        <f t="shared" si="24"/>
        <v>0</v>
      </c>
      <c r="I59" s="194"/>
      <c r="J59" s="194"/>
      <c r="K59" s="464">
        <f t="shared" si="25"/>
        <v>0</v>
      </c>
      <c r="L59" s="467">
        <v>0</v>
      </c>
      <c r="M59" s="203">
        <v>0</v>
      </c>
      <c r="N59" s="462">
        <f t="shared" si="29"/>
        <v>0</v>
      </c>
      <c r="O59" s="192"/>
      <c r="P59" s="192"/>
      <c r="Q59" s="464">
        <f t="shared" si="26"/>
        <v>0</v>
      </c>
      <c r="R59" s="467">
        <v>0</v>
      </c>
      <c r="S59" s="203">
        <v>0</v>
      </c>
      <c r="T59" s="462">
        <f t="shared" si="33"/>
        <v>0</v>
      </c>
      <c r="U59" s="191"/>
      <c r="V59" s="191"/>
      <c r="W59" s="464">
        <f t="shared" si="36"/>
        <v>0</v>
      </c>
      <c r="X59" s="467">
        <v>0</v>
      </c>
      <c r="Y59" s="203">
        <v>0</v>
      </c>
      <c r="Z59" s="462">
        <f t="shared" si="34"/>
        <v>0</v>
      </c>
      <c r="AA59" s="192"/>
      <c r="AB59" s="192"/>
      <c r="AC59" s="464">
        <f t="shared" si="32"/>
        <v>0</v>
      </c>
      <c r="AD59" s="467">
        <v>0</v>
      </c>
      <c r="AE59" s="203">
        <v>0</v>
      </c>
      <c r="AF59" s="462">
        <f t="shared" si="28"/>
        <v>0</v>
      </c>
      <c r="AG59" s="192"/>
      <c r="AH59" s="192"/>
      <c r="AI59" s="464">
        <f t="shared" si="37"/>
        <v>0</v>
      </c>
      <c r="AJ59" s="467">
        <v>157</v>
      </c>
      <c r="AK59" s="203">
        <v>47254.757961783442</v>
      </c>
      <c r="AL59" s="462">
        <f t="shared" si="35"/>
        <v>7418997</v>
      </c>
      <c r="AM59" s="300">
        <v>162</v>
      </c>
      <c r="AN59" s="192">
        <v>47605.57</v>
      </c>
      <c r="AO59" s="206">
        <f t="shared" si="38"/>
        <v>7712102.3399999999</v>
      </c>
      <c r="AP59" s="203">
        <v>0</v>
      </c>
      <c r="AQ59" s="203">
        <v>0</v>
      </c>
      <c r="AR59" s="462">
        <f t="shared" si="12"/>
        <v>0</v>
      </c>
      <c r="AS59" s="192"/>
      <c r="AT59" s="192"/>
      <c r="AU59" s="464">
        <f t="shared" si="13"/>
        <v>0</v>
      </c>
      <c r="AV59" s="467">
        <v>0</v>
      </c>
      <c r="AW59" s="203">
        <v>0</v>
      </c>
      <c r="AX59" s="462">
        <f t="shared" si="14"/>
        <v>0</v>
      </c>
      <c r="AY59" s="192"/>
      <c r="AZ59" s="192"/>
      <c r="BA59" s="464">
        <f t="shared" si="15"/>
        <v>0</v>
      </c>
      <c r="BB59" s="467">
        <v>0</v>
      </c>
      <c r="BC59" s="203">
        <v>0</v>
      </c>
      <c r="BD59" s="462">
        <f t="shared" si="16"/>
        <v>0</v>
      </c>
      <c r="BE59" s="192"/>
      <c r="BF59" s="192"/>
      <c r="BG59" s="464">
        <f t="shared" si="17"/>
        <v>0</v>
      </c>
      <c r="BH59" s="467">
        <v>0</v>
      </c>
      <c r="BI59" s="203">
        <v>0</v>
      </c>
      <c r="BJ59" s="462">
        <f t="shared" si="18"/>
        <v>0</v>
      </c>
      <c r="BK59" s="192"/>
      <c r="BL59" s="192"/>
      <c r="BM59" s="464">
        <f t="shared" si="19"/>
        <v>0</v>
      </c>
      <c r="BN59" s="467">
        <v>0</v>
      </c>
      <c r="BO59" s="203">
        <v>0</v>
      </c>
      <c r="BP59" s="462">
        <f t="shared" si="20"/>
        <v>0</v>
      </c>
      <c r="BQ59" s="192"/>
      <c r="BR59" s="192"/>
      <c r="BS59" s="464">
        <f t="shared" si="21"/>
        <v>0</v>
      </c>
      <c r="BT59" s="467">
        <v>14</v>
      </c>
      <c r="BU59" s="203">
        <v>59984</v>
      </c>
      <c r="BV59" s="462">
        <f t="shared" si="22"/>
        <v>687104.72320000001</v>
      </c>
      <c r="BW59" s="300">
        <v>12</v>
      </c>
      <c r="BX59" s="192">
        <v>60868.58</v>
      </c>
      <c r="BY59" s="463">
        <f t="shared" si="23"/>
        <v>597632.06587199995</v>
      </c>
    </row>
    <row r="60" spans="1:77" x14ac:dyDescent="0.2">
      <c r="A60" s="195" t="s">
        <v>105</v>
      </c>
      <c r="B60" s="196" t="s">
        <v>238</v>
      </c>
      <c r="C60" s="233"/>
      <c r="D60" s="195">
        <v>106449</v>
      </c>
      <c r="E60" s="199">
        <v>9</v>
      </c>
      <c r="F60" s="234">
        <v>4</v>
      </c>
      <c r="G60" s="208">
        <v>56693.5</v>
      </c>
      <c r="H60" s="461">
        <f t="shared" si="24"/>
        <v>226774</v>
      </c>
      <c r="I60" s="194">
        <v>5</v>
      </c>
      <c r="J60" s="194">
        <v>46380.800000000003</v>
      </c>
      <c r="K60" s="464">
        <f t="shared" si="25"/>
        <v>231904</v>
      </c>
      <c r="L60" s="467">
        <v>5</v>
      </c>
      <c r="M60" s="203">
        <v>47763.4</v>
      </c>
      <c r="N60" s="462">
        <f t="shared" si="29"/>
        <v>238817</v>
      </c>
      <c r="O60" s="192">
        <v>6</v>
      </c>
      <c r="P60" s="192">
        <v>48204.5</v>
      </c>
      <c r="Q60" s="464">
        <f t="shared" si="26"/>
        <v>289227</v>
      </c>
      <c r="R60" s="467">
        <v>29</v>
      </c>
      <c r="S60" s="203">
        <v>46053.931034482761</v>
      </c>
      <c r="T60" s="462">
        <f t="shared" si="33"/>
        <v>1335564</v>
      </c>
      <c r="U60" s="191">
        <v>27</v>
      </c>
      <c r="V60" s="191">
        <v>44710.81</v>
      </c>
      <c r="W60" s="464">
        <f t="shared" si="36"/>
        <v>1207191.8699999999</v>
      </c>
      <c r="X60" s="467">
        <v>62</v>
      </c>
      <c r="Y60" s="203">
        <v>40489.516129032258</v>
      </c>
      <c r="Z60" s="462">
        <f t="shared" si="34"/>
        <v>2510350</v>
      </c>
      <c r="AA60" s="192">
        <v>61</v>
      </c>
      <c r="AB60" s="192">
        <v>40931.07</v>
      </c>
      <c r="AC60" s="464">
        <f t="shared" si="32"/>
        <v>2496795.27</v>
      </c>
      <c r="AD60" s="467">
        <v>0</v>
      </c>
      <c r="AE60" s="203">
        <v>0</v>
      </c>
      <c r="AF60" s="462">
        <f t="shared" si="28"/>
        <v>0</v>
      </c>
      <c r="AG60" s="192"/>
      <c r="AH60" s="192"/>
      <c r="AI60" s="464">
        <f t="shared" si="37"/>
        <v>0</v>
      </c>
      <c r="AJ60" s="467">
        <v>0</v>
      </c>
      <c r="AK60" s="203">
        <v>0</v>
      </c>
      <c r="AL60" s="462">
        <f t="shared" si="35"/>
        <v>0</v>
      </c>
      <c r="AM60" s="300"/>
      <c r="AN60" s="192"/>
      <c r="AO60" s="206">
        <f t="shared" si="38"/>
        <v>0</v>
      </c>
      <c r="AP60" s="203">
        <v>1</v>
      </c>
      <c r="AQ60" s="203">
        <v>75921</v>
      </c>
      <c r="AR60" s="462">
        <f t="shared" si="12"/>
        <v>62118.5622</v>
      </c>
      <c r="AS60" s="192">
        <v>0</v>
      </c>
      <c r="AT60" s="192"/>
      <c r="AU60" s="464">
        <f t="shared" si="13"/>
        <v>0</v>
      </c>
      <c r="AV60" s="467">
        <v>4</v>
      </c>
      <c r="AW60" s="203">
        <v>82620.25</v>
      </c>
      <c r="AX60" s="462">
        <f t="shared" si="14"/>
        <v>270399.55420000001</v>
      </c>
      <c r="AY60" s="192">
        <v>4</v>
      </c>
      <c r="AZ60" s="192">
        <v>81255.25</v>
      </c>
      <c r="BA60" s="464">
        <f t="shared" si="15"/>
        <v>265932.18220000004</v>
      </c>
      <c r="BB60" s="467">
        <v>5</v>
      </c>
      <c r="BC60" s="203">
        <v>61634.6</v>
      </c>
      <c r="BD60" s="462">
        <f t="shared" si="16"/>
        <v>252147.14860000001</v>
      </c>
      <c r="BE60" s="192">
        <v>5</v>
      </c>
      <c r="BF60" s="192">
        <v>61364.6</v>
      </c>
      <c r="BG60" s="464">
        <f t="shared" si="17"/>
        <v>251042.57860000001</v>
      </c>
      <c r="BH60" s="467">
        <v>11</v>
      </c>
      <c r="BI60" s="203">
        <v>43992.545454545456</v>
      </c>
      <c r="BJ60" s="462">
        <f t="shared" si="18"/>
        <v>395941.70760000002</v>
      </c>
      <c r="BK60" s="192">
        <v>13</v>
      </c>
      <c r="BL60" s="192">
        <v>46971.46</v>
      </c>
      <c r="BM60" s="464">
        <f t="shared" si="19"/>
        <v>499616.631436</v>
      </c>
      <c r="BN60" s="467">
        <v>0</v>
      </c>
      <c r="BO60" s="203">
        <v>0</v>
      </c>
      <c r="BP60" s="462">
        <f t="shared" si="20"/>
        <v>0</v>
      </c>
      <c r="BQ60" s="192"/>
      <c r="BR60" s="192"/>
      <c r="BS60" s="464">
        <f t="shared" si="21"/>
        <v>0</v>
      </c>
      <c r="BT60" s="467">
        <v>0</v>
      </c>
      <c r="BU60" s="203">
        <v>0</v>
      </c>
      <c r="BV60" s="462">
        <f t="shared" si="22"/>
        <v>0</v>
      </c>
      <c r="BW60" s="300"/>
      <c r="BX60" s="192"/>
      <c r="BY60" s="463">
        <f t="shared" si="23"/>
        <v>0</v>
      </c>
    </row>
    <row r="61" spans="1:77" x14ac:dyDescent="0.2">
      <c r="A61" s="195" t="s">
        <v>105</v>
      </c>
      <c r="B61" s="236" t="s">
        <v>247</v>
      </c>
      <c r="C61" s="237"/>
      <c r="D61" s="195">
        <v>106980</v>
      </c>
      <c r="E61" s="199">
        <v>9</v>
      </c>
      <c r="F61" s="234">
        <v>0</v>
      </c>
      <c r="G61" s="208">
        <v>0</v>
      </c>
      <c r="H61" s="461">
        <f t="shared" si="24"/>
        <v>0</v>
      </c>
      <c r="I61" s="194"/>
      <c r="J61" s="194"/>
      <c r="K61" s="464">
        <f t="shared" si="25"/>
        <v>0</v>
      </c>
      <c r="L61" s="467">
        <v>0</v>
      </c>
      <c r="M61" s="203">
        <v>0</v>
      </c>
      <c r="N61" s="462">
        <f t="shared" si="29"/>
        <v>0</v>
      </c>
      <c r="O61" s="192"/>
      <c r="P61" s="192"/>
      <c r="Q61" s="464">
        <f t="shared" si="26"/>
        <v>0</v>
      </c>
      <c r="R61" s="467">
        <v>0</v>
      </c>
      <c r="S61" s="203">
        <v>0</v>
      </c>
      <c r="T61" s="462">
        <f t="shared" si="33"/>
        <v>0</v>
      </c>
      <c r="U61" s="191"/>
      <c r="V61" s="191"/>
      <c r="W61" s="464">
        <f t="shared" si="36"/>
        <v>0</v>
      </c>
      <c r="X61" s="467">
        <v>0</v>
      </c>
      <c r="Y61" s="203">
        <v>0</v>
      </c>
      <c r="Z61" s="462">
        <f t="shared" si="34"/>
        <v>0</v>
      </c>
      <c r="AA61" s="192"/>
      <c r="AB61" s="192"/>
      <c r="AC61" s="464">
        <f t="shared" si="32"/>
        <v>0</v>
      </c>
      <c r="AD61" s="467">
        <v>0</v>
      </c>
      <c r="AE61" s="203">
        <v>0</v>
      </c>
      <c r="AF61" s="462">
        <f t="shared" si="28"/>
        <v>0</v>
      </c>
      <c r="AG61" s="192"/>
      <c r="AH61" s="192"/>
      <c r="AI61" s="464">
        <f t="shared" si="37"/>
        <v>0</v>
      </c>
      <c r="AJ61" s="467">
        <v>77</v>
      </c>
      <c r="AK61" s="203">
        <v>42230.389610389611</v>
      </c>
      <c r="AL61" s="462">
        <f t="shared" si="35"/>
        <v>3251740</v>
      </c>
      <c r="AM61" s="300">
        <v>77</v>
      </c>
      <c r="AN61" s="192">
        <v>42762.27</v>
      </c>
      <c r="AO61" s="206">
        <f t="shared" si="38"/>
        <v>3292694.7899999996</v>
      </c>
      <c r="AP61" s="203">
        <v>0</v>
      </c>
      <c r="AQ61" s="203">
        <v>0</v>
      </c>
      <c r="AR61" s="462">
        <f t="shared" si="12"/>
        <v>0</v>
      </c>
      <c r="AS61" s="192"/>
      <c r="AT61" s="192"/>
      <c r="AU61" s="464">
        <f t="shared" si="13"/>
        <v>0</v>
      </c>
      <c r="AV61" s="467">
        <v>0</v>
      </c>
      <c r="AW61" s="203">
        <v>0</v>
      </c>
      <c r="AX61" s="462">
        <f t="shared" si="14"/>
        <v>0</v>
      </c>
      <c r="AY61" s="192"/>
      <c r="AZ61" s="192"/>
      <c r="BA61" s="464">
        <f t="shared" si="15"/>
        <v>0</v>
      </c>
      <c r="BB61" s="467">
        <v>0</v>
      </c>
      <c r="BC61" s="203">
        <v>0</v>
      </c>
      <c r="BD61" s="462">
        <f t="shared" si="16"/>
        <v>0</v>
      </c>
      <c r="BE61" s="192"/>
      <c r="BF61" s="192"/>
      <c r="BG61" s="464">
        <f t="shared" si="17"/>
        <v>0</v>
      </c>
      <c r="BH61" s="467">
        <v>0</v>
      </c>
      <c r="BI61" s="203">
        <v>0</v>
      </c>
      <c r="BJ61" s="462">
        <f t="shared" si="18"/>
        <v>0</v>
      </c>
      <c r="BK61" s="192"/>
      <c r="BL61" s="192"/>
      <c r="BM61" s="464">
        <f t="shared" si="19"/>
        <v>0</v>
      </c>
      <c r="BN61" s="467">
        <v>0</v>
      </c>
      <c r="BO61" s="203">
        <v>0</v>
      </c>
      <c r="BP61" s="462">
        <f t="shared" si="20"/>
        <v>0</v>
      </c>
      <c r="BQ61" s="192"/>
      <c r="BR61" s="192"/>
      <c r="BS61" s="464">
        <f t="shared" si="21"/>
        <v>0</v>
      </c>
      <c r="BT61" s="467">
        <v>14</v>
      </c>
      <c r="BU61" s="203">
        <v>52941.142857142855</v>
      </c>
      <c r="BV61" s="462">
        <f t="shared" si="22"/>
        <v>606430.20319999999</v>
      </c>
      <c r="BW61" s="300">
        <v>20</v>
      </c>
      <c r="BX61" s="192">
        <v>54007.199999999997</v>
      </c>
      <c r="BY61" s="463">
        <f t="shared" si="23"/>
        <v>883773.82079999999</v>
      </c>
    </row>
    <row r="62" spans="1:77" x14ac:dyDescent="0.2">
      <c r="A62" s="195" t="s">
        <v>105</v>
      </c>
      <c r="B62" s="196" t="s">
        <v>240</v>
      </c>
      <c r="C62" s="233"/>
      <c r="D62" s="195">
        <v>107327</v>
      </c>
      <c r="E62" s="199">
        <v>10</v>
      </c>
      <c r="F62" s="234">
        <v>0</v>
      </c>
      <c r="G62" s="208">
        <v>0</v>
      </c>
      <c r="H62" s="461">
        <f t="shared" si="24"/>
        <v>0</v>
      </c>
      <c r="I62" s="194"/>
      <c r="J62" s="194"/>
      <c r="K62" s="464">
        <f t="shared" si="25"/>
        <v>0</v>
      </c>
      <c r="L62" s="467">
        <v>0</v>
      </c>
      <c r="M62" s="203">
        <v>0</v>
      </c>
      <c r="N62" s="462">
        <f t="shared" si="29"/>
        <v>0</v>
      </c>
      <c r="O62" s="192"/>
      <c r="P62" s="192"/>
      <c r="Q62" s="464">
        <f t="shared" si="26"/>
        <v>0</v>
      </c>
      <c r="R62" s="467">
        <v>0</v>
      </c>
      <c r="S62" s="203">
        <v>0</v>
      </c>
      <c r="T62" s="462">
        <f t="shared" si="33"/>
        <v>0</v>
      </c>
      <c r="U62" s="191"/>
      <c r="V62" s="191"/>
      <c r="W62" s="464">
        <f t="shared" si="36"/>
        <v>0</v>
      </c>
      <c r="X62" s="467">
        <v>0</v>
      </c>
      <c r="Y62" s="203">
        <v>0</v>
      </c>
      <c r="Z62" s="462">
        <f t="shared" si="34"/>
        <v>0</v>
      </c>
      <c r="AA62" s="192"/>
      <c r="AB62" s="192"/>
      <c r="AC62" s="464">
        <f t="shared" si="32"/>
        <v>0</v>
      </c>
      <c r="AD62" s="467">
        <v>0</v>
      </c>
      <c r="AE62" s="203">
        <v>0</v>
      </c>
      <c r="AF62" s="462">
        <f t="shared" si="28"/>
        <v>0</v>
      </c>
      <c r="AG62" s="192"/>
      <c r="AH62" s="192"/>
      <c r="AI62" s="464">
        <f t="shared" si="37"/>
        <v>0</v>
      </c>
      <c r="AJ62" s="467">
        <v>73</v>
      </c>
      <c r="AK62" s="203">
        <v>43227.493150684932</v>
      </c>
      <c r="AL62" s="462">
        <f t="shared" si="35"/>
        <v>3155607</v>
      </c>
      <c r="AM62" s="244">
        <v>68</v>
      </c>
      <c r="AN62" s="177">
        <v>43984.44</v>
      </c>
      <c r="AO62" s="206">
        <f t="shared" si="38"/>
        <v>2990941.92</v>
      </c>
      <c r="AP62" s="203">
        <v>0</v>
      </c>
      <c r="AQ62" s="203">
        <v>0</v>
      </c>
      <c r="AR62" s="462">
        <f t="shared" si="12"/>
        <v>0</v>
      </c>
      <c r="AS62" s="192"/>
      <c r="AT62" s="192"/>
      <c r="AU62" s="464">
        <f t="shared" si="13"/>
        <v>0</v>
      </c>
      <c r="AV62" s="467">
        <v>0</v>
      </c>
      <c r="AW62" s="203">
        <v>0</v>
      </c>
      <c r="AX62" s="462">
        <f t="shared" si="14"/>
        <v>0</v>
      </c>
      <c r="AY62" s="192"/>
      <c r="AZ62" s="192"/>
      <c r="BA62" s="464">
        <f t="shared" si="15"/>
        <v>0</v>
      </c>
      <c r="BB62" s="467">
        <v>0</v>
      </c>
      <c r="BC62" s="203">
        <v>0</v>
      </c>
      <c r="BD62" s="462">
        <f t="shared" si="16"/>
        <v>0</v>
      </c>
      <c r="BE62" s="192"/>
      <c r="BF62" s="192"/>
      <c r="BG62" s="464">
        <f t="shared" si="17"/>
        <v>0</v>
      </c>
      <c r="BH62" s="467">
        <v>0</v>
      </c>
      <c r="BI62" s="203">
        <v>0</v>
      </c>
      <c r="BJ62" s="462">
        <f t="shared" si="18"/>
        <v>0</v>
      </c>
      <c r="BK62" s="192"/>
      <c r="BL62" s="192"/>
      <c r="BM62" s="464">
        <f t="shared" si="19"/>
        <v>0</v>
      </c>
      <c r="BN62" s="467">
        <v>0</v>
      </c>
      <c r="BO62" s="203">
        <v>0</v>
      </c>
      <c r="BP62" s="462">
        <f t="shared" si="20"/>
        <v>0</v>
      </c>
      <c r="BQ62" s="192"/>
      <c r="BR62" s="192"/>
      <c r="BS62" s="464">
        <f t="shared" si="21"/>
        <v>0</v>
      </c>
      <c r="BT62" s="467">
        <v>6</v>
      </c>
      <c r="BU62" s="203">
        <v>64897.833333333336</v>
      </c>
      <c r="BV62" s="462">
        <f t="shared" si="22"/>
        <v>318596.44339999999</v>
      </c>
      <c r="BW62" s="300">
        <v>8</v>
      </c>
      <c r="BX62" s="192">
        <v>56169.25</v>
      </c>
      <c r="BY62" s="463">
        <f t="shared" si="23"/>
        <v>367661.44280000002</v>
      </c>
    </row>
    <row r="63" spans="1:77" x14ac:dyDescent="0.2">
      <c r="A63" s="195" t="s">
        <v>105</v>
      </c>
      <c r="B63" s="196" t="s">
        <v>241</v>
      </c>
      <c r="C63" s="233"/>
      <c r="D63" s="195">
        <v>420538</v>
      </c>
      <c r="E63" s="199">
        <v>10</v>
      </c>
      <c r="F63" s="234">
        <v>0</v>
      </c>
      <c r="G63" s="208">
        <v>0</v>
      </c>
      <c r="H63" s="461">
        <f t="shared" si="24"/>
        <v>0</v>
      </c>
      <c r="I63" s="194"/>
      <c r="J63" s="194"/>
      <c r="K63" s="464">
        <f t="shared" si="25"/>
        <v>0</v>
      </c>
      <c r="L63" s="467">
        <v>0</v>
      </c>
      <c r="M63" s="203">
        <v>0</v>
      </c>
      <c r="N63" s="462">
        <f t="shared" si="29"/>
        <v>0</v>
      </c>
      <c r="O63" s="192"/>
      <c r="P63" s="192"/>
      <c r="Q63" s="464">
        <f t="shared" si="26"/>
        <v>0</v>
      </c>
      <c r="R63" s="467">
        <v>11</v>
      </c>
      <c r="S63" s="203">
        <v>48291.727272727272</v>
      </c>
      <c r="T63" s="462">
        <f t="shared" si="33"/>
        <v>531209</v>
      </c>
      <c r="U63" s="191">
        <v>11</v>
      </c>
      <c r="V63" s="191">
        <v>49742.36</v>
      </c>
      <c r="W63" s="464">
        <f t="shared" si="36"/>
        <v>547165.96</v>
      </c>
      <c r="X63" s="467">
        <v>37</v>
      </c>
      <c r="Y63" s="203">
        <v>39908.405405405407</v>
      </c>
      <c r="Z63" s="462">
        <f t="shared" si="34"/>
        <v>1476611</v>
      </c>
      <c r="AA63" s="192">
        <v>37</v>
      </c>
      <c r="AB63" s="192">
        <v>38358.89</v>
      </c>
      <c r="AC63" s="464">
        <f t="shared" si="32"/>
        <v>1419278.93</v>
      </c>
      <c r="AD63" s="467">
        <v>0</v>
      </c>
      <c r="AE63" s="203">
        <v>0</v>
      </c>
      <c r="AF63" s="462">
        <f t="shared" si="28"/>
        <v>0</v>
      </c>
      <c r="AG63" s="192"/>
      <c r="AH63" s="192"/>
      <c r="AI63" s="464">
        <f t="shared" si="37"/>
        <v>0</v>
      </c>
      <c r="AJ63" s="467">
        <v>0</v>
      </c>
      <c r="AK63" s="203">
        <v>0</v>
      </c>
      <c r="AL63" s="462">
        <f t="shared" si="35"/>
        <v>0</v>
      </c>
      <c r="AM63" s="300"/>
      <c r="AN63" s="192"/>
      <c r="AO63" s="206">
        <f t="shared" si="38"/>
        <v>0</v>
      </c>
      <c r="AP63" s="203">
        <v>0</v>
      </c>
      <c r="AQ63" s="203">
        <v>0</v>
      </c>
      <c r="AR63" s="462">
        <f t="shared" si="12"/>
        <v>0</v>
      </c>
      <c r="AS63" s="192"/>
      <c r="AT63" s="192"/>
      <c r="AU63" s="464">
        <f t="shared" si="13"/>
        <v>0</v>
      </c>
      <c r="AV63" s="467">
        <v>0</v>
      </c>
      <c r="AW63" s="203">
        <v>0</v>
      </c>
      <c r="AX63" s="462">
        <f t="shared" si="14"/>
        <v>0</v>
      </c>
      <c r="AY63" s="192"/>
      <c r="AZ63" s="192"/>
      <c r="BA63" s="464">
        <f t="shared" si="15"/>
        <v>0</v>
      </c>
      <c r="BB63" s="467">
        <v>0</v>
      </c>
      <c r="BC63" s="203">
        <v>0</v>
      </c>
      <c r="BD63" s="462">
        <f t="shared" si="16"/>
        <v>0</v>
      </c>
      <c r="BE63" s="192"/>
      <c r="BF63" s="192"/>
      <c r="BG63" s="464">
        <f t="shared" si="17"/>
        <v>0</v>
      </c>
      <c r="BH63" s="467">
        <v>0</v>
      </c>
      <c r="BI63" s="203">
        <v>0</v>
      </c>
      <c r="BJ63" s="462">
        <f t="shared" si="18"/>
        <v>0</v>
      </c>
      <c r="BK63" s="192"/>
      <c r="BL63" s="192"/>
      <c r="BM63" s="464">
        <f t="shared" si="19"/>
        <v>0</v>
      </c>
      <c r="BN63" s="467">
        <v>0</v>
      </c>
      <c r="BO63" s="203">
        <v>0</v>
      </c>
      <c r="BP63" s="462">
        <f t="shared" si="20"/>
        <v>0</v>
      </c>
      <c r="BQ63" s="192"/>
      <c r="BR63" s="192"/>
      <c r="BS63" s="464">
        <f t="shared" si="21"/>
        <v>0</v>
      </c>
      <c r="BT63" s="467">
        <v>0</v>
      </c>
      <c r="BU63" s="203">
        <v>0</v>
      </c>
      <c r="BV63" s="462">
        <f t="shared" si="22"/>
        <v>0</v>
      </c>
      <c r="BW63" s="300"/>
      <c r="BX63" s="192"/>
      <c r="BY63" s="463">
        <f t="shared" si="23"/>
        <v>0</v>
      </c>
    </row>
    <row r="64" spans="1:77" x14ac:dyDescent="0.2">
      <c r="A64" s="195" t="s">
        <v>105</v>
      </c>
      <c r="B64" s="196" t="s">
        <v>242</v>
      </c>
      <c r="C64" s="233"/>
      <c r="D64" s="195">
        <v>440402</v>
      </c>
      <c r="E64" s="199">
        <v>10</v>
      </c>
      <c r="F64" s="234">
        <v>0</v>
      </c>
      <c r="G64" s="208">
        <v>0</v>
      </c>
      <c r="H64" s="461">
        <f t="shared" si="24"/>
        <v>0</v>
      </c>
      <c r="I64" s="194"/>
      <c r="J64" s="194"/>
      <c r="K64" s="464">
        <f t="shared" si="25"/>
        <v>0</v>
      </c>
      <c r="L64" s="467">
        <v>0</v>
      </c>
      <c r="M64" s="203">
        <v>0</v>
      </c>
      <c r="N64" s="462">
        <f t="shared" si="29"/>
        <v>0</v>
      </c>
      <c r="O64" s="192"/>
      <c r="P64" s="192"/>
      <c r="Q64" s="464">
        <f t="shared" si="26"/>
        <v>0</v>
      </c>
      <c r="R64" s="467">
        <v>18</v>
      </c>
      <c r="S64" s="203">
        <v>40753.388888888891</v>
      </c>
      <c r="T64" s="462">
        <f t="shared" si="33"/>
        <v>733561</v>
      </c>
      <c r="U64" s="191">
        <v>20</v>
      </c>
      <c r="V64" s="191">
        <v>34892.199999999997</v>
      </c>
      <c r="W64" s="464">
        <f t="shared" si="36"/>
        <v>697844</v>
      </c>
      <c r="X64" s="467">
        <v>27</v>
      </c>
      <c r="Y64" s="203">
        <v>40621.703703703701</v>
      </c>
      <c r="Z64" s="462">
        <f t="shared" si="34"/>
        <v>1096786</v>
      </c>
      <c r="AA64" s="192">
        <v>26</v>
      </c>
      <c r="AB64" s="192">
        <v>43494.04</v>
      </c>
      <c r="AC64" s="464">
        <f t="shared" si="32"/>
        <v>1130845.04</v>
      </c>
      <c r="AD64" s="467">
        <v>0</v>
      </c>
      <c r="AE64" s="203">
        <v>0</v>
      </c>
      <c r="AF64" s="462">
        <f t="shared" si="28"/>
        <v>0</v>
      </c>
      <c r="AG64" s="192"/>
      <c r="AH64" s="192"/>
      <c r="AI64" s="464">
        <f t="shared" si="37"/>
        <v>0</v>
      </c>
      <c r="AJ64" s="467">
        <v>0</v>
      </c>
      <c r="AK64" s="203">
        <v>0</v>
      </c>
      <c r="AL64" s="462">
        <f t="shared" si="35"/>
        <v>0</v>
      </c>
      <c r="AM64" s="300"/>
      <c r="AN64" s="192"/>
      <c r="AO64" s="206">
        <f t="shared" si="38"/>
        <v>0</v>
      </c>
      <c r="AP64" s="203">
        <v>0</v>
      </c>
      <c r="AQ64" s="203">
        <v>0</v>
      </c>
      <c r="AR64" s="462">
        <f t="shared" si="12"/>
        <v>0</v>
      </c>
      <c r="AS64" s="192"/>
      <c r="AT64" s="192"/>
      <c r="AU64" s="464">
        <f t="shared" si="13"/>
        <v>0</v>
      </c>
      <c r="AV64" s="467">
        <v>0</v>
      </c>
      <c r="AW64" s="203">
        <v>0</v>
      </c>
      <c r="AX64" s="462">
        <f t="shared" si="14"/>
        <v>0</v>
      </c>
      <c r="AY64" s="192"/>
      <c r="AZ64" s="192"/>
      <c r="BA64" s="464">
        <f t="shared" si="15"/>
        <v>0</v>
      </c>
      <c r="BB64" s="467">
        <v>3</v>
      </c>
      <c r="BC64" s="203">
        <v>42633.666666666664</v>
      </c>
      <c r="BD64" s="462">
        <f t="shared" si="16"/>
        <v>104648.59820000001</v>
      </c>
      <c r="BE64" s="192">
        <v>5</v>
      </c>
      <c r="BF64" s="192">
        <v>36769.4</v>
      </c>
      <c r="BG64" s="464">
        <f t="shared" si="17"/>
        <v>150423.61540000001</v>
      </c>
      <c r="BH64" s="467">
        <v>14</v>
      </c>
      <c r="BI64" s="203">
        <v>45095.928571428572</v>
      </c>
      <c r="BJ64" s="462">
        <f t="shared" si="18"/>
        <v>516564.84260000003</v>
      </c>
      <c r="BK64" s="192">
        <v>14</v>
      </c>
      <c r="BL64" s="192">
        <v>48962.43</v>
      </c>
      <c r="BM64" s="464">
        <f t="shared" si="19"/>
        <v>560854.84316400008</v>
      </c>
      <c r="BN64" s="467">
        <v>0</v>
      </c>
      <c r="BO64" s="203">
        <v>0</v>
      </c>
      <c r="BP64" s="462">
        <f t="shared" si="20"/>
        <v>0</v>
      </c>
      <c r="BQ64" s="192"/>
      <c r="BR64" s="192"/>
      <c r="BS64" s="464">
        <f t="shared" si="21"/>
        <v>0</v>
      </c>
      <c r="BT64" s="467">
        <v>0</v>
      </c>
      <c r="BU64" s="203">
        <v>0</v>
      </c>
      <c r="BV64" s="462">
        <f t="shared" si="22"/>
        <v>0</v>
      </c>
      <c r="BW64" s="300"/>
      <c r="BX64" s="192"/>
      <c r="BY64" s="463">
        <f t="shared" si="23"/>
        <v>0</v>
      </c>
    </row>
    <row r="65" spans="1:77" x14ac:dyDescent="0.2">
      <c r="A65" s="195" t="s">
        <v>105</v>
      </c>
      <c r="B65" s="196" t="s">
        <v>243</v>
      </c>
      <c r="C65" s="233" t="s">
        <v>328</v>
      </c>
      <c r="D65" s="195">
        <v>106625</v>
      </c>
      <c r="E65" s="199">
        <v>10</v>
      </c>
      <c r="F65" s="234">
        <v>0</v>
      </c>
      <c r="G65" s="208">
        <v>0</v>
      </c>
      <c r="H65" s="461">
        <f t="shared" si="24"/>
        <v>0</v>
      </c>
      <c r="I65" s="194"/>
      <c r="J65" s="194"/>
      <c r="K65" s="464">
        <f t="shared" si="25"/>
        <v>0</v>
      </c>
      <c r="L65" s="467">
        <v>0</v>
      </c>
      <c r="M65" s="203">
        <v>0</v>
      </c>
      <c r="N65" s="462">
        <f t="shared" si="29"/>
        <v>0</v>
      </c>
      <c r="O65" s="192"/>
      <c r="P65" s="192"/>
      <c r="Q65" s="464">
        <f t="shared" si="26"/>
        <v>0</v>
      </c>
      <c r="R65" s="467">
        <v>0</v>
      </c>
      <c r="S65" s="203">
        <v>0</v>
      </c>
      <c r="T65" s="462">
        <f t="shared" si="33"/>
        <v>0</v>
      </c>
      <c r="U65" s="191"/>
      <c r="V65" s="191"/>
      <c r="W65" s="464">
        <f t="shared" si="36"/>
        <v>0</v>
      </c>
      <c r="X65" s="467">
        <v>0</v>
      </c>
      <c r="Y65" s="203">
        <v>0</v>
      </c>
      <c r="Z65" s="462">
        <f t="shared" si="34"/>
        <v>0</v>
      </c>
      <c r="AA65" s="192"/>
      <c r="AB65" s="192"/>
      <c r="AC65" s="464">
        <f t="shared" si="32"/>
        <v>0</v>
      </c>
      <c r="AD65" s="467">
        <v>0</v>
      </c>
      <c r="AE65" s="203">
        <v>0</v>
      </c>
      <c r="AF65" s="462">
        <f t="shared" si="28"/>
        <v>0</v>
      </c>
      <c r="AG65" s="192"/>
      <c r="AH65" s="192"/>
      <c r="AI65" s="464">
        <f t="shared" si="37"/>
        <v>0</v>
      </c>
      <c r="AJ65" s="467">
        <v>64</v>
      </c>
      <c r="AK65" s="203">
        <v>41392.75</v>
      </c>
      <c r="AL65" s="462">
        <f t="shared" si="35"/>
        <v>2649136</v>
      </c>
      <c r="AM65" s="300">
        <v>62</v>
      </c>
      <c r="AN65" s="192">
        <v>41205.339999999997</v>
      </c>
      <c r="AO65" s="206">
        <f t="shared" si="38"/>
        <v>2554731.0799999996</v>
      </c>
      <c r="AP65" s="203">
        <v>0</v>
      </c>
      <c r="AQ65" s="203">
        <v>0</v>
      </c>
      <c r="AR65" s="462">
        <f t="shared" si="12"/>
        <v>0</v>
      </c>
      <c r="AS65" s="192"/>
      <c r="AT65" s="192"/>
      <c r="AU65" s="464">
        <f t="shared" si="13"/>
        <v>0</v>
      </c>
      <c r="AV65" s="467">
        <v>0</v>
      </c>
      <c r="AW65" s="203">
        <v>0</v>
      </c>
      <c r="AX65" s="462">
        <f t="shared" si="14"/>
        <v>0</v>
      </c>
      <c r="AY65" s="192"/>
      <c r="AZ65" s="192"/>
      <c r="BA65" s="464">
        <f t="shared" si="15"/>
        <v>0</v>
      </c>
      <c r="BB65" s="467">
        <v>0</v>
      </c>
      <c r="BC65" s="203">
        <v>0</v>
      </c>
      <c r="BD65" s="462">
        <f t="shared" si="16"/>
        <v>0</v>
      </c>
      <c r="BE65" s="192"/>
      <c r="BF65" s="192"/>
      <c r="BG65" s="464">
        <f t="shared" si="17"/>
        <v>0</v>
      </c>
      <c r="BH65" s="467">
        <v>0</v>
      </c>
      <c r="BI65" s="203">
        <v>0</v>
      </c>
      <c r="BJ65" s="462">
        <f t="shared" si="18"/>
        <v>0</v>
      </c>
      <c r="BK65" s="192"/>
      <c r="BL65" s="192"/>
      <c r="BM65" s="464">
        <f t="shared" si="19"/>
        <v>0</v>
      </c>
      <c r="BN65" s="467">
        <v>0</v>
      </c>
      <c r="BO65" s="203">
        <v>0</v>
      </c>
      <c r="BP65" s="462">
        <f t="shared" si="20"/>
        <v>0</v>
      </c>
      <c r="BQ65" s="192"/>
      <c r="BR65" s="192"/>
      <c r="BS65" s="464">
        <f t="shared" si="21"/>
        <v>0</v>
      </c>
      <c r="BT65" s="467">
        <v>4</v>
      </c>
      <c r="BU65" s="203">
        <v>48859.5</v>
      </c>
      <c r="BV65" s="462">
        <f t="shared" si="22"/>
        <v>159907.37160000001</v>
      </c>
      <c r="BW65" s="300">
        <v>5</v>
      </c>
      <c r="BX65" s="192">
        <v>53669.2</v>
      </c>
      <c r="BY65" s="463">
        <f t="shared" si="23"/>
        <v>219560.69720000002</v>
      </c>
    </row>
    <row r="66" spans="1:77" x14ac:dyDescent="0.2">
      <c r="A66" s="195" t="s">
        <v>105</v>
      </c>
      <c r="B66" s="196" t="s">
        <v>329</v>
      </c>
      <c r="C66" s="238" t="s">
        <v>330</v>
      </c>
      <c r="D66" s="195">
        <v>107521</v>
      </c>
      <c r="E66" s="199">
        <v>10</v>
      </c>
      <c r="F66" s="234">
        <v>0</v>
      </c>
      <c r="G66" s="208">
        <v>0</v>
      </c>
      <c r="H66" s="461">
        <f t="shared" si="24"/>
        <v>0</v>
      </c>
      <c r="I66" s="194"/>
      <c r="J66" s="194"/>
      <c r="K66" s="464">
        <f t="shared" si="25"/>
        <v>0</v>
      </c>
      <c r="L66" s="467">
        <v>0</v>
      </c>
      <c r="M66" s="203">
        <v>0</v>
      </c>
      <c r="N66" s="462">
        <f t="shared" si="29"/>
        <v>0</v>
      </c>
      <c r="O66" s="192"/>
      <c r="P66" s="192"/>
      <c r="Q66" s="464">
        <f t="shared" si="26"/>
        <v>0</v>
      </c>
      <c r="R66" s="467">
        <v>0</v>
      </c>
      <c r="S66" s="203">
        <v>0</v>
      </c>
      <c r="T66" s="462">
        <f t="shared" si="33"/>
        <v>0</v>
      </c>
      <c r="U66" s="191"/>
      <c r="V66" s="191"/>
      <c r="W66" s="464">
        <f t="shared" si="36"/>
        <v>0</v>
      </c>
      <c r="X66" s="467">
        <v>0</v>
      </c>
      <c r="Y66" s="203">
        <v>0</v>
      </c>
      <c r="Z66" s="462">
        <f t="shared" si="34"/>
        <v>0</v>
      </c>
      <c r="AA66" s="192"/>
      <c r="AB66" s="192"/>
      <c r="AC66" s="464">
        <f t="shared" si="32"/>
        <v>0</v>
      </c>
      <c r="AD66" s="467">
        <v>0</v>
      </c>
      <c r="AE66" s="203">
        <v>0</v>
      </c>
      <c r="AF66" s="462">
        <f t="shared" si="28"/>
        <v>0</v>
      </c>
      <c r="AG66" s="192"/>
      <c r="AH66" s="192"/>
      <c r="AI66" s="464">
        <f t="shared" si="37"/>
        <v>0</v>
      </c>
      <c r="AJ66" s="467">
        <v>32</v>
      </c>
      <c r="AK66" s="203">
        <v>43168.21875</v>
      </c>
      <c r="AL66" s="462">
        <f t="shared" si="35"/>
        <v>1381383</v>
      </c>
      <c r="AM66" s="300">
        <v>35</v>
      </c>
      <c r="AN66" s="192">
        <v>42130.03</v>
      </c>
      <c r="AO66" s="206">
        <f t="shared" si="38"/>
        <v>1474551.05</v>
      </c>
      <c r="AP66" s="203">
        <v>0</v>
      </c>
      <c r="AQ66" s="203">
        <v>0</v>
      </c>
      <c r="AR66" s="462">
        <f t="shared" si="12"/>
        <v>0</v>
      </c>
      <c r="AS66" s="192"/>
      <c r="AT66" s="192"/>
      <c r="AU66" s="464">
        <f t="shared" si="13"/>
        <v>0</v>
      </c>
      <c r="AV66" s="467">
        <v>0</v>
      </c>
      <c r="AW66" s="203">
        <v>0</v>
      </c>
      <c r="AX66" s="462">
        <f t="shared" si="14"/>
        <v>0</v>
      </c>
      <c r="AY66" s="192"/>
      <c r="AZ66" s="192"/>
      <c r="BA66" s="464">
        <f t="shared" si="15"/>
        <v>0</v>
      </c>
      <c r="BB66" s="467">
        <v>0</v>
      </c>
      <c r="BC66" s="203">
        <v>0</v>
      </c>
      <c r="BD66" s="462">
        <f t="shared" si="16"/>
        <v>0</v>
      </c>
      <c r="BE66" s="192"/>
      <c r="BF66" s="192"/>
      <c r="BG66" s="464">
        <f t="shared" si="17"/>
        <v>0</v>
      </c>
      <c r="BH66" s="467">
        <v>0</v>
      </c>
      <c r="BI66" s="203">
        <v>0</v>
      </c>
      <c r="BJ66" s="462">
        <f t="shared" si="18"/>
        <v>0</v>
      </c>
      <c r="BK66" s="192"/>
      <c r="BL66" s="192"/>
      <c r="BM66" s="464">
        <f t="shared" si="19"/>
        <v>0</v>
      </c>
      <c r="BN66" s="467">
        <v>0</v>
      </c>
      <c r="BO66" s="203">
        <v>0</v>
      </c>
      <c r="BP66" s="462">
        <f t="shared" si="20"/>
        <v>0</v>
      </c>
      <c r="BQ66" s="192"/>
      <c r="BR66" s="192"/>
      <c r="BS66" s="464">
        <f t="shared" si="21"/>
        <v>0</v>
      </c>
      <c r="BT66" s="467">
        <v>8</v>
      </c>
      <c r="BU66" s="203">
        <v>41268.875</v>
      </c>
      <c r="BV66" s="462">
        <f t="shared" si="22"/>
        <v>270129.54820000002</v>
      </c>
      <c r="BW66" s="300">
        <v>5</v>
      </c>
      <c r="BX66" s="192">
        <v>44431.6</v>
      </c>
      <c r="BY66" s="463">
        <f t="shared" si="23"/>
        <v>181769.67560000002</v>
      </c>
    </row>
    <row r="67" spans="1:77" x14ac:dyDescent="0.2">
      <c r="A67" s="195" t="s">
        <v>105</v>
      </c>
      <c r="B67" s="196" t="s">
        <v>244</v>
      </c>
      <c r="C67" s="233"/>
      <c r="D67" s="195">
        <v>106795</v>
      </c>
      <c r="E67" s="199">
        <v>10</v>
      </c>
      <c r="F67" s="234">
        <v>0</v>
      </c>
      <c r="G67" s="208">
        <v>0</v>
      </c>
      <c r="H67" s="461">
        <f t="shared" si="24"/>
        <v>0</v>
      </c>
      <c r="I67" s="194"/>
      <c r="J67" s="194"/>
      <c r="K67" s="464">
        <f t="shared" si="25"/>
        <v>0</v>
      </c>
      <c r="L67" s="467">
        <v>0</v>
      </c>
      <c r="M67" s="203">
        <v>0</v>
      </c>
      <c r="N67" s="462">
        <f t="shared" si="29"/>
        <v>0</v>
      </c>
      <c r="O67" s="192"/>
      <c r="P67" s="192"/>
      <c r="Q67" s="464">
        <f t="shared" si="26"/>
        <v>0</v>
      </c>
      <c r="R67" s="467">
        <v>0</v>
      </c>
      <c r="S67" s="203">
        <v>0</v>
      </c>
      <c r="T67" s="462">
        <f t="shared" si="33"/>
        <v>0</v>
      </c>
      <c r="U67" s="191"/>
      <c r="V67" s="191"/>
      <c r="W67" s="464">
        <f t="shared" si="36"/>
        <v>0</v>
      </c>
      <c r="X67" s="467">
        <v>0</v>
      </c>
      <c r="Y67" s="203">
        <v>0</v>
      </c>
      <c r="Z67" s="462">
        <f t="shared" si="34"/>
        <v>0</v>
      </c>
      <c r="AA67" s="192"/>
      <c r="AB67" s="192"/>
      <c r="AC67" s="464">
        <f t="shared" si="32"/>
        <v>0</v>
      </c>
      <c r="AD67" s="467">
        <v>0</v>
      </c>
      <c r="AE67" s="203">
        <v>0</v>
      </c>
      <c r="AF67" s="462">
        <f t="shared" si="28"/>
        <v>0</v>
      </c>
      <c r="AG67" s="192"/>
      <c r="AH67" s="192"/>
      <c r="AI67" s="464">
        <f t="shared" si="37"/>
        <v>0</v>
      </c>
      <c r="AJ67" s="467">
        <v>31</v>
      </c>
      <c r="AK67" s="203">
        <v>39934.774193548386</v>
      </c>
      <c r="AL67" s="462">
        <f t="shared" si="35"/>
        <v>1237978</v>
      </c>
      <c r="AM67" s="300">
        <v>29</v>
      </c>
      <c r="AN67" s="192">
        <v>40860.550000000003</v>
      </c>
      <c r="AO67" s="206">
        <f t="shared" si="38"/>
        <v>1184955.9500000002</v>
      </c>
      <c r="AP67" s="203">
        <v>0</v>
      </c>
      <c r="AQ67" s="203">
        <v>0</v>
      </c>
      <c r="AR67" s="462">
        <f t="shared" si="12"/>
        <v>0</v>
      </c>
      <c r="AS67" s="192"/>
      <c r="AT67" s="192"/>
      <c r="AU67" s="464">
        <f t="shared" si="13"/>
        <v>0</v>
      </c>
      <c r="AV67" s="467">
        <v>0</v>
      </c>
      <c r="AW67" s="203">
        <v>0</v>
      </c>
      <c r="AX67" s="462">
        <f t="shared" si="14"/>
        <v>0</v>
      </c>
      <c r="AY67" s="192"/>
      <c r="AZ67" s="192"/>
      <c r="BA67" s="464">
        <f t="shared" si="15"/>
        <v>0</v>
      </c>
      <c r="BB67" s="467">
        <v>0</v>
      </c>
      <c r="BC67" s="203">
        <v>0</v>
      </c>
      <c r="BD67" s="462">
        <f t="shared" si="16"/>
        <v>0</v>
      </c>
      <c r="BE67" s="192"/>
      <c r="BF67" s="192"/>
      <c r="BG67" s="464">
        <f t="shared" si="17"/>
        <v>0</v>
      </c>
      <c r="BH67" s="467">
        <v>0</v>
      </c>
      <c r="BI67" s="203">
        <v>0</v>
      </c>
      <c r="BJ67" s="462">
        <f t="shared" si="18"/>
        <v>0</v>
      </c>
      <c r="BK67" s="192"/>
      <c r="BL67" s="192"/>
      <c r="BM67" s="464">
        <f t="shared" si="19"/>
        <v>0</v>
      </c>
      <c r="BN67" s="467">
        <v>0</v>
      </c>
      <c r="BO67" s="203">
        <v>0</v>
      </c>
      <c r="BP67" s="462">
        <f t="shared" si="20"/>
        <v>0</v>
      </c>
      <c r="BQ67" s="192"/>
      <c r="BR67" s="192"/>
      <c r="BS67" s="464">
        <f t="shared" si="21"/>
        <v>0</v>
      </c>
      <c r="BT67" s="467">
        <v>3</v>
      </c>
      <c r="BU67" s="203">
        <v>39708.333333333336</v>
      </c>
      <c r="BV67" s="462">
        <f t="shared" si="22"/>
        <v>97468.075000000012</v>
      </c>
      <c r="BW67" s="300">
        <v>6</v>
      </c>
      <c r="BX67" s="192">
        <v>44502</v>
      </c>
      <c r="BY67" s="463">
        <f t="shared" si="23"/>
        <v>218469.21840000001</v>
      </c>
    </row>
    <row r="68" spans="1:77" x14ac:dyDescent="0.2">
      <c r="A68" s="195" t="s">
        <v>105</v>
      </c>
      <c r="B68" s="196" t="s">
        <v>245</v>
      </c>
      <c r="C68" s="233"/>
      <c r="D68" s="195">
        <v>106883</v>
      </c>
      <c r="E68" s="199">
        <v>10</v>
      </c>
      <c r="F68" s="234">
        <v>0</v>
      </c>
      <c r="G68" s="208">
        <v>0</v>
      </c>
      <c r="H68" s="461">
        <f t="shared" si="24"/>
        <v>0</v>
      </c>
      <c r="I68" s="194"/>
      <c r="J68" s="194"/>
      <c r="K68" s="464">
        <f t="shared" si="25"/>
        <v>0</v>
      </c>
      <c r="L68" s="467">
        <v>0</v>
      </c>
      <c r="M68" s="203">
        <v>0</v>
      </c>
      <c r="N68" s="462">
        <f t="shared" si="29"/>
        <v>0</v>
      </c>
      <c r="O68" s="192"/>
      <c r="P68" s="192"/>
      <c r="Q68" s="464">
        <f t="shared" si="26"/>
        <v>0</v>
      </c>
      <c r="R68" s="467">
        <v>0</v>
      </c>
      <c r="S68" s="203">
        <v>0</v>
      </c>
      <c r="T68" s="462">
        <f t="shared" si="33"/>
        <v>0</v>
      </c>
      <c r="U68" s="191"/>
      <c r="V68" s="191"/>
      <c r="W68" s="464">
        <f t="shared" si="36"/>
        <v>0</v>
      </c>
      <c r="X68" s="467">
        <v>0</v>
      </c>
      <c r="Y68" s="203">
        <v>0</v>
      </c>
      <c r="Z68" s="462">
        <f t="shared" si="34"/>
        <v>0</v>
      </c>
      <c r="AA68" s="192"/>
      <c r="AB68" s="192"/>
      <c r="AC68" s="464">
        <f t="shared" si="32"/>
        <v>0</v>
      </c>
      <c r="AD68" s="467">
        <v>0</v>
      </c>
      <c r="AE68" s="203">
        <v>0</v>
      </c>
      <c r="AF68" s="462">
        <f t="shared" si="28"/>
        <v>0</v>
      </c>
      <c r="AG68" s="192"/>
      <c r="AH68" s="192"/>
      <c r="AI68" s="464">
        <f t="shared" si="37"/>
        <v>0</v>
      </c>
      <c r="AJ68" s="467">
        <v>28</v>
      </c>
      <c r="AK68" s="203">
        <v>46553.5</v>
      </c>
      <c r="AL68" s="462">
        <f t="shared" si="35"/>
        <v>1303498</v>
      </c>
      <c r="AM68" s="300">
        <v>26</v>
      </c>
      <c r="AN68" s="192">
        <v>46795.65</v>
      </c>
      <c r="AO68" s="206">
        <f t="shared" si="38"/>
        <v>1216686.9000000001</v>
      </c>
      <c r="AP68" s="203">
        <v>0</v>
      </c>
      <c r="AQ68" s="203">
        <v>0</v>
      </c>
      <c r="AR68" s="462">
        <f t="shared" si="12"/>
        <v>0</v>
      </c>
      <c r="AS68" s="192"/>
      <c r="AT68" s="192"/>
      <c r="AU68" s="464">
        <f t="shared" si="13"/>
        <v>0</v>
      </c>
      <c r="AV68" s="467">
        <v>0</v>
      </c>
      <c r="AW68" s="203">
        <v>0</v>
      </c>
      <c r="AX68" s="462">
        <f t="shared" si="14"/>
        <v>0</v>
      </c>
      <c r="AY68" s="192"/>
      <c r="AZ68" s="192"/>
      <c r="BA68" s="464">
        <f t="shared" si="15"/>
        <v>0</v>
      </c>
      <c r="BB68" s="467">
        <v>0</v>
      </c>
      <c r="BC68" s="203">
        <v>0</v>
      </c>
      <c r="BD68" s="462">
        <f t="shared" si="16"/>
        <v>0</v>
      </c>
      <c r="BE68" s="192"/>
      <c r="BF68" s="192"/>
      <c r="BG68" s="464">
        <f t="shared" si="17"/>
        <v>0</v>
      </c>
      <c r="BH68" s="467">
        <v>0</v>
      </c>
      <c r="BI68" s="203">
        <v>0</v>
      </c>
      <c r="BJ68" s="462">
        <f t="shared" si="18"/>
        <v>0</v>
      </c>
      <c r="BK68" s="192"/>
      <c r="BL68" s="192"/>
      <c r="BM68" s="464">
        <f t="shared" si="19"/>
        <v>0</v>
      </c>
      <c r="BN68" s="467">
        <v>0</v>
      </c>
      <c r="BO68" s="203">
        <v>0</v>
      </c>
      <c r="BP68" s="462">
        <f t="shared" si="20"/>
        <v>0</v>
      </c>
      <c r="BQ68" s="192"/>
      <c r="BR68" s="192"/>
      <c r="BS68" s="464">
        <f t="shared" si="21"/>
        <v>0</v>
      </c>
      <c r="BT68" s="467">
        <v>6</v>
      </c>
      <c r="BU68" s="203">
        <v>50731.833333333336</v>
      </c>
      <c r="BV68" s="462">
        <f t="shared" si="22"/>
        <v>249052.71620000002</v>
      </c>
      <c r="BW68" s="300">
        <v>9</v>
      </c>
      <c r="BX68" s="192">
        <v>51291.89</v>
      </c>
      <c r="BY68" s="463">
        <f t="shared" si="23"/>
        <v>377703.21958200005</v>
      </c>
    </row>
    <row r="69" spans="1:77" x14ac:dyDescent="0.2">
      <c r="A69" s="195" t="s">
        <v>105</v>
      </c>
      <c r="B69" s="196" t="s">
        <v>246</v>
      </c>
      <c r="C69" s="233"/>
      <c r="D69" s="195">
        <v>107318</v>
      </c>
      <c r="E69" s="199">
        <v>10</v>
      </c>
      <c r="F69" s="234">
        <v>0</v>
      </c>
      <c r="G69" s="208">
        <v>0</v>
      </c>
      <c r="H69" s="461">
        <f t="shared" si="24"/>
        <v>0</v>
      </c>
      <c r="I69" s="194"/>
      <c r="J69" s="194"/>
      <c r="K69" s="464">
        <f t="shared" si="25"/>
        <v>0</v>
      </c>
      <c r="L69" s="467">
        <v>0</v>
      </c>
      <c r="M69" s="203">
        <v>0</v>
      </c>
      <c r="N69" s="462">
        <f t="shared" si="29"/>
        <v>0</v>
      </c>
      <c r="O69" s="192"/>
      <c r="P69" s="192"/>
      <c r="Q69" s="464">
        <f t="shared" si="26"/>
        <v>0</v>
      </c>
      <c r="R69" s="467">
        <v>0</v>
      </c>
      <c r="S69" s="203">
        <v>0</v>
      </c>
      <c r="T69" s="462">
        <f t="shared" si="33"/>
        <v>0</v>
      </c>
      <c r="U69" s="191"/>
      <c r="V69" s="191"/>
      <c r="W69" s="464">
        <f t="shared" si="36"/>
        <v>0</v>
      </c>
      <c r="X69" s="467">
        <v>0</v>
      </c>
      <c r="Y69" s="203">
        <v>0</v>
      </c>
      <c r="Z69" s="462">
        <f t="shared" si="34"/>
        <v>0</v>
      </c>
      <c r="AA69" s="192"/>
      <c r="AB69" s="192"/>
      <c r="AC69" s="464">
        <f t="shared" si="32"/>
        <v>0</v>
      </c>
      <c r="AD69" s="467">
        <v>0</v>
      </c>
      <c r="AE69" s="203">
        <v>0</v>
      </c>
      <c r="AF69" s="462">
        <f t="shared" si="28"/>
        <v>0</v>
      </c>
      <c r="AG69" s="192"/>
      <c r="AH69" s="192"/>
      <c r="AI69" s="464">
        <f t="shared" si="37"/>
        <v>0</v>
      </c>
      <c r="AJ69" s="467">
        <v>28</v>
      </c>
      <c r="AK69" s="203">
        <v>41124.25</v>
      </c>
      <c r="AL69" s="462">
        <f t="shared" si="35"/>
        <v>1151479</v>
      </c>
      <c r="AM69" s="300">
        <v>27</v>
      </c>
      <c r="AN69" s="192">
        <v>40701.81</v>
      </c>
      <c r="AO69" s="206">
        <f t="shared" si="38"/>
        <v>1098948.8699999999</v>
      </c>
      <c r="AP69" s="203">
        <v>0</v>
      </c>
      <c r="AQ69" s="203">
        <v>0</v>
      </c>
      <c r="AR69" s="462">
        <f t="shared" si="12"/>
        <v>0</v>
      </c>
      <c r="AS69" s="192"/>
      <c r="AT69" s="192"/>
      <c r="AU69" s="464">
        <f t="shared" si="13"/>
        <v>0</v>
      </c>
      <c r="AV69" s="467">
        <v>0</v>
      </c>
      <c r="AW69" s="203">
        <v>0</v>
      </c>
      <c r="AX69" s="462">
        <f t="shared" si="14"/>
        <v>0</v>
      </c>
      <c r="AY69" s="192"/>
      <c r="AZ69" s="192"/>
      <c r="BA69" s="464">
        <f t="shared" si="15"/>
        <v>0</v>
      </c>
      <c r="BB69" s="467">
        <v>0</v>
      </c>
      <c r="BC69" s="203">
        <v>0</v>
      </c>
      <c r="BD69" s="462">
        <f t="shared" si="16"/>
        <v>0</v>
      </c>
      <c r="BE69" s="192"/>
      <c r="BF69" s="192"/>
      <c r="BG69" s="464">
        <f t="shared" si="17"/>
        <v>0</v>
      </c>
      <c r="BH69" s="467">
        <v>0</v>
      </c>
      <c r="BI69" s="203">
        <v>0</v>
      </c>
      <c r="BJ69" s="462">
        <f t="shared" si="18"/>
        <v>0</v>
      </c>
      <c r="BK69" s="192"/>
      <c r="BL69" s="192"/>
      <c r="BM69" s="464">
        <f t="shared" si="19"/>
        <v>0</v>
      </c>
      <c r="BN69" s="467">
        <v>0</v>
      </c>
      <c r="BO69" s="203">
        <v>0</v>
      </c>
      <c r="BP69" s="462">
        <f t="shared" si="20"/>
        <v>0</v>
      </c>
      <c r="BQ69" s="192"/>
      <c r="BR69" s="192"/>
      <c r="BS69" s="464">
        <f t="shared" si="21"/>
        <v>0</v>
      </c>
      <c r="BT69" s="467">
        <v>12</v>
      </c>
      <c r="BU69" s="203">
        <v>56038.333333333336</v>
      </c>
      <c r="BV69" s="462">
        <f t="shared" si="22"/>
        <v>550206.772</v>
      </c>
      <c r="BW69" s="300">
        <v>13</v>
      </c>
      <c r="BX69" s="192">
        <v>51458.46</v>
      </c>
      <c r="BY69" s="463">
        <f t="shared" si="23"/>
        <v>547343.055636</v>
      </c>
    </row>
    <row r="70" spans="1:77" x14ac:dyDescent="0.2">
      <c r="A70" s="195" t="s">
        <v>105</v>
      </c>
      <c r="B70" s="196" t="s">
        <v>248</v>
      </c>
      <c r="C70" s="233"/>
      <c r="D70" s="195">
        <v>107460</v>
      </c>
      <c r="E70" s="199">
        <v>10</v>
      </c>
      <c r="F70" s="234">
        <v>0</v>
      </c>
      <c r="G70" s="208">
        <v>0</v>
      </c>
      <c r="H70" s="461">
        <f t="shared" si="24"/>
        <v>0</v>
      </c>
      <c r="I70" s="194"/>
      <c r="J70" s="194"/>
      <c r="K70" s="464">
        <f t="shared" si="25"/>
        <v>0</v>
      </c>
      <c r="L70" s="467">
        <v>0</v>
      </c>
      <c r="M70" s="203">
        <v>0</v>
      </c>
      <c r="N70" s="462">
        <f t="shared" si="29"/>
        <v>0</v>
      </c>
      <c r="O70" s="192"/>
      <c r="P70" s="192"/>
      <c r="Q70" s="464">
        <f t="shared" si="26"/>
        <v>0</v>
      </c>
      <c r="R70" s="467">
        <v>0</v>
      </c>
      <c r="S70" s="203">
        <v>0</v>
      </c>
      <c r="T70" s="462">
        <f t="shared" si="33"/>
        <v>0</v>
      </c>
      <c r="U70" s="191"/>
      <c r="V70" s="191"/>
      <c r="W70" s="464">
        <f t="shared" si="36"/>
        <v>0</v>
      </c>
      <c r="X70" s="467">
        <v>0</v>
      </c>
      <c r="Y70" s="203">
        <v>0</v>
      </c>
      <c r="Z70" s="462">
        <f t="shared" si="34"/>
        <v>0</v>
      </c>
      <c r="AA70" s="192"/>
      <c r="AB70" s="192"/>
      <c r="AC70" s="464">
        <f t="shared" si="32"/>
        <v>0</v>
      </c>
      <c r="AD70" s="467">
        <v>0</v>
      </c>
      <c r="AE70" s="203">
        <v>0</v>
      </c>
      <c r="AF70" s="462">
        <f t="shared" si="28"/>
        <v>0</v>
      </c>
      <c r="AG70" s="192"/>
      <c r="AH70" s="192"/>
      <c r="AI70" s="464">
        <f t="shared" si="37"/>
        <v>0</v>
      </c>
      <c r="AJ70" s="467">
        <v>56</v>
      </c>
      <c r="AK70" s="203">
        <v>46755.571428571428</v>
      </c>
      <c r="AL70" s="462">
        <f t="shared" si="35"/>
        <v>2618312</v>
      </c>
      <c r="AM70" s="300">
        <v>60</v>
      </c>
      <c r="AN70" s="192">
        <v>45685.18</v>
      </c>
      <c r="AO70" s="206">
        <f t="shared" si="38"/>
        <v>2741110.8</v>
      </c>
      <c r="AP70" s="203">
        <v>0</v>
      </c>
      <c r="AQ70" s="203">
        <v>0</v>
      </c>
      <c r="AR70" s="462">
        <f t="shared" si="12"/>
        <v>0</v>
      </c>
      <c r="AS70" s="192"/>
      <c r="AT70" s="192"/>
      <c r="AU70" s="464">
        <f t="shared" si="13"/>
        <v>0</v>
      </c>
      <c r="AV70" s="467">
        <v>0</v>
      </c>
      <c r="AW70" s="203">
        <v>0</v>
      </c>
      <c r="AX70" s="462">
        <f t="shared" si="14"/>
        <v>0</v>
      </c>
      <c r="AY70" s="192"/>
      <c r="AZ70" s="192"/>
      <c r="BA70" s="464">
        <f t="shared" si="15"/>
        <v>0</v>
      </c>
      <c r="BB70" s="467">
        <v>0</v>
      </c>
      <c r="BC70" s="203">
        <v>0</v>
      </c>
      <c r="BD70" s="462">
        <f t="shared" si="16"/>
        <v>0</v>
      </c>
      <c r="BE70" s="192"/>
      <c r="BF70" s="192"/>
      <c r="BG70" s="464">
        <f t="shared" si="17"/>
        <v>0</v>
      </c>
      <c r="BH70" s="467">
        <v>0</v>
      </c>
      <c r="BI70" s="203">
        <v>0</v>
      </c>
      <c r="BJ70" s="462">
        <f t="shared" si="18"/>
        <v>0</v>
      </c>
      <c r="BK70" s="192"/>
      <c r="BL70" s="192"/>
      <c r="BM70" s="464">
        <f t="shared" si="19"/>
        <v>0</v>
      </c>
      <c r="BN70" s="467">
        <v>0</v>
      </c>
      <c r="BO70" s="203">
        <v>0</v>
      </c>
      <c r="BP70" s="462">
        <f t="shared" si="20"/>
        <v>0</v>
      </c>
      <c r="BQ70" s="192"/>
      <c r="BR70" s="192"/>
      <c r="BS70" s="464">
        <f t="shared" si="21"/>
        <v>0</v>
      </c>
      <c r="BT70" s="467">
        <v>9</v>
      </c>
      <c r="BU70" s="203">
        <v>56043.111111111109</v>
      </c>
      <c r="BV70" s="462">
        <f t="shared" si="22"/>
        <v>412690.26160000003</v>
      </c>
      <c r="BW70" s="300">
        <v>10</v>
      </c>
      <c r="BX70" s="192">
        <v>51980.1</v>
      </c>
      <c r="BY70" s="463">
        <f t="shared" si="23"/>
        <v>425301.17820000002</v>
      </c>
    </row>
    <row r="71" spans="1:77" x14ac:dyDescent="0.2">
      <c r="A71" s="195" t="s">
        <v>105</v>
      </c>
      <c r="B71" s="196" t="s">
        <v>249</v>
      </c>
      <c r="C71" s="233"/>
      <c r="D71" s="195">
        <v>107549</v>
      </c>
      <c r="E71" s="199">
        <v>10</v>
      </c>
      <c r="F71" s="234">
        <v>0</v>
      </c>
      <c r="G71" s="208">
        <v>0</v>
      </c>
      <c r="H71" s="461">
        <f t="shared" si="24"/>
        <v>0</v>
      </c>
      <c r="I71" s="194"/>
      <c r="J71" s="194"/>
      <c r="K71" s="464">
        <f t="shared" si="25"/>
        <v>0</v>
      </c>
      <c r="L71" s="467">
        <v>0</v>
      </c>
      <c r="M71" s="203">
        <v>0</v>
      </c>
      <c r="N71" s="462">
        <f t="shared" si="29"/>
        <v>0</v>
      </c>
      <c r="O71" s="192"/>
      <c r="P71" s="192"/>
      <c r="Q71" s="464">
        <f t="shared" si="26"/>
        <v>0</v>
      </c>
      <c r="R71" s="467">
        <v>0</v>
      </c>
      <c r="S71" s="203">
        <v>0</v>
      </c>
      <c r="T71" s="462">
        <f t="shared" si="33"/>
        <v>0</v>
      </c>
      <c r="U71" s="191"/>
      <c r="V71" s="191"/>
      <c r="W71" s="464">
        <f t="shared" si="36"/>
        <v>0</v>
      </c>
      <c r="X71" s="467">
        <v>0</v>
      </c>
      <c r="Y71" s="203">
        <v>0</v>
      </c>
      <c r="Z71" s="462">
        <f t="shared" si="34"/>
        <v>0</v>
      </c>
      <c r="AA71" s="192"/>
      <c r="AB71" s="192"/>
      <c r="AC71" s="464">
        <f t="shared" si="32"/>
        <v>0</v>
      </c>
      <c r="AD71" s="467">
        <v>0</v>
      </c>
      <c r="AE71" s="203">
        <v>0</v>
      </c>
      <c r="AF71" s="462">
        <f t="shared" si="28"/>
        <v>0</v>
      </c>
      <c r="AG71" s="192"/>
      <c r="AH71" s="192"/>
      <c r="AI71" s="464">
        <f t="shared" si="37"/>
        <v>0</v>
      </c>
      <c r="AJ71" s="467">
        <v>28</v>
      </c>
      <c r="AK71" s="203">
        <v>39972.892857142855</v>
      </c>
      <c r="AL71" s="462">
        <f t="shared" si="35"/>
        <v>1119241</v>
      </c>
      <c r="AM71" s="300">
        <v>31</v>
      </c>
      <c r="AN71" s="192">
        <v>39436.449999999997</v>
      </c>
      <c r="AO71" s="206">
        <f t="shared" si="38"/>
        <v>1222529.95</v>
      </c>
      <c r="AP71" s="203">
        <v>0</v>
      </c>
      <c r="AQ71" s="203">
        <v>0</v>
      </c>
      <c r="AR71" s="462">
        <f t="shared" si="12"/>
        <v>0</v>
      </c>
      <c r="AS71" s="192"/>
      <c r="AT71" s="192"/>
      <c r="AU71" s="464">
        <f t="shared" si="13"/>
        <v>0</v>
      </c>
      <c r="AV71" s="467">
        <v>0</v>
      </c>
      <c r="AW71" s="203">
        <v>0</v>
      </c>
      <c r="AX71" s="462">
        <f t="shared" si="14"/>
        <v>0</v>
      </c>
      <c r="AY71" s="192"/>
      <c r="AZ71" s="192"/>
      <c r="BA71" s="464">
        <f t="shared" si="15"/>
        <v>0</v>
      </c>
      <c r="BB71" s="467">
        <v>0</v>
      </c>
      <c r="BC71" s="203">
        <v>0</v>
      </c>
      <c r="BD71" s="462">
        <f t="shared" si="16"/>
        <v>0</v>
      </c>
      <c r="BE71" s="192"/>
      <c r="BF71" s="192"/>
      <c r="BG71" s="464">
        <f t="shared" si="17"/>
        <v>0</v>
      </c>
      <c r="BH71" s="467">
        <v>0</v>
      </c>
      <c r="BI71" s="203">
        <v>0</v>
      </c>
      <c r="BJ71" s="462">
        <f t="shared" si="18"/>
        <v>0</v>
      </c>
      <c r="BK71" s="192"/>
      <c r="BL71" s="192"/>
      <c r="BM71" s="464">
        <f t="shared" si="19"/>
        <v>0</v>
      </c>
      <c r="BN71" s="467">
        <v>0</v>
      </c>
      <c r="BO71" s="203">
        <v>0</v>
      </c>
      <c r="BP71" s="462">
        <f t="shared" si="20"/>
        <v>0</v>
      </c>
      <c r="BQ71" s="192"/>
      <c r="BR71" s="192"/>
      <c r="BS71" s="464">
        <f t="shared" si="21"/>
        <v>0</v>
      </c>
      <c r="BT71" s="467">
        <v>7</v>
      </c>
      <c r="BU71" s="203">
        <v>48835.428571428572</v>
      </c>
      <c r="BV71" s="462">
        <f t="shared" si="22"/>
        <v>279700.03360000002</v>
      </c>
      <c r="BW71" s="300">
        <v>6</v>
      </c>
      <c r="BX71" s="192">
        <v>51133.67</v>
      </c>
      <c r="BY71" s="463">
        <f t="shared" si="23"/>
        <v>251025.41276400004</v>
      </c>
    </row>
    <row r="72" spans="1:77" x14ac:dyDescent="0.2">
      <c r="A72" s="195" t="s">
        <v>105</v>
      </c>
      <c r="B72" s="196" t="s">
        <v>250</v>
      </c>
      <c r="C72" s="233"/>
      <c r="D72" s="195">
        <v>107619</v>
      </c>
      <c r="E72" s="199">
        <v>10</v>
      </c>
      <c r="F72" s="234">
        <v>0</v>
      </c>
      <c r="G72" s="208">
        <v>0</v>
      </c>
      <c r="H72" s="461">
        <f t="shared" si="24"/>
        <v>0</v>
      </c>
      <c r="I72" s="194"/>
      <c r="J72" s="194"/>
      <c r="K72" s="464">
        <f t="shared" si="25"/>
        <v>0</v>
      </c>
      <c r="L72" s="467">
        <v>0</v>
      </c>
      <c r="M72" s="203">
        <v>0</v>
      </c>
      <c r="N72" s="462">
        <f t="shared" si="29"/>
        <v>0</v>
      </c>
      <c r="O72" s="192"/>
      <c r="P72" s="192"/>
      <c r="Q72" s="464">
        <f t="shared" si="26"/>
        <v>0</v>
      </c>
      <c r="R72" s="467">
        <v>0</v>
      </c>
      <c r="S72" s="203">
        <v>0</v>
      </c>
      <c r="T72" s="462">
        <f t="shared" si="33"/>
        <v>0</v>
      </c>
      <c r="U72" s="191"/>
      <c r="V72" s="191"/>
      <c r="W72" s="464">
        <f t="shared" si="36"/>
        <v>0</v>
      </c>
      <c r="X72" s="467">
        <v>0</v>
      </c>
      <c r="Y72" s="203">
        <v>0</v>
      </c>
      <c r="Z72" s="462">
        <f t="shared" si="34"/>
        <v>0</v>
      </c>
      <c r="AA72" s="192"/>
      <c r="AB72" s="192"/>
      <c r="AC72" s="464">
        <f t="shared" si="32"/>
        <v>0</v>
      </c>
      <c r="AD72" s="467">
        <v>0</v>
      </c>
      <c r="AE72" s="203">
        <v>0</v>
      </c>
      <c r="AF72" s="462">
        <f t="shared" si="28"/>
        <v>0</v>
      </c>
      <c r="AG72" s="192"/>
      <c r="AH72" s="192"/>
      <c r="AI72" s="464">
        <f t="shared" si="37"/>
        <v>0</v>
      </c>
      <c r="AJ72" s="467">
        <v>66</v>
      </c>
      <c r="AK72" s="203">
        <v>38803.07575757576</v>
      </c>
      <c r="AL72" s="462">
        <f t="shared" si="35"/>
        <v>2561003</v>
      </c>
      <c r="AM72" s="300">
        <v>66</v>
      </c>
      <c r="AN72" s="192">
        <v>38803.08</v>
      </c>
      <c r="AO72" s="206">
        <f t="shared" si="38"/>
        <v>2561003.2800000003</v>
      </c>
      <c r="AP72" s="203">
        <v>0</v>
      </c>
      <c r="AQ72" s="203">
        <v>0</v>
      </c>
      <c r="AR72" s="462">
        <f t="shared" si="12"/>
        <v>0</v>
      </c>
      <c r="AS72" s="192"/>
      <c r="AT72" s="192"/>
      <c r="AU72" s="464">
        <f t="shared" si="13"/>
        <v>0</v>
      </c>
      <c r="AV72" s="467">
        <v>0</v>
      </c>
      <c r="AW72" s="203">
        <v>0</v>
      </c>
      <c r="AX72" s="462">
        <f t="shared" si="14"/>
        <v>0</v>
      </c>
      <c r="AY72" s="192"/>
      <c r="AZ72" s="192"/>
      <c r="BA72" s="464">
        <f t="shared" si="15"/>
        <v>0</v>
      </c>
      <c r="BB72" s="467">
        <v>0</v>
      </c>
      <c r="BC72" s="203">
        <v>0</v>
      </c>
      <c r="BD72" s="462">
        <f t="shared" si="16"/>
        <v>0</v>
      </c>
      <c r="BE72" s="192"/>
      <c r="BF72" s="192"/>
      <c r="BG72" s="464">
        <f t="shared" si="17"/>
        <v>0</v>
      </c>
      <c r="BH72" s="467">
        <v>0</v>
      </c>
      <c r="BI72" s="203">
        <v>0</v>
      </c>
      <c r="BJ72" s="462">
        <f t="shared" si="18"/>
        <v>0</v>
      </c>
      <c r="BK72" s="192"/>
      <c r="BL72" s="192"/>
      <c r="BM72" s="464">
        <f t="shared" si="19"/>
        <v>0</v>
      </c>
      <c r="BN72" s="467">
        <v>0</v>
      </c>
      <c r="BO72" s="203">
        <v>0</v>
      </c>
      <c r="BP72" s="462">
        <f t="shared" si="20"/>
        <v>0</v>
      </c>
      <c r="BQ72" s="192"/>
      <c r="BR72" s="192"/>
      <c r="BS72" s="464">
        <f t="shared" si="21"/>
        <v>0</v>
      </c>
      <c r="BT72" s="467">
        <v>13</v>
      </c>
      <c r="BU72" s="203">
        <v>46360.846153846156</v>
      </c>
      <c r="BV72" s="462">
        <f t="shared" si="22"/>
        <v>493121.77620000002</v>
      </c>
      <c r="BW72" s="300">
        <v>13</v>
      </c>
      <c r="BX72" s="192">
        <v>46360.85</v>
      </c>
      <c r="BY72" s="463">
        <f t="shared" si="23"/>
        <v>493121.81710999995</v>
      </c>
    </row>
    <row r="73" spans="1:77" x14ac:dyDescent="0.2">
      <c r="A73" s="195" t="s">
        <v>105</v>
      </c>
      <c r="B73" s="196" t="s">
        <v>251</v>
      </c>
      <c r="C73" s="233"/>
      <c r="D73" s="195">
        <v>107743</v>
      </c>
      <c r="E73" s="199">
        <v>10</v>
      </c>
      <c r="F73" s="234">
        <v>0</v>
      </c>
      <c r="G73" s="208">
        <v>0</v>
      </c>
      <c r="H73" s="461">
        <f t="shared" ref="H73:H136" si="39">F73*G73</f>
        <v>0</v>
      </c>
      <c r="I73" s="194"/>
      <c r="J73" s="194"/>
      <c r="K73" s="464">
        <f t="shared" ref="K73:K136" si="40">I73*J73</f>
        <v>0</v>
      </c>
      <c r="L73" s="467">
        <v>0</v>
      </c>
      <c r="M73" s="203">
        <v>0</v>
      </c>
      <c r="N73" s="462">
        <f t="shared" ref="N73:N136" si="41">L73*M73</f>
        <v>0</v>
      </c>
      <c r="O73" s="192"/>
      <c r="P73" s="192"/>
      <c r="Q73" s="464">
        <f t="shared" ref="Q73:Q136" si="42">O73*P73</f>
        <v>0</v>
      </c>
      <c r="R73" s="467">
        <v>0</v>
      </c>
      <c r="S73" s="203">
        <v>0</v>
      </c>
      <c r="T73" s="462">
        <f t="shared" ref="T73:T136" si="43">R73*S73</f>
        <v>0</v>
      </c>
      <c r="U73" s="191"/>
      <c r="V73" s="191"/>
      <c r="W73" s="464">
        <f t="shared" ref="W73:W136" si="44">U73*V73</f>
        <v>0</v>
      </c>
      <c r="X73" s="467">
        <v>0</v>
      </c>
      <c r="Y73" s="203">
        <v>0</v>
      </c>
      <c r="Z73" s="462">
        <f t="shared" ref="Z73:Z136" si="45">X73*Y73</f>
        <v>0</v>
      </c>
      <c r="AA73" s="192"/>
      <c r="AB73" s="192"/>
      <c r="AC73" s="464">
        <f t="shared" ref="AC73:AC136" si="46">AA73*AB73</f>
        <v>0</v>
      </c>
      <c r="AD73" s="467">
        <v>0</v>
      </c>
      <c r="AE73" s="203">
        <v>0</v>
      </c>
      <c r="AF73" s="462">
        <f t="shared" ref="AF73:AF136" si="47">AD73*AE73</f>
        <v>0</v>
      </c>
      <c r="AG73" s="192"/>
      <c r="AH73" s="192"/>
      <c r="AI73" s="464">
        <f t="shared" ref="AI73:AI136" si="48">AG73*AH73</f>
        <v>0</v>
      </c>
      <c r="AJ73" s="467">
        <v>19</v>
      </c>
      <c r="AK73" s="203">
        <v>47491.210526315786</v>
      </c>
      <c r="AL73" s="462">
        <f t="shared" ref="AL73:AL136" si="49">AJ73*AK73</f>
        <v>902333</v>
      </c>
      <c r="AM73" s="300">
        <v>20</v>
      </c>
      <c r="AN73" s="192">
        <v>47611.4</v>
      </c>
      <c r="AO73" s="206">
        <f t="shared" ref="AO73:AO136" si="50">AM73*AN73</f>
        <v>952228</v>
      </c>
      <c r="AP73" s="203">
        <v>0</v>
      </c>
      <c r="AQ73" s="203">
        <v>0</v>
      </c>
      <c r="AR73" s="462">
        <f t="shared" ref="AR73:AR136" si="51">(AP73*AQ73)*0.8182</f>
        <v>0</v>
      </c>
      <c r="AS73" s="192"/>
      <c r="AT73" s="192"/>
      <c r="AU73" s="464">
        <f t="shared" ref="AU73:AU136" si="52">(AS73*AT73)*0.8182</f>
        <v>0</v>
      </c>
      <c r="AV73" s="467">
        <v>0</v>
      </c>
      <c r="AW73" s="203">
        <v>0</v>
      </c>
      <c r="AX73" s="462">
        <f t="shared" ref="AX73:AX136" si="53">(AV73*AW73)*0.8182</f>
        <v>0</v>
      </c>
      <c r="AY73" s="192"/>
      <c r="AZ73" s="192"/>
      <c r="BA73" s="464">
        <f t="shared" ref="BA73:BA136" si="54">(AY73*AZ73)*0.8182</f>
        <v>0</v>
      </c>
      <c r="BB73" s="467">
        <v>0</v>
      </c>
      <c r="BC73" s="203">
        <v>0</v>
      </c>
      <c r="BD73" s="462">
        <f t="shared" ref="BD73:BD136" si="55">(BB73*BC73)*0.8182</f>
        <v>0</v>
      </c>
      <c r="BE73" s="192"/>
      <c r="BF73" s="192"/>
      <c r="BG73" s="464">
        <f t="shared" ref="BG73:BG136" si="56">(BE73*BF73)*0.8182</f>
        <v>0</v>
      </c>
      <c r="BH73" s="467">
        <v>0</v>
      </c>
      <c r="BI73" s="203">
        <v>0</v>
      </c>
      <c r="BJ73" s="462">
        <f t="shared" ref="BJ73:BJ136" si="57">(BH73*BI73)*0.8182</f>
        <v>0</v>
      </c>
      <c r="BK73" s="192"/>
      <c r="BL73" s="192"/>
      <c r="BM73" s="464">
        <f t="shared" ref="BM73:BM136" si="58">(BK73*BL73)*0.8182</f>
        <v>0</v>
      </c>
      <c r="BN73" s="467">
        <v>0</v>
      </c>
      <c r="BO73" s="203">
        <v>0</v>
      </c>
      <c r="BP73" s="462">
        <f t="shared" ref="BP73:BP136" si="59">(BN73*BO73)*0.8182</f>
        <v>0</v>
      </c>
      <c r="BQ73" s="192"/>
      <c r="BR73" s="192"/>
      <c r="BS73" s="464">
        <f t="shared" ref="BS73:BS136" si="60">(BQ73*BR73)*0.8182</f>
        <v>0</v>
      </c>
      <c r="BT73" s="467">
        <v>2</v>
      </c>
      <c r="BU73" s="203">
        <v>37396.5</v>
      </c>
      <c r="BV73" s="462">
        <f t="shared" ref="BV73:BV136" si="61">(BT73*BU73)*0.8182</f>
        <v>61195.632600000004</v>
      </c>
      <c r="BW73" s="300">
        <v>0</v>
      </c>
      <c r="BX73" s="192"/>
      <c r="BY73" s="463">
        <f t="shared" ref="BY73:BY136" si="62">(BW73*BX73)*0.8182</f>
        <v>0</v>
      </c>
    </row>
    <row r="74" spans="1:77" x14ac:dyDescent="0.2">
      <c r="A74" s="195" t="s">
        <v>105</v>
      </c>
      <c r="B74" s="196" t="s">
        <v>252</v>
      </c>
      <c r="C74" s="233"/>
      <c r="D74" s="195">
        <v>107974</v>
      </c>
      <c r="E74" s="199">
        <v>10</v>
      </c>
      <c r="F74" s="234">
        <v>0</v>
      </c>
      <c r="G74" s="208">
        <v>0</v>
      </c>
      <c r="H74" s="461">
        <f t="shared" si="39"/>
        <v>0</v>
      </c>
      <c r="I74" s="194">
        <v>10</v>
      </c>
      <c r="J74" s="194">
        <v>54997.7</v>
      </c>
      <c r="K74" s="464">
        <f t="shared" si="40"/>
        <v>549977</v>
      </c>
      <c r="L74" s="467">
        <v>0</v>
      </c>
      <c r="M74" s="203">
        <v>0</v>
      </c>
      <c r="N74" s="462">
        <f t="shared" si="41"/>
        <v>0</v>
      </c>
      <c r="O74" s="192">
        <v>2</v>
      </c>
      <c r="P74" s="192">
        <v>46316</v>
      </c>
      <c r="Q74" s="464">
        <f t="shared" si="42"/>
        <v>92632</v>
      </c>
      <c r="R74" s="467">
        <v>0</v>
      </c>
      <c r="S74" s="203">
        <v>0</v>
      </c>
      <c r="T74" s="462">
        <f t="shared" si="43"/>
        <v>0</v>
      </c>
      <c r="U74" s="191">
        <v>1</v>
      </c>
      <c r="V74" s="191">
        <v>37716</v>
      </c>
      <c r="W74" s="464">
        <f t="shared" si="44"/>
        <v>37716</v>
      </c>
      <c r="X74" s="467">
        <v>0</v>
      </c>
      <c r="Y74" s="203">
        <v>0</v>
      </c>
      <c r="Z74" s="462">
        <f t="shared" si="45"/>
        <v>0</v>
      </c>
      <c r="AA74" s="192">
        <v>20</v>
      </c>
      <c r="AB74" s="192">
        <v>39848.85</v>
      </c>
      <c r="AC74" s="464">
        <f t="shared" si="46"/>
        <v>796977</v>
      </c>
      <c r="AD74" s="467">
        <v>0</v>
      </c>
      <c r="AE74" s="203">
        <v>0</v>
      </c>
      <c r="AF74" s="462">
        <f t="shared" si="47"/>
        <v>0</v>
      </c>
      <c r="AG74" s="192"/>
      <c r="AH74" s="192"/>
      <c r="AI74" s="464">
        <f t="shared" si="48"/>
        <v>0</v>
      </c>
      <c r="AJ74" s="467">
        <v>32</v>
      </c>
      <c r="AK74" s="203">
        <v>44506</v>
      </c>
      <c r="AL74" s="462">
        <f t="shared" si="49"/>
        <v>1424192</v>
      </c>
      <c r="AM74" s="300"/>
      <c r="AN74" s="192"/>
      <c r="AO74" s="206">
        <f t="shared" si="50"/>
        <v>0</v>
      </c>
      <c r="AP74" s="203">
        <v>0</v>
      </c>
      <c r="AQ74" s="203">
        <v>0</v>
      </c>
      <c r="AR74" s="462">
        <f t="shared" si="51"/>
        <v>0</v>
      </c>
      <c r="AS74" s="192">
        <v>5</v>
      </c>
      <c r="AT74" s="192">
        <v>65055.6</v>
      </c>
      <c r="AU74" s="464">
        <f t="shared" si="52"/>
        <v>266142.4596</v>
      </c>
      <c r="AV74" s="467">
        <v>0</v>
      </c>
      <c r="AW74" s="203">
        <v>0</v>
      </c>
      <c r="AX74" s="462">
        <f t="shared" si="53"/>
        <v>0</v>
      </c>
      <c r="AY74" s="192">
        <v>2</v>
      </c>
      <c r="AZ74" s="192">
        <v>56427.5</v>
      </c>
      <c r="BA74" s="464">
        <f t="shared" si="54"/>
        <v>92337.96100000001</v>
      </c>
      <c r="BB74" s="467">
        <v>0</v>
      </c>
      <c r="BC74" s="203">
        <v>0</v>
      </c>
      <c r="BD74" s="462">
        <f t="shared" si="55"/>
        <v>0</v>
      </c>
      <c r="BE74" s="192">
        <v>7</v>
      </c>
      <c r="BF74" s="192">
        <v>47470.71</v>
      </c>
      <c r="BG74" s="464">
        <f t="shared" si="56"/>
        <v>271883.74445399997</v>
      </c>
      <c r="BH74" s="467">
        <v>0</v>
      </c>
      <c r="BI74" s="203">
        <v>0</v>
      </c>
      <c r="BJ74" s="462">
        <f t="shared" si="57"/>
        <v>0</v>
      </c>
      <c r="BK74" s="192">
        <v>14</v>
      </c>
      <c r="BL74" s="192">
        <v>44121.64</v>
      </c>
      <c r="BM74" s="464">
        <f t="shared" si="58"/>
        <v>505404.56187199999</v>
      </c>
      <c r="BN74" s="467">
        <v>0</v>
      </c>
      <c r="BO74" s="203">
        <v>0</v>
      </c>
      <c r="BP74" s="462">
        <f t="shared" si="59"/>
        <v>0</v>
      </c>
      <c r="BQ74" s="192"/>
      <c r="BR74" s="192"/>
      <c r="BS74" s="464">
        <f t="shared" si="60"/>
        <v>0</v>
      </c>
      <c r="BT74" s="467">
        <v>29</v>
      </c>
      <c r="BU74" s="203">
        <v>50320.137931034486</v>
      </c>
      <c r="BV74" s="462">
        <f t="shared" si="61"/>
        <v>1193986.1688000001</v>
      </c>
      <c r="BW74" s="300"/>
      <c r="BX74" s="192"/>
      <c r="BY74" s="463">
        <f t="shared" si="62"/>
        <v>0</v>
      </c>
    </row>
    <row r="75" spans="1:77" x14ac:dyDescent="0.2">
      <c r="A75" s="195" t="s">
        <v>105</v>
      </c>
      <c r="B75" s="196" t="s">
        <v>253</v>
      </c>
      <c r="C75" s="233"/>
      <c r="D75" s="195">
        <v>107637</v>
      </c>
      <c r="E75" s="199">
        <v>10</v>
      </c>
      <c r="F75" s="234">
        <v>0</v>
      </c>
      <c r="G75" s="208">
        <v>0</v>
      </c>
      <c r="H75" s="461">
        <f t="shared" si="39"/>
        <v>0</v>
      </c>
      <c r="I75" s="194"/>
      <c r="J75" s="194"/>
      <c r="K75" s="464">
        <f t="shared" si="40"/>
        <v>0</v>
      </c>
      <c r="L75" s="467">
        <v>0</v>
      </c>
      <c r="M75" s="203">
        <v>0</v>
      </c>
      <c r="N75" s="462">
        <f t="shared" si="41"/>
        <v>0</v>
      </c>
      <c r="O75" s="192"/>
      <c r="P75" s="192"/>
      <c r="Q75" s="464">
        <f t="shared" si="42"/>
        <v>0</v>
      </c>
      <c r="R75" s="467">
        <v>0</v>
      </c>
      <c r="S75" s="203">
        <v>0</v>
      </c>
      <c r="T75" s="462">
        <f t="shared" si="43"/>
        <v>0</v>
      </c>
      <c r="U75" s="191"/>
      <c r="V75" s="191"/>
      <c r="W75" s="464">
        <f t="shared" si="44"/>
        <v>0</v>
      </c>
      <c r="X75" s="467">
        <v>0</v>
      </c>
      <c r="Y75" s="203">
        <v>0</v>
      </c>
      <c r="Z75" s="462">
        <f t="shared" si="45"/>
        <v>0</v>
      </c>
      <c r="AA75" s="192"/>
      <c r="AB75" s="192"/>
      <c r="AC75" s="464">
        <f t="shared" si="46"/>
        <v>0</v>
      </c>
      <c r="AD75" s="467">
        <v>0</v>
      </c>
      <c r="AE75" s="203">
        <v>0</v>
      </c>
      <c r="AF75" s="462">
        <f t="shared" si="47"/>
        <v>0</v>
      </c>
      <c r="AG75" s="192"/>
      <c r="AH75" s="192"/>
      <c r="AI75" s="464">
        <f t="shared" si="48"/>
        <v>0</v>
      </c>
      <c r="AJ75" s="467">
        <v>43</v>
      </c>
      <c r="AK75" s="203">
        <v>42465.860465116282</v>
      </c>
      <c r="AL75" s="462">
        <f t="shared" si="49"/>
        <v>1826032.0000000002</v>
      </c>
      <c r="AM75" s="300">
        <v>41</v>
      </c>
      <c r="AN75" s="192">
        <v>43307.98</v>
      </c>
      <c r="AO75" s="206">
        <f t="shared" si="50"/>
        <v>1775627.1800000002</v>
      </c>
      <c r="AP75" s="203">
        <v>0</v>
      </c>
      <c r="AQ75" s="203">
        <v>0</v>
      </c>
      <c r="AR75" s="462">
        <f t="shared" si="51"/>
        <v>0</v>
      </c>
      <c r="AS75" s="192"/>
      <c r="AT75" s="192"/>
      <c r="AU75" s="464">
        <f t="shared" si="52"/>
        <v>0</v>
      </c>
      <c r="AV75" s="467">
        <v>0</v>
      </c>
      <c r="AW75" s="203">
        <v>0</v>
      </c>
      <c r="AX75" s="462">
        <f t="shared" si="53"/>
        <v>0</v>
      </c>
      <c r="AY75" s="192"/>
      <c r="AZ75" s="192"/>
      <c r="BA75" s="464">
        <f t="shared" si="54"/>
        <v>0</v>
      </c>
      <c r="BB75" s="467">
        <v>0</v>
      </c>
      <c r="BC75" s="203">
        <v>0</v>
      </c>
      <c r="BD75" s="462">
        <f t="shared" si="55"/>
        <v>0</v>
      </c>
      <c r="BE75" s="192"/>
      <c r="BF75" s="192"/>
      <c r="BG75" s="464">
        <f t="shared" si="56"/>
        <v>0</v>
      </c>
      <c r="BH75" s="467">
        <v>0</v>
      </c>
      <c r="BI75" s="203">
        <v>0</v>
      </c>
      <c r="BJ75" s="462">
        <f t="shared" si="57"/>
        <v>0</v>
      </c>
      <c r="BK75" s="192"/>
      <c r="BL75" s="192"/>
      <c r="BM75" s="464">
        <f t="shared" si="58"/>
        <v>0</v>
      </c>
      <c r="BN75" s="467">
        <v>0</v>
      </c>
      <c r="BO75" s="203">
        <v>0</v>
      </c>
      <c r="BP75" s="462">
        <f t="shared" si="59"/>
        <v>0</v>
      </c>
      <c r="BQ75" s="192"/>
      <c r="BR75" s="192"/>
      <c r="BS75" s="464">
        <f t="shared" si="60"/>
        <v>0</v>
      </c>
      <c r="BT75" s="467">
        <v>5</v>
      </c>
      <c r="BU75" s="203">
        <v>53877.4</v>
      </c>
      <c r="BV75" s="462">
        <f t="shared" si="61"/>
        <v>220412.44340000002</v>
      </c>
      <c r="BW75" s="300">
        <v>8</v>
      </c>
      <c r="BX75" s="192">
        <v>54912.75</v>
      </c>
      <c r="BY75" s="463">
        <f t="shared" si="62"/>
        <v>359436.89640000003</v>
      </c>
    </row>
    <row r="76" spans="1:77" x14ac:dyDescent="0.2">
      <c r="A76" s="195" t="s">
        <v>105</v>
      </c>
      <c r="B76" s="196" t="s">
        <v>254</v>
      </c>
      <c r="C76" s="233"/>
      <c r="D76" s="195">
        <v>107992</v>
      </c>
      <c r="E76" s="199">
        <v>10</v>
      </c>
      <c r="F76" s="234">
        <v>0</v>
      </c>
      <c r="G76" s="208">
        <v>0</v>
      </c>
      <c r="H76" s="461">
        <f t="shared" si="39"/>
        <v>0</v>
      </c>
      <c r="I76" s="194"/>
      <c r="J76" s="194"/>
      <c r="K76" s="464">
        <f t="shared" si="40"/>
        <v>0</v>
      </c>
      <c r="L76" s="467">
        <v>0</v>
      </c>
      <c r="M76" s="203">
        <v>0</v>
      </c>
      <c r="N76" s="462">
        <f t="shared" si="41"/>
        <v>0</v>
      </c>
      <c r="O76" s="192"/>
      <c r="P76" s="192"/>
      <c r="Q76" s="464">
        <f t="shared" si="42"/>
        <v>0</v>
      </c>
      <c r="R76" s="467">
        <v>0</v>
      </c>
      <c r="S76" s="203">
        <v>0</v>
      </c>
      <c r="T76" s="462">
        <f t="shared" si="43"/>
        <v>0</v>
      </c>
      <c r="U76" s="191"/>
      <c r="V76" s="191"/>
      <c r="W76" s="464">
        <f t="shared" si="44"/>
        <v>0</v>
      </c>
      <c r="X76" s="467">
        <v>0</v>
      </c>
      <c r="Y76" s="203">
        <v>0</v>
      </c>
      <c r="Z76" s="462">
        <f t="shared" si="45"/>
        <v>0</v>
      </c>
      <c r="AA76" s="192"/>
      <c r="AB76" s="192"/>
      <c r="AC76" s="464">
        <f t="shared" si="46"/>
        <v>0</v>
      </c>
      <c r="AD76" s="467">
        <v>0</v>
      </c>
      <c r="AE76" s="203">
        <v>0</v>
      </c>
      <c r="AF76" s="462">
        <f t="shared" si="47"/>
        <v>0</v>
      </c>
      <c r="AG76" s="192"/>
      <c r="AH76" s="192"/>
      <c r="AI76" s="464">
        <f t="shared" si="48"/>
        <v>0</v>
      </c>
      <c r="AJ76" s="467">
        <v>22</v>
      </c>
      <c r="AK76" s="203">
        <v>42151.36363636364</v>
      </c>
      <c r="AL76" s="462">
        <f t="shared" si="49"/>
        <v>927330.00000000012</v>
      </c>
      <c r="AM76" s="300">
        <v>25</v>
      </c>
      <c r="AN76" s="192">
        <v>41642.160000000003</v>
      </c>
      <c r="AO76" s="206">
        <f t="shared" si="50"/>
        <v>1041054.0000000001</v>
      </c>
      <c r="AP76" s="203">
        <v>0</v>
      </c>
      <c r="AQ76" s="203">
        <v>0</v>
      </c>
      <c r="AR76" s="462">
        <f t="shared" si="51"/>
        <v>0</v>
      </c>
      <c r="AS76" s="192"/>
      <c r="AT76" s="192"/>
      <c r="AU76" s="464">
        <f t="shared" si="52"/>
        <v>0</v>
      </c>
      <c r="AV76" s="467">
        <v>0</v>
      </c>
      <c r="AW76" s="203">
        <v>0</v>
      </c>
      <c r="AX76" s="462">
        <f t="shared" si="53"/>
        <v>0</v>
      </c>
      <c r="AY76" s="192"/>
      <c r="AZ76" s="192"/>
      <c r="BA76" s="464">
        <f t="shared" si="54"/>
        <v>0</v>
      </c>
      <c r="BB76" s="467">
        <v>0</v>
      </c>
      <c r="BC76" s="203">
        <v>0</v>
      </c>
      <c r="BD76" s="462">
        <f t="shared" si="55"/>
        <v>0</v>
      </c>
      <c r="BE76" s="192"/>
      <c r="BF76" s="192"/>
      <c r="BG76" s="464">
        <f t="shared" si="56"/>
        <v>0</v>
      </c>
      <c r="BH76" s="467">
        <v>0</v>
      </c>
      <c r="BI76" s="203">
        <v>0</v>
      </c>
      <c r="BJ76" s="462">
        <f t="shared" si="57"/>
        <v>0</v>
      </c>
      <c r="BK76" s="192"/>
      <c r="BL76" s="192"/>
      <c r="BM76" s="464">
        <f t="shared" si="58"/>
        <v>0</v>
      </c>
      <c r="BN76" s="467">
        <v>0</v>
      </c>
      <c r="BO76" s="203">
        <v>0</v>
      </c>
      <c r="BP76" s="462">
        <f t="shared" si="59"/>
        <v>0</v>
      </c>
      <c r="BQ76" s="192"/>
      <c r="BR76" s="192"/>
      <c r="BS76" s="464">
        <f t="shared" si="60"/>
        <v>0</v>
      </c>
      <c r="BT76" s="467">
        <v>9</v>
      </c>
      <c r="BU76" s="203">
        <v>45626.555555555555</v>
      </c>
      <c r="BV76" s="462">
        <f t="shared" si="61"/>
        <v>335984.82980000001</v>
      </c>
      <c r="BW76" s="300">
        <v>9</v>
      </c>
      <c r="BX76" s="192">
        <v>44953.56</v>
      </c>
      <c r="BY76" s="463">
        <f t="shared" si="62"/>
        <v>331029.02512800001</v>
      </c>
    </row>
    <row r="77" spans="1:77" x14ac:dyDescent="0.2">
      <c r="A77" s="195" t="s">
        <v>105</v>
      </c>
      <c r="B77" s="196" t="s">
        <v>255</v>
      </c>
      <c r="C77" s="233"/>
      <c r="D77" s="195">
        <v>106999</v>
      </c>
      <c r="E77" s="199">
        <v>10</v>
      </c>
      <c r="F77" s="234">
        <v>0</v>
      </c>
      <c r="G77" s="208">
        <v>0</v>
      </c>
      <c r="H77" s="461">
        <f t="shared" si="39"/>
        <v>0</v>
      </c>
      <c r="I77" s="194"/>
      <c r="J77" s="194"/>
      <c r="K77" s="464">
        <f t="shared" si="40"/>
        <v>0</v>
      </c>
      <c r="L77" s="467">
        <v>0</v>
      </c>
      <c r="M77" s="203">
        <v>0</v>
      </c>
      <c r="N77" s="462">
        <f t="shared" si="41"/>
        <v>0</v>
      </c>
      <c r="O77" s="192"/>
      <c r="P77" s="192"/>
      <c r="Q77" s="464">
        <f t="shared" si="42"/>
        <v>0</v>
      </c>
      <c r="R77" s="467">
        <v>0</v>
      </c>
      <c r="S77" s="203">
        <v>0</v>
      </c>
      <c r="T77" s="462">
        <f t="shared" si="43"/>
        <v>0</v>
      </c>
      <c r="U77" s="191"/>
      <c r="V77" s="191"/>
      <c r="W77" s="464">
        <f t="shared" si="44"/>
        <v>0</v>
      </c>
      <c r="X77" s="467">
        <v>0</v>
      </c>
      <c r="Y77" s="203">
        <v>0</v>
      </c>
      <c r="Z77" s="462">
        <f t="shared" si="45"/>
        <v>0</v>
      </c>
      <c r="AA77" s="192"/>
      <c r="AB77" s="192"/>
      <c r="AC77" s="464">
        <f t="shared" si="46"/>
        <v>0</v>
      </c>
      <c r="AD77" s="467">
        <v>0</v>
      </c>
      <c r="AE77" s="203">
        <v>0</v>
      </c>
      <c r="AF77" s="462">
        <f t="shared" si="47"/>
        <v>0</v>
      </c>
      <c r="AG77" s="192"/>
      <c r="AH77" s="192"/>
      <c r="AI77" s="464">
        <f t="shared" si="48"/>
        <v>0</v>
      </c>
      <c r="AJ77" s="467">
        <v>31</v>
      </c>
      <c r="AK77" s="203">
        <v>40681.483870967742</v>
      </c>
      <c r="AL77" s="462">
        <f t="shared" si="49"/>
        <v>1261126</v>
      </c>
      <c r="AM77" s="300">
        <v>29</v>
      </c>
      <c r="AN77" s="192">
        <v>39303.79</v>
      </c>
      <c r="AO77" s="206">
        <f t="shared" si="50"/>
        <v>1139809.9099999999</v>
      </c>
      <c r="AP77" s="203">
        <v>0</v>
      </c>
      <c r="AQ77" s="203">
        <v>0</v>
      </c>
      <c r="AR77" s="462">
        <f t="shared" si="51"/>
        <v>0</v>
      </c>
      <c r="AS77" s="192"/>
      <c r="AT77" s="192"/>
      <c r="AU77" s="464">
        <f t="shared" si="52"/>
        <v>0</v>
      </c>
      <c r="AV77" s="467">
        <v>0</v>
      </c>
      <c r="AW77" s="203">
        <v>0</v>
      </c>
      <c r="AX77" s="462">
        <f t="shared" si="53"/>
        <v>0</v>
      </c>
      <c r="AY77" s="192"/>
      <c r="AZ77" s="192"/>
      <c r="BA77" s="464">
        <f t="shared" si="54"/>
        <v>0</v>
      </c>
      <c r="BB77" s="467">
        <v>0</v>
      </c>
      <c r="BC77" s="203">
        <v>0</v>
      </c>
      <c r="BD77" s="462">
        <f t="shared" si="55"/>
        <v>0</v>
      </c>
      <c r="BE77" s="192"/>
      <c r="BF77" s="192"/>
      <c r="BG77" s="464">
        <f t="shared" si="56"/>
        <v>0</v>
      </c>
      <c r="BH77" s="467">
        <v>0</v>
      </c>
      <c r="BI77" s="203">
        <v>0</v>
      </c>
      <c r="BJ77" s="462">
        <f t="shared" si="57"/>
        <v>0</v>
      </c>
      <c r="BK77" s="192"/>
      <c r="BL77" s="192"/>
      <c r="BM77" s="464">
        <f t="shared" si="58"/>
        <v>0</v>
      </c>
      <c r="BN77" s="467">
        <v>0</v>
      </c>
      <c r="BO77" s="203">
        <v>0</v>
      </c>
      <c r="BP77" s="462">
        <f t="shared" si="59"/>
        <v>0</v>
      </c>
      <c r="BQ77" s="192"/>
      <c r="BR77" s="192"/>
      <c r="BS77" s="464">
        <f t="shared" si="60"/>
        <v>0</v>
      </c>
      <c r="BT77" s="467">
        <v>18</v>
      </c>
      <c r="BU77" s="203">
        <v>50229.722222222219</v>
      </c>
      <c r="BV77" s="462">
        <f t="shared" si="61"/>
        <v>739763.25699999998</v>
      </c>
      <c r="BW77" s="300">
        <v>18</v>
      </c>
      <c r="BX77" s="192">
        <v>48775.39</v>
      </c>
      <c r="BY77" s="463">
        <f t="shared" si="62"/>
        <v>718344.43376400007</v>
      </c>
    </row>
    <row r="78" spans="1:77" x14ac:dyDescent="0.2">
      <c r="A78" s="195" t="s">
        <v>105</v>
      </c>
      <c r="B78" s="196" t="s">
        <v>256</v>
      </c>
      <c r="C78" s="233"/>
      <c r="D78" s="195">
        <v>107725</v>
      </c>
      <c r="E78" s="199">
        <v>10</v>
      </c>
      <c r="F78" s="234">
        <v>0</v>
      </c>
      <c r="G78" s="208">
        <v>0</v>
      </c>
      <c r="H78" s="461">
        <f t="shared" si="39"/>
        <v>0</v>
      </c>
      <c r="I78" s="194"/>
      <c r="J78" s="194"/>
      <c r="K78" s="464">
        <f t="shared" si="40"/>
        <v>0</v>
      </c>
      <c r="L78" s="467">
        <v>0</v>
      </c>
      <c r="M78" s="203">
        <v>0</v>
      </c>
      <c r="N78" s="462">
        <f t="shared" si="41"/>
        <v>0</v>
      </c>
      <c r="O78" s="192"/>
      <c r="P78" s="192"/>
      <c r="Q78" s="464">
        <f t="shared" si="42"/>
        <v>0</v>
      </c>
      <c r="R78" s="467">
        <v>0</v>
      </c>
      <c r="S78" s="203">
        <v>0</v>
      </c>
      <c r="T78" s="462">
        <f t="shared" si="43"/>
        <v>0</v>
      </c>
      <c r="U78" s="191"/>
      <c r="V78" s="191"/>
      <c r="W78" s="464">
        <f t="shared" si="44"/>
        <v>0</v>
      </c>
      <c r="X78" s="467">
        <v>0</v>
      </c>
      <c r="Y78" s="203">
        <v>0</v>
      </c>
      <c r="Z78" s="462">
        <f t="shared" si="45"/>
        <v>0</v>
      </c>
      <c r="AA78" s="192"/>
      <c r="AB78" s="192"/>
      <c r="AC78" s="464">
        <f t="shared" si="46"/>
        <v>0</v>
      </c>
      <c r="AD78" s="467">
        <v>0</v>
      </c>
      <c r="AE78" s="203">
        <v>0</v>
      </c>
      <c r="AF78" s="462">
        <f t="shared" si="47"/>
        <v>0</v>
      </c>
      <c r="AG78" s="192"/>
      <c r="AH78" s="192"/>
      <c r="AI78" s="464">
        <f t="shared" si="48"/>
        <v>0</v>
      </c>
      <c r="AJ78" s="467">
        <v>32</v>
      </c>
      <c r="AK78" s="203">
        <v>39593.5</v>
      </c>
      <c r="AL78" s="462">
        <f t="shared" si="49"/>
        <v>1266992</v>
      </c>
      <c r="AM78" s="300">
        <v>31</v>
      </c>
      <c r="AN78" s="192">
        <v>38995.94</v>
      </c>
      <c r="AO78" s="206">
        <f t="shared" si="50"/>
        <v>1208874.1400000001</v>
      </c>
      <c r="AP78" s="203">
        <v>0</v>
      </c>
      <c r="AQ78" s="203">
        <v>0</v>
      </c>
      <c r="AR78" s="462">
        <f t="shared" si="51"/>
        <v>0</v>
      </c>
      <c r="AS78" s="192"/>
      <c r="AT78" s="192"/>
      <c r="AU78" s="464">
        <f t="shared" si="52"/>
        <v>0</v>
      </c>
      <c r="AV78" s="467">
        <v>0</v>
      </c>
      <c r="AW78" s="203">
        <v>0</v>
      </c>
      <c r="AX78" s="462">
        <f t="shared" si="53"/>
        <v>0</v>
      </c>
      <c r="AY78" s="192"/>
      <c r="AZ78" s="192"/>
      <c r="BA78" s="464">
        <f t="shared" si="54"/>
        <v>0</v>
      </c>
      <c r="BB78" s="467">
        <v>0</v>
      </c>
      <c r="BC78" s="203">
        <v>0</v>
      </c>
      <c r="BD78" s="462">
        <f t="shared" si="55"/>
        <v>0</v>
      </c>
      <c r="BE78" s="192"/>
      <c r="BF78" s="192"/>
      <c r="BG78" s="464">
        <f t="shared" si="56"/>
        <v>0</v>
      </c>
      <c r="BH78" s="467">
        <v>0</v>
      </c>
      <c r="BI78" s="203">
        <v>0</v>
      </c>
      <c r="BJ78" s="462">
        <f t="shared" si="57"/>
        <v>0</v>
      </c>
      <c r="BK78" s="192"/>
      <c r="BL78" s="192"/>
      <c r="BM78" s="464">
        <f t="shared" si="58"/>
        <v>0</v>
      </c>
      <c r="BN78" s="467">
        <v>0</v>
      </c>
      <c r="BO78" s="203">
        <v>0</v>
      </c>
      <c r="BP78" s="462">
        <f t="shared" si="59"/>
        <v>0</v>
      </c>
      <c r="BQ78" s="192"/>
      <c r="BR78" s="192"/>
      <c r="BS78" s="464">
        <f t="shared" si="60"/>
        <v>0</v>
      </c>
      <c r="BT78" s="467">
        <v>6</v>
      </c>
      <c r="BU78" s="203">
        <v>61883</v>
      </c>
      <c r="BV78" s="462">
        <f t="shared" si="61"/>
        <v>303796.02360000001</v>
      </c>
      <c r="BW78" s="300">
        <v>6</v>
      </c>
      <c r="BX78" s="192">
        <v>63090.67</v>
      </c>
      <c r="BY78" s="463">
        <f t="shared" si="62"/>
        <v>309724.71716400003</v>
      </c>
    </row>
    <row r="79" spans="1:77" x14ac:dyDescent="0.2">
      <c r="A79" s="195" t="s">
        <v>105</v>
      </c>
      <c r="B79" s="196" t="s">
        <v>257</v>
      </c>
      <c r="C79" s="233"/>
      <c r="D79" s="195">
        <v>107585</v>
      </c>
      <c r="E79" s="199">
        <v>10</v>
      </c>
      <c r="F79" s="234">
        <v>0</v>
      </c>
      <c r="G79" s="208">
        <v>0</v>
      </c>
      <c r="H79" s="461">
        <f t="shared" si="39"/>
        <v>0</v>
      </c>
      <c r="I79" s="194"/>
      <c r="J79" s="194"/>
      <c r="K79" s="464">
        <f t="shared" si="40"/>
        <v>0</v>
      </c>
      <c r="L79" s="467">
        <v>0</v>
      </c>
      <c r="M79" s="203">
        <v>0</v>
      </c>
      <c r="N79" s="462">
        <f t="shared" si="41"/>
        <v>0</v>
      </c>
      <c r="O79" s="192"/>
      <c r="P79" s="192"/>
      <c r="Q79" s="464">
        <f t="shared" si="42"/>
        <v>0</v>
      </c>
      <c r="R79" s="467">
        <v>0</v>
      </c>
      <c r="S79" s="203">
        <v>0</v>
      </c>
      <c r="T79" s="462">
        <f t="shared" si="43"/>
        <v>0</v>
      </c>
      <c r="U79" s="191"/>
      <c r="V79" s="191"/>
      <c r="W79" s="464">
        <f t="shared" si="44"/>
        <v>0</v>
      </c>
      <c r="X79" s="467">
        <v>0</v>
      </c>
      <c r="Y79" s="203">
        <v>0</v>
      </c>
      <c r="Z79" s="462">
        <f t="shared" si="45"/>
        <v>0</v>
      </c>
      <c r="AA79" s="192"/>
      <c r="AB79" s="192"/>
      <c r="AC79" s="464">
        <f t="shared" si="46"/>
        <v>0</v>
      </c>
      <c r="AD79" s="467">
        <v>0</v>
      </c>
      <c r="AE79" s="203">
        <v>0</v>
      </c>
      <c r="AF79" s="462">
        <f t="shared" si="47"/>
        <v>0</v>
      </c>
      <c r="AG79" s="192"/>
      <c r="AH79" s="192"/>
      <c r="AI79" s="464">
        <f t="shared" si="48"/>
        <v>0</v>
      </c>
      <c r="AJ79" s="467">
        <v>68</v>
      </c>
      <c r="AK79" s="203">
        <v>40233.823529411762</v>
      </c>
      <c r="AL79" s="462">
        <f t="shared" si="49"/>
        <v>2735900</v>
      </c>
      <c r="AM79" s="300">
        <v>58</v>
      </c>
      <c r="AN79" s="192">
        <v>44988.12</v>
      </c>
      <c r="AO79" s="206">
        <f t="shared" si="50"/>
        <v>2609310.96</v>
      </c>
      <c r="AP79" s="203">
        <v>0</v>
      </c>
      <c r="AQ79" s="203">
        <v>0</v>
      </c>
      <c r="AR79" s="462">
        <f t="shared" si="51"/>
        <v>0</v>
      </c>
      <c r="AS79" s="192"/>
      <c r="AT79" s="192"/>
      <c r="AU79" s="464">
        <f t="shared" si="52"/>
        <v>0</v>
      </c>
      <c r="AV79" s="467">
        <v>0</v>
      </c>
      <c r="AW79" s="203">
        <v>0</v>
      </c>
      <c r="AX79" s="462">
        <f t="shared" si="53"/>
        <v>0</v>
      </c>
      <c r="AY79" s="192"/>
      <c r="AZ79" s="192"/>
      <c r="BA79" s="464">
        <f t="shared" si="54"/>
        <v>0</v>
      </c>
      <c r="BB79" s="467">
        <v>0</v>
      </c>
      <c r="BC79" s="203">
        <v>0</v>
      </c>
      <c r="BD79" s="462">
        <f t="shared" si="55"/>
        <v>0</v>
      </c>
      <c r="BE79" s="192"/>
      <c r="BF79" s="192"/>
      <c r="BG79" s="464">
        <f t="shared" si="56"/>
        <v>0</v>
      </c>
      <c r="BH79" s="467">
        <v>0</v>
      </c>
      <c r="BI79" s="203">
        <v>0</v>
      </c>
      <c r="BJ79" s="462">
        <f t="shared" si="57"/>
        <v>0</v>
      </c>
      <c r="BK79" s="192"/>
      <c r="BL79" s="192"/>
      <c r="BM79" s="464">
        <f t="shared" si="58"/>
        <v>0</v>
      </c>
      <c r="BN79" s="467">
        <v>0</v>
      </c>
      <c r="BO79" s="203">
        <v>0</v>
      </c>
      <c r="BP79" s="462">
        <f t="shared" si="59"/>
        <v>0</v>
      </c>
      <c r="BQ79" s="192"/>
      <c r="BR79" s="192"/>
      <c r="BS79" s="464">
        <f t="shared" si="60"/>
        <v>0</v>
      </c>
      <c r="BT79" s="467">
        <v>0</v>
      </c>
      <c r="BU79" s="203">
        <v>0</v>
      </c>
      <c r="BV79" s="462">
        <f t="shared" si="61"/>
        <v>0</v>
      </c>
      <c r="BW79" s="300">
        <v>8</v>
      </c>
      <c r="BX79" s="192">
        <v>46553.75</v>
      </c>
      <c r="BY79" s="463">
        <f t="shared" si="62"/>
        <v>304722.22600000002</v>
      </c>
    </row>
    <row r="80" spans="1:77" x14ac:dyDescent="0.2">
      <c r="A80" s="249" t="s">
        <v>106</v>
      </c>
      <c r="B80" s="250" t="s">
        <v>371</v>
      </c>
      <c r="C80" s="251"/>
      <c r="D80" s="249">
        <v>130943</v>
      </c>
      <c r="E80" s="249">
        <v>1</v>
      </c>
      <c r="F80" s="234">
        <v>340</v>
      </c>
      <c r="G80" s="208">
        <v>135635</v>
      </c>
      <c r="H80" s="461">
        <f t="shared" si="39"/>
        <v>46115900</v>
      </c>
      <c r="I80" s="194">
        <v>359</v>
      </c>
      <c r="J80" s="194">
        <v>139178</v>
      </c>
      <c r="K80" s="464">
        <f t="shared" si="40"/>
        <v>49964902</v>
      </c>
      <c r="L80" s="467">
        <v>330</v>
      </c>
      <c r="M80" s="203">
        <v>91859</v>
      </c>
      <c r="N80" s="462">
        <f t="shared" si="41"/>
        <v>30313470</v>
      </c>
      <c r="O80" s="192">
        <v>317</v>
      </c>
      <c r="P80" s="192">
        <v>94661</v>
      </c>
      <c r="Q80" s="464">
        <f t="shared" si="42"/>
        <v>30007537</v>
      </c>
      <c r="R80" s="467">
        <v>275</v>
      </c>
      <c r="S80" s="203">
        <v>78538</v>
      </c>
      <c r="T80" s="462">
        <f t="shared" si="43"/>
        <v>21597950</v>
      </c>
      <c r="U80" s="191">
        <v>285</v>
      </c>
      <c r="V80" s="191">
        <v>81954</v>
      </c>
      <c r="W80" s="464">
        <f t="shared" si="44"/>
        <v>23356890</v>
      </c>
      <c r="X80" s="467">
        <v>94</v>
      </c>
      <c r="Y80" s="203">
        <v>61766</v>
      </c>
      <c r="Z80" s="462">
        <f t="shared" si="45"/>
        <v>5806004</v>
      </c>
      <c r="AA80" s="192">
        <v>90</v>
      </c>
      <c r="AB80" s="192">
        <v>66080</v>
      </c>
      <c r="AC80" s="464">
        <f t="shared" si="46"/>
        <v>5947200</v>
      </c>
      <c r="AD80" s="467">
        <v>0</v>
      </c>
      <c r="AE80" s="203"/>
      <c r="AF80" s="462">
        <f t="shared" si="47"/>
        <v>0</v>
      </c>
      <c r="AG80" s="192">
        <v>0</v>
      </c>
      <c r="AH80" s="192">
        <v>0</v>
      </c>
      <c r="AI80" s="464">
        <f t="shared" si="48"/>
        <v>0</v>
      </c>
      <c r="AJ80" s="467"/>
      <c r="AK80" s="203"/>
      <c r="AL80" s="462">
        <f t="shared" si="49"/>
        <v>0</v>
      </c>
      <c r="AM80" s="192"/>
      <c r="AN80" s="192"/>
      <c r="AO80" s="206">
        <f t="shared" si="50"/>
        <v>0</v>
      </c>
      <c r="AP80" s="203">
        <v>39</v>
      </c>
      <c r="AQ80" s="203">
        <v>153510</v>
      </c>
      <c r="AR80" s="462">
        <f t="shared" si="51"/>
        <v>4898473.398</v>
      </c>
      <c r="AS80" s="192">
        <v>36</v>
      </c>
      <c r="AT80" s="192">
        <v>161002</v>
      </c>
      <c r="AU80" s="464">
        <f t="shared" si="52"/>
        <v>4742346.1104000006</v>
      </c>
      <c r="AV80" s="467">
        <v>20</v>
      </c>
      <c r="AW80" s="203">
        <v>108597</v>
      </c>
      <c r="AX80" s="462">
        <f t="shared" si="53"/>
        <v>1777081.3080000002</v>
      </c>
      <c r="AY80" s="192">
        <v>17</v>
      </c>
      <c r="AZ80" s="192">
        <v>111610</v>
      </c>
      <c r="BA80" s="464">
        <f t="shared" si="54"/>
        <v>1552428.1340000001</v>
      </c>
      <c r="BB80" s="467">
        <v>15</v>
      </c>
      <c r="BC80" s="203">
        <v>81047</v>
      </c>
      <c r="BD80" s="462">
        <f t="shared" si="55"/>
        <v>994689.83100000001</v>
      </c>
      <c r="BE80" s="192">
        <v>15</v>
      </c>
      <c r="BF80" s="192">
        <v>88935</v>
      </c>
      <c r="BG80" s="464">
        <f t="shared" si="56"/>
        <v>1091499.2550000001</v>
      </c>
      <c r="BH80" s="467">
        <v>13</v>
      </c>
      <c r="BI80" s="203">
        <v>65579</v>
      </c>
      <c r="BJ80" s="462">
        <f t="shared" si="57"/>
        <v>697537.59140000003</v>
      </c>
      <c r="BK80" s="192">
        <v>12</v>
      </c>
      <c r="BL80" s="192">
        <v>63727</v>
      </c>
      <c r="BM80" s="464">
        <f t="shared" si="58"/>
        <v>625697.17680000002</v>
      </c>
      <c r="BN80" s="467">
        <v>0</v>
      </c>
      <c r="BO80" s="203"/>
      <c r="BP80" s="462">
        <f t="shared" si="59"/>
        <v>0</v>
      </c>
      <c r="BQ80" s="192">
        <v>0</v>
      </c>
      <c r="BR80" s="192">
        <v>0</v>
      </c>
      <c r="BS80" s="464">
        <f t="shared" si="60"/>
        <v>0</v>
      </c>
      <c r="BT80" s="467"/>
      <c r="BU80" s="203"/>
      <c r="BV80" s="462">
        <f t="shared" si="61"/>
        <v>0</v>
      </c>
      <c r="BW80" s="192">
        <v>0</v>
      </c>
      <c r="BX80" s="192">
        <v>0</v>
      </c>
      <c r="BY80" s="463">
        <f t="shared" si="62"/>
        <v>0</v>
      </c>
    </row>
    <row r="81" spans="1:77" x14ac:dyDescent="0.2">
      <c r="A81" s="249" t="s">
        <v>106</v>
      </c>
      <c r="B81" s="252" t="s">
        <v>372</v>
      </c>
      <c r="C81" s="253" t="s">
        <v>325</v>
      </c>
      <c r="D81" s="249">
        <v>130934</v>
      </c>
      <c r="E81" s="249">
        <v>4</v>
      </c>
      <c r="F81" s="234">
        <v>20</v>
      </c>
      <c r="G81" s="208">
        <v>80156</v>
      </c>
      <c r="H81" s="461">
        <f t="shared" si="39"/>
        <v>1603120</v>
      </c>
      <c r="I81" s="194">
        <v>28</v>
      </c>
      <c r="J81" s="194">
        <v>78554</v>
      </c>
      <c r="K81" s="464">
        <f t="shared" si="40"/>
        <v>2199512</v>
      </c>
      <c r="L81" s="467">
        <v>62</v>
      </c>
      <c r="M81" s="203">
        <v>67605</v>
      </c>
      <c r="N81" s="462">
        <f t="shared" si="41"/>
        <v>4191510</v>
      </c>
      <c r="O81" s="192">
        <v>72</v>
      </c>
      <c r="P81" s="192">
        <v>64313</v>
      </c>
      <c r="Q81" s="464">
        <f t="shared" si="42"/>
        <v>4630536</v>
      </c>
      <c r="R81" s="467">
        <v>53</v>
      </c>
      <c r="S81" s="203">
        <v>61599</v>
      </c>
      <c r="T81" s="462">
        <f t="shared" si="43"/>
        <v>3264747</v>
      </c>
      <c r="U81" s="191">
        <v>54</v>
      </c>
      <c r="V81" s="191">
        <v>59104</v>
      </c>
      <c r="W81" s="464">
        <f t="shared" si="44"/>
        <v>3191616</v>
      </c>
      <c r="X81" s="467">
        <v>11</v>
      </c>
      <c r="Y81" s="203">
        <v>56856</v>
      </c>
      <c r="Z81" s="462">
        <f t="shared" si="45"/>
        <v>625416</v>
      </c>
      <c r="AA81" s="192">
        <v>12</v>
      </c>
      <c r="AB81" s="192">
        <v>47244</v>
      </c>
      <c r="AC81" s="464">
        <f t="shared" si="46"/>
        <v>566928</v>
      </c>
      <c r="AD81" s="467">
        <v>2</v>
      </c>
      <c r="AE81" s="203">
        <v>41893</v>
      </c>
      <c r="AF81" s="462">
        <f t="shared" si="47"/>
        <v>83786</v>
      </c>
      <c r="AG81" s="192">
        <v>2</v>
      </c>
      <c r="AH81" s="192">
        <v>47000</v>
      </c>
      <c r="AI81" s="464">
        <f t="shared" si="48"/>
        <v>94000</v>
      </c>
      <c r="AJ81" s="467"/>
      <c r="AK81" s="203"/>
      <c r="AL81" s="462">
        <f t="shared" si="49"/>
        <v>0</v>
      </c>
      <c r="AM81" s="192"/>
      <c r="AN81" s="192"/>
      <c r="AO81" s="206">
        <f t="shared" si="50"/>
        <v>0</v>
      </c>
      <c r="AP81" s="203">
        <v>16</v>
      </c>
      <c r="AQ81" s="203">
        <v>95348</v>
      </c>
      <c r="AR81" s="462">
        <f t="shared" si="51"/>
        <v>1248219.7376000001</v>
      </c>
      <c r="AS81" s="192">
        <v>11</v>
      </c>
      <c r="AT81" s="192">
        <v>102307</v>
      </c>
      <c r="AU81" s="464">
        <f t="shared" si="52"/>
        <v>920783.46140000003</v>
      </c>
      <c r="AV81" s="467">
        <v>24</v>
      </c>
      <c r="AW81" s="203">
        <v>69440</v>
      </c>
      <c r="AX81" s="462">
        <f t="shared" si="53"/>
        <v>1363579.392</v>
      </c>
      <c r="AY81" s="192">
        <v>19</v>
      </c>
      <c r="AZ81" s="192">
        <v>72315</v>
      </c>
      <c r="BA81" s="464">
        <f t="shared" si="54"/>
        <v>1124194.527</v>
      </c>
      <c r="BB81" s="467">
        <v>10</v>
      </c>
      <c r="BC81" s="203">
        <v>61421</v>
      </c>
      <c r="BD81" s="462">
        <f t="shared" si="55"/>
        <v>502546.62200000003</v>
      </c>
      <c r="BE81" s="192">
        <v>9</v>
      </c>
      <c r="BF81" s="192">
        <v>64841</v>
      </c>
      <c r="BG81" s="464">
        <f t="shared" si="56"/>
        <v>477476.15580000001</v>
      </c>
      <c r="BH81" s="467">
        <v>0</v>
      </c>
      <c r="BI81" s="203"/>
      <c r="BJ81" s="462">
        <f t="shared" si="57"/>
        <v>0</v>
      </c>
      <c r="BK81" s="192"/>
      <c r="BL81" s="192"/>
      <c r="BM81" s="464">
        <f t="shared" si="58"/>
        <v>0</v>
      </c>
      <c r="BN81" s="467"/>
      <c r="BO81" s="203"/>
      <c r="BP81" s="462">
        <f t="shared" si="59"/>
        <v>0</v>
      </c>
      <c r="BQ81" s="192"/>
      <c r="BR81" s="192"/>
      <c r="BS81" s="464">
        <f t="shared" si="60"/>
        <v>0</v>
      </c>
      <c r="BT81" s="467"/>
      <c r="BU81" s="203"/>
      <c r="BV81" s="462">
        <f t="shared" si="61"/>
        <v>0</v>
      </c>
      <c r="BW81" s="192"/>
      <c r="BX81" s="192"/>
      <c r="BY81" s="463">
        <f t="shared" si="62"/>
        <v>0</v>
      </c>
    </row>
    <row r="82" spans="1:77" x14ac:dyDescent="0.2">
      <c r="A82" s="249" t="s">
        <v>106</v>
      </c>
      <c r="B82" s="250" t="s">
        <v>374</v>
      </c>
      <c r="C82" s="271" t="s">
        <v>327</v>
      </c>
      <c r="D82" s="249">
        <v>130916</v>
      </c>
      <c r="E82" s="272">
        <v>8</v>
      </c>
      <c r="F82" s="234"/>
      <c r="G82" s="208"/>
      <c r="H82" s="461">
        <f t="shared" si="39"/>
        <v>0</v>
      </c>
      <c r="I82" s="194"/>
      <c r="J82" s="194"/>
      <c r="K82" s="464">
        <f t="shared" si="40"/>
        <v>0</v>
      </c>
      <c r="L82" s="467"/>
      <c r="M82" s="203"/>
      <c r="N82" s="462">
        <f t="shared" si="41"/>
        <v>0</v>
      </c>
      <c r="O82" s="192"/>
      <c r="P82" s="192"/>
      <c r="Q82" s="464">
        <f t="shared" si="42"/>
        <v>0</v>
      </c>
      <c r="R82" s="467"/>
      <c r="S82" s="203"/>
      <c r="T82" s="462">
        <f t="shared" si="43"/>
        <v>0</v>
      </c>
      <c r="U82" s="191"/>
      <c r="V82" s="191"/>
      <c r="W82" s="464">
        <f t="shared" si="44"/>
        <v>0</v>
      </c>
      <c r="X82" s="467"/>
      <c r="Y82" s="203"/>
      <c r="Z82" s="462">
        <f t="shared" si="45"/>
        <v>0</v>
      </c>
      <c r="AA82" s="192"/>
      <c r="AB82" s="192"/>
      <c r="AC82" s="464">
        <f t="shared" si="46"/>
        <v>0</v>
      </c>
      <c r="AD82" s="467"/>
      <c r="AE82" s="203"/>
      <c r="AF82" s="462">
        <f t="shared" si="47"/>
        <v>0</v>
      </c>
      <c r="AG82" s="192"/>
      <c r="AH82" s="192"/>
      <c r="AI82" s="464">
        <f t="shared" si="48"/>
        <v>0</v>
      </c>
      <c r="AJ82" s="467">
        <v>134</v>
      </c>
      <c r="AK82" s="203">
        <v>63911</v>
      </c>
      <c r="AL82" s="462">
        <f t="shared" si="49"/>
        <v>8564074</v>
      </c>
      <c r="AM82" s="192">
        <v>125</v>
      </c>
      <c r="AN82" s="192">
        <v>64430</v>
      </c>
      <c r="AO82" s="206">
        <f t="shared" si="50"/>
        <v>8053750</v>
      </c>
      <c r="AP82" s="203"/>
      <c r="AQ82" s="203"/>
      <c r="AR82" s="462">
        <f t="shared" si="51"/>
        <v>0</v>
      </c>
      <c r="AS82" s="192"/>
      <c r="AT82" s="192"/>
      <c r="AU82" s="464">
        <f t="shared" si="52"/>
        <v>0</v>
      </c>
      <c r="AV82" s="467"/>
      <c r="AW82" s="203"/>
      <c r="AX82" s="462">
        <f t="shared" si="53"/>
        <v>0</v>
      </c>
      <c r="AY82" s="192"/>
      <c r="AZ82" s="192"/>
      <c r="BA82" s="464">
        <f t="shared" si="54"/>
        <v>0</v>
      </c>
      <c r="BB82" s="467"/>
      <c r="BC82" s="203"/>
      <c r="BD82" s="462">
        <f t="shared" si="55"/>
        <v>0</v>
      </c>
      <c r="BE82" s="192"/>
      <c r="BF82" s="192"/>
      <c r="BG82" s="464">
        <f t="shared" si="56"/>
        <v>0</v>
      </c>
      <c r="BH82" s="467"/>
      <c r="BI82" s="203"/>
      <c r="BJ82" s="462">
        <f t="shared" si="57"/>
        <v>0</v>
      </c>
      <c r="BK82" s="192"/>
      <c r="BL82" s="192"/>
      <c r="BM82" s="464">
        <f t="shared" si="58"/>
        <v>0</v>
      </c>
      <c r="BN82" s="467"/>
      <c r="BO82" s="203"/>
      <c r="BP82" s="462">
        <f t="shared" si="59"/>
        <v>0</v>
      </c>
      <c r="BQ82" s="192"/>
      <c r="BR82" s="192"/>
      <c r="BS82" s="464">
        <f t="shared" si="60"/>
        <v>0</v>
      </c>
      <c r="BT82" s="467">
        <v>45</v>
      </c>
      <c r="BU82" s="203">
        <v>78306</v>
      </c>
      <c r="BV82" s="462">
        <f t="shared" si="61"/>
        <v>2883148.6140000001</v>
      </c>
      <c r="BW82" s="192">
        <v>51</v>
      </c>
      <c r="BX82" s="192">
        <v>77726</v>
      </c>
      <c r="BY82" s="463">
        <f t="shared" si="62"/>
        <v>3243366.0732</v>
      </c>
    </row>
    <row r="83" spans="1:77" x14ac:dyDescent="0.2">
      <c r="A83" s="249" t="s">
        <v>106</v>
      </c>
      <c r="B83" s="250" t="s">
        <v>373</v>
      </c>
      <c r="C83" s="251"/>
      <c r="D83" s="249">
        <v>130891</v>
      </c>
      <c r="E83" s="249">
        <v>9</v>
      </c>
      <c r="F83" s="234"/>
      <c r="G83" s="208"/>
      <c r="H83" s="461">
        <f t="shared" si="39"/>
        <v>0</v>
      </c>
      <c r="I83" s="194"/>
      <c r="J83" s="194"/>
      <c r="K83" s="464">
        <f t="shared" si="40"/>
        <v>0</v>
      </c>
      <c r="L83" s="467"/>
      <c r="M83" s="203"/>
      <c r="N83" s="462">
        <f t="shared" si="41"/>
        <v>0</v>
      </c>
      <c r="O83" s="192"/>
      <c r="P83" s="192"/>
      <c r="Q83" s="464">
        <f t="shared" si="42"/>
        <v>0</v>
      </c>
      <c r="R83" s="467"/>
      <c r="S83" s="203"/>
      <c r="T83" s="462">
        <f t="shared" si="43"/>
        <v>0</v>
      </c>
      <c r="U83" s="191"/>
      <c r="V83" s="191"/>
      <c r="W83" s="464">
        <f t="shared" si="44"/>
        <v>0</v>
      </c>
      <c r="X83" s="467"/>
      <c r="Y83" s="203"/>
      <c r="Z83" s="462">
        <f t="shared" si="45"/>
        <v>0</v>
      </c>
      <c r="AA83" s="192"/>
      <c r="AB83" s="192"/>
      <c r="AC83" s="464">
        <f t="shared" si="46"/>
        <v>0</v>
      </c>
      <c r="AD83" s="467"/>
      <c r="AE83" s="203"/>
      <c r="AF83" s="462">
        <f t="shared" si="47"/>
        <v>0</v>
      </c>
      <c r="AG83" s="192"/>
      <c r="AH83" s="192"/>
      <c r="AI83" s="464">
        <f t="shared" si="48"/>
        <v>0</v>
      </c>
      <c r="AJ83" s="467">
        <v>80</v>
      </c>
      <c r="AK83" s="203">
        <v>63759</v>
      </c>
      <c r="AL83" s="462">
        <f t="shared" si="49"/>
        <v>5100720</v>
      </c>
      <c r="AM83" s="192">
        <v>77</v>
      </c>
      <c r="AN83" s="192">
        <v>64640</v>
      </c>
      <c r="AO83" s="206">
        <f t="shared" si="50"/>
        <v>4977280</v>
      </c>
      <c r="AP83" s="203"/>
      <c r="AQ83" s="203"/>
      <c r="AR83" s="462">
        <f t="shared" si="51"/>
        <v>0</v>
      </c>
      <c r="AS83" s="192"/>
      <c r="AT83" s="192"/>
      <c r="AU83" s="464">
        <f t="shared" si="52"/>
        <v>0</v>
      </c>
      <c r="AV83" s="467"/>
      <c r="AW83" s="203"/>
      <c r="AX83" s="462">
        <f t="shared" si="53"/>
        <v>0</v>
      </c>
      <c r="AY83" s="192"/>
      <c r="AZ83" s="192"/>
      <c r="BA83" s="464">
        <f t="shared" si="54"/>
        <v>0</v>
      </c>
      <c r="BB83" s="467"/>
      <c r="BC83" s="203"/>
      <c r="BD83" s="462">
        <f t="shared" si="55"/>
        <v>0</v>
      </c>
      <c r="BE83" s="192"/>
      <c r="BF83" s="192"/>
      <c r="BG83" s="464">
        <f t="shared" si="56"/>
        <v>0</v>
      </c>
      <c r="BH83" s="467"/>
      <c r="BI83" s="203"/>
      <c r="BJ83" s="462">
        <f t="shared" si="57"/>
        <v>0</v>
      </c>
      <c r="BK83" s="192"/>
      <c r="BL83" s="192"/>
      <c r="BM83" s="464">
        <f t="shared" si="58"/>
        <v>0</v>
      </c>
      <c r="BN83" s="467"/>
      <c r="BO83" s="203"/>
      <c r="BP83" s="462">
        <f t="shared" si="59"/>
        <v>0</v>
      </c>
      <c r="BQ83" s="192"/>
      <c r="BR83" s="192"/>
      <c r="BS83" s="464">
        <f t="shared" si="60"/>
        <v>0</v>
      </c>
      <c r="BT83" s="467">
        <v>41</v>
      </c>
      <c r="BU83" s="203">
        <v>77530</v>
      </c>
      <c r="BV83" s="462">
        <f t="shared" si="61"/>
        <v>2600836.8859999999</v>
      </c>
      <c r="BW83" s="192">
        <v>45</v>
      </c>
      <c r="BX83" s="192">
        <v>79585</v>
      </c>
      <c r="BY83" s="463">
        <f t="shared" si="62"/>
        <v>2930240.1150000002</v>
      </c>
    </row>
    <row r="84" spans="1:77" x14ac:dyDescent="0.2">
      <c r="A84" s="249" t="s">
        <v>106</v>
      </c>
      <c r="B84" s="254" t="s">
        <v>375</v>
      </c>
      <c r="C84" s="255"/>
      <c r="D84" s="249">
        <v>130907</v>
      </c>
      <c r="E84" s="249">
        <v>10</v>
      </c>
      <c r="F84" s="234"/>
      <c r="G84" s="208"/>
      <c r="H84" s="461">
        <f t="shared" si="39"/>
        <v>0</v>
      </c>
      <c r="I84" s="194"/>
      <c r="J84" s="194"/>
      <c r="K84" s="464">
        <f t="shared" si="40"/>
        <v>0</v>
      </c>
      <c r="L84" s="467"/>
      <c r="M84" s="203"/>
      <c r="N84" s="462">
        <f t="shared" si="41"/>
        <v>0</v>
      </c>
      <c r="O84" s="192"/>
      <c r="P84" s="192"/>
      <c r="Q84" s="464">
        <f t="shared" si="42"/>
        <v>0</v>
      </c>
      <c r="R84" s="467"/>
      <c r="S84" s="203"/>
      <c r="T84" s="462">
        <f t="shared" si="43"/>
        <v>0</v>
      </c>
      <c r="U84" s="191"/>
      <c r="V84" s="191"/>
      <c r="W84" s="464">
        <f t="shared" si="44"/>
        <v>0</v>
      </c>
      <c r="X84" s="467"/>
      <c r="Y84" s="203"/>
      <c r="Z84" s="462">
        <f t="shared" si="45"/>
        <v>0</v>
      </c>
      <c r="AA84" s="192"/>
      <c r="AB84" s="192"/>
      <c r="AC84" s="464">
        <f t="shared" si="46"/>
        <v>0</v>
      </c>
      <c r="AD84" s="467"/>
      <c r="AE84" s="203"/>
      <c r="AF84" s="462">
        <f t="shared" si="47"/>
        <v>0</v>
      </c>
      <c r="AG84" s="192"/>
      <c r="AH84" s="192"/>
      <c r="AI84" s="464">
        <f t="shared" si="48"/>
        <v>0</v>
      </c>
      <c r="AJ84" s="467">
        <v>60</v>
      </c>
      <c r="AK84" s="203">
        <v>63681</v>
      </c>
      <c r="AL84" s="462">
        <f t="shared" si="49"/>
        <v>3820860</v>
      </c>
      <c r="AM84" s="192">
        <v>58</v>
      </c>
      <c r="AN84" s="192">
        <v>63549</v>
      </c>
      <c r="AO84" s="206">
        <f t="shared" si="50"/>
        <v>3685842</v>
      </c>
      <c r="AP84" s="203"/>
      <c r="AQ84" s="203"/>
      <c r="AR84" s="462">
        <f t="shared" si="51"/>
        <v>0</v>
      </c>
      <c r="AS84" s="192"/>
      <c r="AT84" s="192"/>
      <c r="AU84" s="464">
        <f t="shared" si="52"/>
        <v>0</v>
      </c>
      <c r="AV84" s="467"/>
      <c r="AW84" s="203"/>
      <c r="AX84" s="462">
        <f t="shared" si="53"/>
        <v>0</v>
      </c>
      <c r="AY84" s="192"/>
      <c r="AZ84" s="192"/>
      <c r="BA84" s="464">
        <f t="shared" si="54"/>
        <v>0</v>
      </c>
      <c r="BB84" s="467"/>
      <c r="BC84" s="203"/>
      <c r="BD84" s="462">
        <f t="shared" si="55"/>
        <v>0</v>
      </c>
      <c r="BE84" s="192"/>
      <c r="BF84" s="192"/>
      <c r="BG84" s="464">
        <f t="shared" si="56"/>
        <v>0</v>
      </c>
      <c r="BH84" s="467"/>
      <c r="BI84" s="203"/>
      <c r="BJ84" s="462">
        <f t="shared" si="57"/>
        <v>0</v>
      </c>
      <c r="BK84" s="192"/>
      <c r="BL84" s="192"/>
      <c r="BM84" s="464">
        <f t="shared" si="58"/>
        <v>0</v>
      </c>
      <c r="BN84" s="467"/>
      <c r="BO84" s="203"/>
      <c r="BP84" s="462">
        <f t="shared" si="59"/>
        <v>0</v>
      </c>
      <c r="BQ84" s="192"/>
      <c r="BR84" s="192"/>
      <c r="BS84" s="464">
        <f t="shared" si="60"/>
        <v>0</v>
      </c>
      <c r="BT84" s="467">
        <v>24</v>
      </c>
      <c r="BU84" s="203">
        <v>77979</v>
      </c>
      <c r="BV84" s="462">
        <f t="shared" si="61"/>
        <v>1531258.0272000001</v>
      </c>
      <c r="BW84" s="192">
        <v>27</v>
      </c>
      <c r="BX84" s="192">
        <v>76290</v>
      </c>
      <c r="BY84" s="463">
        <f t="shared" si="62"/>
        <v>1685352.9060000002</v>
      </c>
    </row>
    <row r="85" spans="1:77" ht="15" x14ac:dyDescent="0.25">
      <c r="A85" s="256" t="s">
        <v>114</v>
      </c>
      <c r="B85" s="257" t="s">
        <v>376</v>
      </c>
      <c r="C85" s="258"/>
      <c r="D85" s="259">
        <v>133951</v>
      </c>
      <c r="E85" s="260">
        <v>1</v>
      </c>
      <c r="F85" s="234">
        <v>198</v>
      </c>
      <c r="G85" s="208">
        <v>112485.42545454546</v>
      </c>
      <c r="H85" s="461">
        <f t="shared" si="39"/>
        <v>22272114.240000002</v>
      </c>
      <c r="I85" s="261">
        <v>208</v>
      </c>
      <c r="J85" s="261">
        <v>113626.77961538461</v>
      </c>
      <c r="K85" s="464">
        <f t="shared" si="40"/>
        <v>23634370.16</v>
      </c>
      <c r="L85" s="467">
        <v>248</v>
      </c>
      <c r="M85" s="203">
        <v>81294.390846774186</v>
      </c>
      <c r="N85" s="462">
        <f t="shared" si="41"/>
        <v>20161008.93</v>
      </c>
      <c r="O85" s="262">
        <v>240</v>
      </c>
      <c r="P85" s="262">
        <v>82573.168374999994</v>
      </c>
      <c r="Q85" s="464">
        <f t="shared" si="42"/>
        <v>19817560.41</v>
      </c>
      <c r="R85" s="467">
        <v>211</v>
      </c>
      <c r="S85" s="203">
        <v>73105.763270142183</v>
      </c>
      <c r="T85" s="462">
        <f t="shared" si="43"/>
        <v>15425316.050000001</v>
      </c>
      <c r="U85" s="263">
        <v>228</v>
      </c>
      <c r="V85" s="262">
        <v>74246.975877192977</v>
      </c>
      <c r="W85" s="464">
        <f t="shared" si="44"/>
        <v>16928310.5</v>
      </c>
      <c r="X85" s="467">
        <v>111</v>
      </c>
      <c r="Y85" s="203">
        <v>53853.389009009006</v>
      </c>
      <c r="Z85" s="462">
        <f t="shared" si="45"/>
        <v>5977726.1799999997</v>
      </c>
      <c r="AA85" s="264">
        <v>123</v>
      </c>
      <c r="AB85" s="262">
        <v>55194.510569105689</v>
      </c>
      <c r="AC85" s="464">
        <f t="shared" si="46"/>
        <v>6788924.7999999998</v>
      </c>
      <c r="AD85" s="467">
        <v>40</v>
      </c>
      <c r="AE85" s="203">
        <v>65280</v>
      </c>
      <c r="AF85" s="462">
        <f t="shared" si="47"/>
        <v>2611200</v>
      </c>
      <c r="AG85" s="262">
        <v>0</v>
      </c>
      <c r="AH85" s="262"/>
      <c r="AI85" s="464">
        <f t="shared" si="48"/>
        <v>0</v>
      </c>
      <c r="AJ85" s="467"/>
      <c r="AK85" s="203"/>
      <c r="AL85" s="462">
        <f t="shared" si="49"/>
        <v>0</v>
      </c>
      <c r="AM85" s="192"/>
      <c r="AN85" s="192"/>
      <c r="AO85" s="206">
        <f t="shared" si="50"/>
        <v>0</v>
      </c>
      <c r="AP85" s="203">
        <v>17</v>
      </c>
      <c r="AQ85" s="203">
        <v>197040.34882352941</v>
      </c>
      <c r="AR85" s="462">
        <f t="shared" si="51"/>
        <v>2740713.0279259998</v>
      </c>
      <c r="AS85" s="264">
        <v>14</v>
      </c>
      <c r="AT85" s="262">
        <v>181460.58714285717</v>
      </c>
      <c r="AU85" s="464">
        <f t="shared" si="52"/>
        <v>2078594.7336040002</v>
      </c>
      <c r="AV85" s="467">
        <v>11</v>
      </c>
      <c r="AW85" s="203">
        <v>119851.94545454545</v>
      </c>
      <c r="AX85" s="462">
        <f t="shared" si="53"/>
        <v>1078691.47948</v>
      </c>
      <c r="AY85" s="264">
        <v>14</v>
      </c>
      <c r="AZ85" s="262">
        <v>126427.62571428572</v>
      </c>
      <c r="BA85" s="464">
        <f t="shared" si="54"/>
        <v>1448203.1670320001</v>
      </c>
      <c r="BB85" s="467">
        <v>8</v>
      </c>
      <c r="BC85" s="203">
        <v>102716.58875</v>
      </c>
      <c r="BD85" s="462">
        <f t="shared" si="55"/>
        <v>672341.70332199999</v>
      </c>
      <c r="BE85" s="262">
        <v>15</v>
      </c>
      <c r="BF85" s="262">
        <v>101458.68066666667</v>
      </c>
      <c r="BG85" s="464">
        <f t="shared" si="56"/>
        <v>1245202.3878220001</v>
      </c>
      <c r="BH85" s="467">
        <v>9</v>
      </c>
      <c r="BI85" s="203">
        <v>86410.183333333334</v>
      </c>
      <c r="BJ85" s="462">
        <f t="shared" si="57"/>
        <v>636307.30803000007</v>
      </c>
      <c r="BK85" s="264">
        <v>10</v>
      </c>
      <c r="BL85" s="262">
        <v>82977.062999999995</v>
      </c>
      <c r="BM85" s="464">
        <f t="shared" si="58"/>
        <v>678918.32946599997</v>
      </c>
      <c r="BN85" s="467">
        <v>7</v>
      </c>
      <c r="BO85" s="203">
        <v>88181.349999999991</v>
      </c>
      <c r="BP85" s="462">
        <f t="shared" si="59"/>
        <v>505049.86398999998</v>
      </c>
      <c r="BQ85" s="264">
        <v>0</v>
      </c>
      <c r="BR85" s="262"/>
      <c r="BS85" s="464">
        <f t="shared" si="60"/>
        <v>0</v>
      </c>
      <c r="BT85" s="467"/>
      <c r="BU85" s="203"/>
      <c r="BV85" s="462">
        <f t="shared" si="61"/>
        <v>0</v>
      </c>
      <c r="BW85" s="192"/>
      <c r="BX85" s="192"/>
      <c r="BY85" s="463">
        <f t="shared" si="62"/>
        <v>0</v>
      </c>
    </row>
    <row r="86" spans="1:77" ht="15" x14ac:dyDescent="0.25">
      <c r="A86" s="256" t="s">
        <v>114</v>
      </c>
      <c r="B86" s="265" t="s">
        <v>377</v>
      </c>
      <c r="C86" s="266"/>
      <c r="D86" s="256">
        <v>134097</v>
      </c>
      <c r="E86" s="267">
        <v>1</v>
      </c>
      <c r="F86" s="234">
        <v>442</v>
      </c>
      <c r="G86" s="208">
        <v>103432.64027149322</v>
      </c>
      <c r="H86" s="461">
        <f t="shared" si="39"/>
        <v>45717227</v>
      </c>
      <c r="I86" s="261">
        <v>441</v>
      </c>
      <c r="J86" s="261">
        <v>108180.68253968254</v>
      </c>
      <c r="K86" s="464">
        <f t="shared" si="40"/>
        <v>47707681</v>
      </c>
      <c r="L86" s="467">
        <v>342</v>
      </c>
      <c r="M86" s="203">
        <v>73725.54678362573</v>
      </c>
      <c r="N86" s="462">
        <f t="shared" si="41"/>
        <v>25214137</v>
      </c>
      <c r="O86" s="262">
        <v>327</v>
      </c>
      <c r="P86" s="262">
        <v>75485.715596330279</v>
      </c>
      <c r="Q86" s="464">
        <f t="shared" si="42"/>
        <v>24683829</v>
      </c>
      <c r="R86" s="467">
        <v>239</v>
      </c>
      <c r="S86" s="203">
        <v>72372.456066945611</v>
      </c>
      <c r="T86" s="462">
        <f t="shared" si="43"/>
        <v>17297017</v>
      </c>
      <c r="U86" s="263">
        <v>228</v>
      </c>
      <c r="V86" s="262">
        <v>75941.280701754382</v>
      </c>
      <c r="W86" s="464">
        <f t="shared" si="44"/>
        <v>17314612</v>
      </c>
      <c r="X86" s="467">
        <v>4</v>
      </c>
      <c r="Y86" s="203">
        <v>34267.5</v>
      </c>
      <c r="Z86" s="462">
        <f t="shared" si="45"/>
        <v>137070</v>
      </c>
      <c r="AA86" s="264">
        <v>2</v>
      </c>
      <c r="AB86" s="262">
        <v>46446</v>
      </c>
      <c r="AC86" s="464">
        <f t="shared" si="46"/>
        <v>92892</v>
      </c>
      <c r="AD86" s="467">
        <v>117</v>
      </c>
      <c r="AE86" s="203">
        <v>52866.837606837609</v>
      </c>
      <c r="AF86" s="462">
        <f t="shared" si="47"/>
        <v>6185420</v>
      </c>
      <c r="AG86" s="262">
        <v>117</v>
      </c>
      <c r="AH86" s="262">
        <v>55637.965811965812</v>
      </c>
      <c r="AI86" s="464">
        <f t="shared" si="48"/>
        <v>6509642</v>
      </c>
      <c r="AJ86" s="467"/>
      <c r="AK86" s="203"/>
      <c r="AL86" s="462">
        <f t="shared" si="49"/>
        <v>0</v>
      </c>
      <c r="AM86" s="192"/>
      <c r="AN86" s="192"/>
      <c r="AO86" s="206">
        <f t="shared" si="50"/>
        <v>0</v>
      </c>
      <c r="AP86" s="203">
        <v>5</v>
      </c>
      <c r="AQ86" s="203">
        <v>149330.79999999999</v>
      </c>
      <c r="AR86" s="462">
        <f t="shared" si="51"/>
        <v>610912.30280000006</v>
      </c>
      <c r="AS86" s="264">
        <v>7</v>
      </c>
      <c r="AT86" s="262">
        <v>192587</v>
      </c>
      <c r="AU86" s="464">
        <f t="shared" si="52"/>
        <v>1103022.7838000001</v>
      </c>
      <c r="AV86" s="467">
        <v>0</v>
      </c>
      <c r="AW86" s="203"/>
      <c r="AX86" s="462">
        <f t="shared" si="53"/>
        <v>0</v>
      </c>
      <c r="AY86" s="264">
        <v>1</v>
      </c>
      <c r="AZ86" s="262">
        <v>96006</v>
      </c>
      <c r="BA86" s="464">
        <f t="shared" si="54"/>
        <v>78552.109200000006</v>
      </c>
      <c r="BB86" s="467">
        <v>1</v>
      </c>
      <c r="BC86" s="203">
        <v>66000</v>
      </c>
      <c r="BD86" s="462">
        <f t="shared" si="55"/>
        <v>54001.200000000004</v>
      </c>
      <c r="BE86" s="262">
        <v>1</v>
      </c>
      <c r="BF86" s="262">
        <v>106153</v>
      </c>
      <c r="BG86" s="464">
        <f t="shared" si="56"/>
        <v>86854.384600000005</v>
      </c>
      <c r="BH86" s="467">
        <v>1</v>
      </c>
      <c r="BI86" s="203">
        <v>36000</v>
      </c>
      <c r="BJ86" s="462">
        <f t="shared" si="57"/>
        <v>29455.200000000001</v>
      </c>
      <c r="BK86" s="264">
        <v>5</v>
      </c>
      <c r="BL86" s="262">
        <v>36000</v>
      </c>
      <c r="BM86" s="464">
        <f t="shared" si="58"/>
        <v>147276</v>
      </c>
      <c r="BN86" s="467">
        <v>97</v>
      </c>
      <c r="BO86" s="203">
        <v>67485.47422680413</v>
      </c>
      <c r="BP86" s="462">
        <f t="shared" si="59"/>
        <v>5356011.656200001</v>
      </c>
      <c r="BQ86" s="264">
        <v>111</v>
      </c>
      <c r="BR86" s="262">
        <v>69739.801801801805</v>
      </c>
      <c r="BS86" s="464">
        <f t="shared" si="60"/>
        <v>6333782.7476000004</v>
      </c>
      <c r="BT86" s="467"/>
      <c r="BU86" s="203"/>
      <c r="BV86" s="462">
        <f t="shared" si="61"/>
        <v>0</v>
      </c>
      <c r="BW86" s="192"/>
      <c r="BX86" s="192"/>
      <c r="BY86" s="463">
        <f t="shared" si="62"/>
        <v>0</v>
      </c>
    </row>
    <row r="87" spans="1:77" ht="15" x14ac:dyDescent="0.25">
      <c r="A87" s="256" t="s">
        <v>114</v>
      </c>
      <c r="B87" s="257" t="s">
        <v>378</v>
      </c>
      <c r="C87" s="258"/>
      <c r="D87" s="256">
        <v>132903</v>
      </c>
      <c r="E87" s="256">
        <v>1</v>
      </c>
      <c r="F87" s="234">
        <v>200</v>
      </c>
      <c r="G87" s="208">
        <v>111912.2</v>
      </c>
      <c r="H87" s="461">
        <f t="shared" si="39"/>
        <v>22382440</v>
      </c>
      <c r="I87" s="261">
        <v>193</v>
      </c>
      <c r="J87" s="261">
        <v>117002.34196891192</v>
      </c>
      <c r="K87" s="464">
        <f t="shared" si="40"/>
        <v>22581452</v>
      </c>
      <c r="L87" s="467">
        <v>296</v>
      </c>
      <c r="M87" s="203">
        <v>76835.138513513521</v>
      </c>
      <c r="N87" s="462">
        <f t="shared" si="41"/>
        <v>22743201.000000004</v>
      </c>
      <c r="O87" s="262">
        <v>305</v>
      </c>
      <c r="P87" s="262">
        <v>79753.570491803272</v>
      </c>
      <c r="Q87" s="464">
        <f t="shared" si="42"/>
        <v>24324838.999999996</v>
      </c>
      <c r="R87" s="467">
        <v>198</v>
      </c>
      <c r="S87" s="203">
        <v>63603.984848484848</v>
      </c>
      <c r="T87" s="462">
        <f t="shared" si="43"/>
        <v>12593589</v>
      </c>
      <c r="U87" s="263">
        <v>214</v>
      </c>
      <c r="V87" s="262">
        <v>65403.350467289718</v>
      </c>
      <c r="W87" s="464">
        <f t="shared" si="44"/>
        <v>13996317</v>
      </c>
      <c r="X87" s="467">
        <v>256</v>
      </c>
      <c r="Y87" s="203">
        <v>44946.38671875</v>
      </c>
      <c r="Z87" s="462">
        <f t="shared" si="45"/>
        <v>11506275</v>
      </c>
      <c r="AA87" s="264">
        <v>267</v>
      </c>
      <c r="AB87" s="262">
        <v>46624.183520599254</v>
      </c>
      <c r="AC87" s="464">
        <f t="shared" si="46"/>
        <v>12448657</v>
      </c>
      <c r="AD87" s="467">
        <v>62</v>
      </c>
      <c r="AE87" s="203">
        <v>56754.661290322583</v>
      </c>
      <c r="AF87" s="462">
        <f t="shared" si="47"/>
        <v>3518789</v>
      </c>
      <c r="AG87" s="262">
        <v>0</v>
      </c>
      <c r="AH87" s="262"/>
      <c r="AI87" s="464">
        <f t="shared" si="48"/>
        <v>0</v>
      </c>
      <c r="AJ87" s="467"/>
      <c r="AK87" s="203"/>
      <c r="AL87" s="462">
        <f t="shared" si="49"/>
        <v>0</v>
      </c>
      <c r="AM87" s="192"/>
      <c r="AN87" s="192"/>
      <c r="AO87" s="206">
        <f t="shared" si="50"/>
        <v>0</v>
      </c>
      <c r="AP87" s="203">
        <v>46</v>
      </c>
      <c r="AQ87" s="203">
        <v>163851.17391304349</v>
      </c>
      <c r="AR87" s="462">
        <f t="shared" si="51"/>
        <v>6166899.4028000003</v>
      </c>
      <c r="AS87" s="264">
        <v>36</v>
      </c>
      <c r="AT87" s="262">
        <v>161064.47222222222</v>
      </c>
      <c r="AU87" s="464">
        <f t="shared" si="52"/>
        <v>4744186.2422000002</v>
      </c>
      <c r="AV87" s="467">
        <v>19</v>
      </c>
      <c r="AW87" s="203">
        <v>132341.31578947368</v>
      </c>
      <c r="AX87" s="462">
        <f t="shared" si="53"/>
        <v>2057351.6270000001</v>
      </c>
      <c r="AY87" s="264">
        <v>18</v>
      </c>
      <c r="AZ87" s="262">
        <v>130082.05555555556</v>
      </c>
      <c r="BA87" s="464">
        <f t="shared" si="54"/>
        <v>1915796.4814000002</v>
      </c>
      <c r="BB87" s="467">
        <v>11</v>
      </c>
      <c r="BC87" s="203">
        <v>132597.27272727274</v>
      </c>
      <c r="BD87" s="462">
        <f t="shared" si="55"/>
        <v>1193401.9740000002</v>
      </c>
      <c r="BE87" s="262">
        <v>0</v>
      </c>
      <c r="BF87" s="262"/>
      <c r="BG87" s="464">
        <f t="shared" si="56"/>
        <v>0</v>
      </c>
      <c r="BH87" s="467">
        <v>54</v>
      </c>
      <c r="BI87" s="203">
        <v>58996.592592592591</v>
      </c>
      <c r="BJ87" s="462">
        <f t="shared" si="57"/>
        <v>2606634.6512000002</v>
      </c>
      <c r="BK87" s="264">
        <v>53</v>
      </c>
      <c r="BL87" s="262">
        <v>62167.07547169811</v>
      </c>
      <c r="BM87" s="464">
        <f t="shared" si="58"/>
        <v>2695850.361</v>
      </c>
      <c r="BN87" s="467">
        <v>3</v>
      </c>
      <c r="BO87" s="203">
        <v>97050</v>
      </c>
      <c r="BP87" s="462">
        <f t="shared" si="59"/>
        <v>238218.93000000002</v>
      </c>
      <c r="BQ87" s="264">
        <v>0</v>
      </c>
      <c r="BR87" s="262"/>
      <c r="BS87" s="464">
        <f t="shared" si="60"/>
        <v>0</v>
      </c>
      <c r="BT87" s="467"/>
      <c r="BU87" s="203"/>
      <c r="BV87" s="462">
        <f t="shared" si="61"/>
        <v>0</v>
      </c>
      <c r="BW87" s="192"/>
      <c r="BX87" s="192"/>
      <c r="BY87" s="463">
        <f t="shared" si="62"/>
        <v>0</v>
      </c>
    </row>
    <row r="88" spans="1:77" ht="15" x14ac:dyDescent="0.25">
      <c r="A88" s="256" t="s">
        <v>114</v>
      </c>
      <c r="B88" s="265" t="s">
        <v>379</v>
      </c>
      <c r="C88" s="266"/>
      <c r="D88" s="256">
        <v>134130</v>
      </c>
      <c r="E88" s="267">
        <v>1</v>
      </c>
      <c r="F88" s="234">
        <v>470</v>
      </c>
      <c r="G88" s="208">
        <v>125476.27234042554</v>
      </c>
      <c r="H88" s="461">
        <f t="shared" si="39"/>
        <v>58973848</v>
      </c>
      <c r="I88" s="261">
        <v>485</v>
      </c>
      <c r="J88" s="261">
        <v>125356.40618556702</v>
      </c>
      <c r="K88" s="464">
        <f t="shared" si="40"/>
        <v>60797857</v>
      </c>
      <c r="L88" s="467">
        <v>418</v>
      </c>
      <c r="M88" s="203">
        <v>81057.363636363632</v>
      </c>
      <c r="N88" s="462">
        <f t="shared" si="41"/>
        <v>33881978</v>
      </c>
      <c r="O88" s="262">
        <v>415</v>
      </c>
      <c r="P88" s="262">
        <v>81149.518072289153</v>
      </c>
      <c r="Q88" s="464">
        <f t="shared" si="42"/>
        <v>33677050</v>
      </c>
      <c r="R88" s="467">
        <v>282</v>
      </c>
      <c r="S88" s="203">
        <v>73116.907801418434</v>
      </c>
      <c r="T88" s="462">
        <f t="shared" si="43"/>
        <v>20618968</v>
      </c>
      <c r="U88" s="263">
        <v>248</v>
      </c>
      <c r="V88" s="262">
        <v>75511.475806451606</v>
      </c>
      <c r="W88" s="464">
        <f t="shared" si="44"/>
        <v>18726846</v>
      </c>
      <c r="X88" s="467">
        <v>0</v>
      </c>
      <c r="Y88" s="203"/>
      <c r="Z88" s="462">
        <f t="shared" si="45"/>
        <v>0</v>
      </c>
      <c r="AA88" s="264">
        <v>0</v>
      </c>
      <c r="AB88" s="262"/>
      <c r="AC88" s="464">
        <f t="shared" si="46"/>
        <v>0</v>
      </c>
      <c r="AD88" s="467">
        <v>133</v>
      </c>
      <c r="AE88" s="203">
        <v>56910.977443609023</v>
      </c>
      <c r="AF88" s="462">
        <f t="shared" si="47"/>
        <v>7569160</v>
      </c>
      <c r="AG88" s="262">
        <v>0</v>
      </c>
      <c r="AH88" s="262"/>
      <c r="AI88" s="464">
        <f t="shared" si="48"/>
        <v>0</v>
      </c>
      <c r="AJ88" s="467"/>
      <c r="AK88" s="203"/>
      <c r="AL88" s="462">
        <f t="shared" si="49"/>
        <v>0</v>
      </c>
      <c r="AM88" s="192"/>
      <c r="AN88" s="192"/>
      <c r="AO88" s="206">
        <f t="shared" si="50"/>
        <v>0</v>
      </c>
      <c r="AP88" s="203">
        <v>219</v>
      </c>
      <c r="AQ88" s="203">
        <v>140314.27397260274</v>
      </c>
      <c r="AR88" s="462">
        <f t="shared" si="51"/>
        <v>25142325.433200002</v>
      </c>
      <c r="AS88" s="264">
        <v>221</v>
      </c>
      <c r="AT88" s="262">
        <v>139127.51131221719</v>
      </c>
      <c r="AU88" s="464">
        <f t="shared" si="52"/>
        <v>25157342.676000003</v>
      </c>
      <c r="AV88" s="467">
        <v>171</v>
      </c>
      <c r="AW88" s="203">
        <v>94579.233918128652</v>
      </c>
      <c r="AX88" s="462">
        <f t="shared" si="53"/>
        <v>13232788.6918</v>
      </c>
      <c r="AY88" s="264">
        <v>182</v>
      </c>
      <c r="AZ88" s="262">
        <v>94964.225274725279</v>
      </c>
      <c r="BA88" s="464">
        <f t="shared" si="54"/>
        <v>14141350.699800001</v>
      </c>
      <c r="BB88" s="467">
        <v>232</v>
      </c>
      <c r="BC88" s="203">
        <v>76558.625</v>
      </c>
      <c r="BD88" s="462">
        <f t="shared" si="55"/>
        <v>14532541.938200001</v>
      </c>
      <c r="BE88" s="262">
        <v>233</v>
      </c>
      <c r="BF88" s="262">
        <v>75719.570815450643</v>
      </c>
      <c r="BG88" s="464">
        <f t="shared" si="56"/>
        <v>14435224.412</v>
      </c>
      <c r="BH88" s="467">
        <v>0</v>
      </c>
      <c r="BI88" s="203"/>
      <c r="BJ88" s="462">
        <f t="shared" si="57"/>
        <v>0</v>
      </c>
      <c r="BK88" s="264">
        <v>0</v>
      </c>
      <c r="BL88" s="262"/>
      <c r="BM88" s="464">
        <f t="shared" si="58"/>
        <v>0</v>
      </c>
      <c r="BN88" s="467">
        <v>67</v>
      </c>
      <c r="BO88" s="203">
        <v>75887.507462686568</v>
      </c>
      <c r="BP88" s="462">
        <f t="shared" si="59"/>
        <v>4160107.6266000001</v>
      </c>
      <c r="BQ88" s="264">
        <v>0</v>
      </c>
      <c r="BR88" s="262"/>
      <c r="BS88" s="464">
        <f t="shared" si="60"/>
        <v>0</v>
      </c>
      <c r="BT88" s="467"/>
      <c r="BU88" s="203"/>
      <c r="BV88" s="462">
        <f t="shared" si="61"/>
        <v>0</v>
      </c>
      <c r="BW88" s="192"/>
      <c r="BX88" s="192"/>
      <c r="BY88" s="463">
        <f t="shared" si="62"/>
        <v>0</v>
      </c>
    </row>
    <row r="89" spans="1:77" ht="15" x14ac:dyDescent="0.25">
      <c r="A89" s="256" t="s">
        <v>114</v>
      </c>
      <c r="B89" s="265" t="s">
        <v>380</v>
      </c>
      <c r="C89" s="266"/>
      <c r="D89" s="256">
        <v>137351</v>
      </c>
      <c r="E89" s="267">
        <v>1</v>
      </c>
      <c r="F89" s="234">
        <v>279</v>
      </c>
      <c r="G89" s="208">
        <v>108733.74551971327</v>
      </c>
      <c r="H89" s="461">
        <f t="shared" si="39"/>
        <v>30336715</v>
      </c>
      <c r="I89" s="261">
        <v>272</v>
      </c>
      <c r="J89" s="261">
        <v>110724.83455882352</v>
      </c>
      <c r="K89" s="464">
        <f t="shared" si="40"/>
        <v>30117155</v>
      </c>
      <c r="L89" s="467">
        <v>316</v>
      </c>
      <c r="M89" s="203">
        <v>77253.465189873416</v>
      </c>
      <c r="N89" s="462">
        <f t="shared" si="41"/>
        <v>24412095</v>
      </c>
      <c r="O89" s="262">
        <v>326</v>
      </c>
      <c r="P89" s="262">
        <v>80012.48466257668</v>
      </c>
      <c r="Q89" s="464">
        <f t="shared" si="42"/>
        <v>26084069.999999996</v>
      </c>
      <c r="R89" s="467">
        <v>311</v>
      </c>
      <c r="S89" s="203">
        <v>67640.816720257237</v>
      </c>
      <c r="T89" s="462">
        <f t="shared" si="43"/>
        <v>21036294</v>
      </c>
      <c r="U89" s="263">
        <v>311</v>
      </c>
      <c r="V89" s="262">
        <v>70159.067524115759</v>
      </c>
      <c r="W89" s="464">
        <f t="shared" si="44"/>
        <v>21819470</v>
      </c>
      <c r="X89" s="467">
        <v>147</v>
      </c>
      <c r="Y89" s="203">
        <v>53529.394557823129</v>
      </c>
      <c r="Z89" s="462">
        <f t="shared" si="45"/>
        <v>7868821</v>
      </c>
      <c r="AA89" s="264">
        <v>152</v>
      </c>
      <c r="AB89" s="262">
        <v>53352.697368421053</v>
      </c>
      <c r="AC89" s="464">
        <f t="shared" si="46"/>
        <v>8109610</v>
      </c>
      <c r="AD89" s="467">
        <v>9</v>
      </c>
      <c r="AE89" s="203">
        <v>52629.111111111109</v>
      </c>
      <c r="AF89" s="462">
        <f t="shared" si="47"/>
        <v>473662</v>
      </c>
      <c r="AG89" s="262">
        <v>0</v>
      </c>
      <c r="AH89" s="262"/>
      <c r="AI89" s="464">
        <f t="shared" si="48"/>
        <v>0</v>
      </c>
      <c r="AJ89" s="467"/>
      <c r="AK89" s="203"/>
      <c r="AL89" s="462">
        <f t="shared" si="49"/>
        <v>0</v>
      </c>
      <c r="AM89" s="192"/>
      <c r="AN89" s="192"/>
      <c r="AO89" s="206">
        <f t="shared" si="50"/>
        <v>0</v>
      </c>
      <c r="AP89" s="203">
        <v>68</v>
      </c>
      <c r="AQ89" s="203">
        <v>134360.66176470587</v>
      </c>
      <c r="AR89" s="462">
        <f t="shared" si="51"/>
        <v>7475504.7549999999</v>
      </c>
      <c r="AS89" s="264">
        <v>66</v>
      </c>
      <c r="AT89" s="262">
        <v>113614.68181818182</v>
      </c>
      <c r="AU89" s="464">
        <f t="shared" si="52"/>
        <v>6135329.1557999998</v>
      </c>
      <c r="AV89" s="467">
        <v>55</v>
      </c>
      <c r="AW89" s="203">
        <v>95552.654545454541</v>
      </c>
      <c r="AX89" s="462">
        <f t="shared" si="53"/>
        <v>4299965.0071999999</v>
      </c>
      <c r="AY89" s="264">
        <v>38</v>
      </c>
      <c r="AZ89" s="262">
        <v>83578.105263157893</v>
      </c>
      <c r="BA89" s="464">
        <f t="shared" si="54"/>
        <v>2598577.0175999999</v>
      </c>
      <c r="BB89" s="467">
        <v>53</v>
      </c>
      <c r="BC89" s="203">
        <v>76724.75471698113</v>
      </c>
      <c r="BD89" s="462">
        <f t="shared" si="55"/>
        <v>3327138.2984000002</v>
      </c>
      <c r="BE89" s="262">
        <v>44</v>
      </c>
      <c r="BF89" s="262">
        <v>65771.75</v>
      </c>
      <c r="BG89" s="464">
        <f t="shared" si="56"/>
        <v>2367835.6174000003</v>
      </c>
      <c r="BH89" s="467">
        <v>77</v>
      </c>
      <c r="BI89" s="203">
        <v>58835.038961038961</v>
      </c>
      <c r="BJ89" s="462">
        <f t="shared" si="57"/>
        <v>3706689.8236000002</v>
      </c>
      <c r="BK89" s="264">
        <v>78</v>
      </c>
      <c r="BL89" s="262">
        <v>48867.538461538461</v>
      </c>
      <c r="BM89" s="464">
        <f t="shared" si="58"/>
        <v>3118706.7576000001</v>
      </c>
      <c r="BN89" s="467">
        <v>2</v>
      </c>
      <c r="BO89" s="203">
        <v>59807</v>
      </c>
      <c r="BP89" s="462">
        <f t="shared" si="59"/>
        <v>97868.174800000008</v>
      </c>
      <c r="BQ89" s="264">
        <v>0</v>
      </c>
      <c r="BR89" s="262"/>
      <c r="BS89" s="464">
        <f t="shared" si="60"/>
        <v>0</v>
      </c>
      <c r="BT89" s="467"/>
      <c r="BU89" s="203"/>
      <c r="BV89" s="462">
        <f t="shared" si="61"/>
        <v>0</v>
      </c>
      <c r="BW89" s="192"/>
      <c r="BX89" s="192"/>
      <c r="BY89" s="463">
        <f t="shared" si="62"/>
        <v>0</v>
      </c>
    </row>
    <row r="90" spans="1:77" ht="15" x14ac:dyDescent="0.25">
      <c r="A90" s="256" t="s">
        <v>114</v>
      </c>
      <c r="B90" s="265" t="s">
        <v>381</v>
      </c>
      <c r="C90" s="266"/>
      <c r="D90" s="256">
        <v>133669</v>
      </c>
      <c r="E90" s="267">
        <v>2</v>
      </c>
      <c r="F90" s="234">
        <v>189</v>
      </c>
      <c r="G90" s="208">
        <v>96491.153439153437</v>
      </c>
      <c r="H90" s="461">
        <f t="shared" si="39"/>
        <v>18236828</v>
      </c>
      <c r="I90" s="261">
        <v>194</v>
      </c>
      <c r="J90" s="261">
        <v>95953.407216494845</v>
      </c>
      <c r="K90" s="464">
        <f t="shared" si="40"/>
        <v>18614961</v>
      </c>
      <c r="L90" s="467">
        <v>216</v>
      </c>
      <c r="M90" s="203">
        <v>72057.481481481474</v>
      </c>
      <c r="N90" s="462">
        <f t="shared" si="41"/>
        <v>15564415.999999998</v>
      </c>
      <c r="O90" s="262">
        <v>224</v>
      </c>
      <c r="P90" s="262">
        <v>72154.767857142855</v>
      </c>
      <c r="Q90" s="464">
        <f t="shared" si="42"/>
        <v>16162668</v>
      </c>
      <c r="R90" s="467">
        <v>160</v>
      </c>
      <c r="S90" s="203">
        <v>64214.393750000003</v>
      </c>
      <c r="T90" s="462">
        <f t="shared" si="43"/>
        <v>10274303</v>
      </c>
      <c r="U90" s="263">
        <v>146</v>
      </c>
      <c r="V90" s="262">
        <v>65129.979452054795</v>
      </c>
      <c r="W90" s="464">
        <f t="shared" si="44"/>
        <v>9508977</v>
      </c>
      <c r="X90" s="467">
        <v>152</v>
      </c>
      <c r="Y90" s="203">
        <v>46307.21710526316</v>
      </c>
      <c r="Z90" s="462">
        <f t="shared" si="45"/>
        <v>7038697</v>
      </c>
      <c r="AA90" s="264">
        <v>160</v>
      </c>
      <c r="AB90" s="262">
        <v>46648.731249999997</v>
      </c>
      <c r="AC90" s="464">
        <f t="shared" si="46"/>
        <v>7463797</v>
      </c>
      <c r="AD90" s="467">
        <v>2</v>
      </c>
      <c r="AE90" s="203">
        <v>50924.5</v>
      </c>
      <c r="AF90" s="462">
        <f t="shared" si="47"/>
        <v>101849</v>
      </c>
      <c r="AG90" s="262">
        <v>0</v>
      </c>
      <c r="AH90" s="262"/>
      <c r="AI90" s="464">
        <f t="shared" si="48"/>
        <v>0</v>
      </c>
      <c r="AJ90" s="467"/>
      <c r="AK90" s="203"/>
      <c r="AL90" s="462">
        <f t="shared" si="49"/>
        <v>0</v>
      </c>
      <c r="AM90" s="192"/>
      <c r="AN90" s="192"/>
      <c r="AO90" s="206">
        <f t="shared" si="50"/>
        <v>0</v>
      </c>
      <c r="AP90" s="203">
        <v>4</v>
      </c>
      <c r="AQ90" s="203">
        <v>128481.25</v>
      </c>
      <c r="AR90" s="462">
        <f t="shared" si="51"/>
        <v>420493.435</v>
      </c>
      <c r="AS90" s="264">
        <v>2</v>
      </c>
      <c r="AT90" s="262">
        <v>113998.5</v>
      </c>
      <c r="AU90" s="464">
        <f t="shared" si="52"/>
        <v>186547.14540000001</v>
      </c>
      <c r="AV90" s="467">
        <v>14</v>
      </c>
      <c r="AW90" s="203">
        <v>94300.28571428571</v>
      </c>
      <c r="AX90" s="462">
        <f t="shared" si="53"/>
        <v>1080190.9128</v>
      </c>
      <c r="AY90" s="264">
        <v>5</v>
      </c>
      <c r="AZ90" s="262">
        <v>92780</v>
      </c>
      <c r="BA90" s="464">
        <f t="shared" si="54"/>
        <v>379562.98000000004</v>
      </c>
      <c r="BB90" s="467">
        <v>6</v>
      </c>
      <c r="BC90" s="203">
        <v>72221</v>
      </c>
      <c r="BD90" s="462">
        <f t="shared" si="55"/>
        <v>354547.33319999999</v>
      </c>
      <c r="BE90" s="262">
        <v>2</v>
      </c>
      <c r="BF90" s="262">
        <v>66957</v>
      </c>
      <c r="BG90" s="464">
        <f t="shared" si="56"/>
        <v>109568.4348</v>
      </c>
      <c r="BH90" s="467">
        <v>30</v>
      </c>
      <c r="BI90" s="203">
        <v>67658.2</v>
      </c>
      <c r="BJ90" s="462">
        <f t="shared" si="57"/>
        <v>1660738.1772</v>
      </c>
      <c r="BK90" s="264">
        <v>28</v>
      </c>
      <c r="BL90" s="262">
        <v>67152.25</v>
      </c>
      <c r="BM90" s="464">
        <f t="shared" si="58"/>
        <v>1538431.1866000001</v>
      </c>
      <c r="BN90" s="467">
        <v>1</v>
      </c>
      <c r="BO90" s="203">
        <v>72157</v>
      </c>
      <c r="BP90" s="462">
        <f t="shared" si="59"/>
        <v>59038.857400000001</v>
      </c>
      <c r="BQ90" s="264">
        <v>1</v>
      </c>
      <c r="BR90" s="262">
        <v>66862</v>
      </c>
      <c r="BS90" s="464">
        <f t="shared" si="60"/>
        <v>54706.488400000002</v>
      </c>
      <c r="BT90" s="467"/>
      <c r="BU90" s="203"/>
      <c r="BV90" s="462">
        <f t="shared" si="61"/>
        <v>0</v>
      </c>
      <c r="BW90" s="192"/>
      <c r="BX90" s="192"/>
      <c r="BY90" s="463">
        <f t="shared" si="62"/>
        <v>0</v>
      </c>
    </row>
    <row r="91" spans="1:77" ht="15" x14ac:dyDescent="0.25">
      <c r="A91" s="256" t="s">
        <v>114</v>
      </c>
      <c r="B91" s="265" t="s">
        <v>382</v>
      </c>
      <c r="C91" s="258" t="s">
        <v>392</v>
      </c>
      <c r="D91" s="256">
        <v>133650</v>
      </c>
      <c r="E91" s="267">
        <v>3</v>
      </c>
      <c r="F91" s="234">
        <v>85</v>
      </c>
      <c r="G91" s="208">
        <v>87729.623529411765</v>
      </c>
      <c r="H91" s="461">
        <f t="shared" si="39"/>
        <v>7457018</v>
      </c>
      <c r="I91" s="261">
        <v>80</v>
      </c>
      <c r="J91" s="261">
        <v>90403.199999999997</v>
      </c>
      <c r="K91" s="464">
        <f t="shared" si="40"/>
        <v>7232256</v>
      </c>
      <c r="L91" s="467">
        <v>124</v>
      </c>
      <c r="M91" s="203">
        <v>72496.661290322576</v>
      </c>
      <c r="N91" s="462">
        <f t="shared" si="41"/>
        <v>8989586</v>
      </c>
      <c r="O91" s="262">
        <v>129</v>
      </c>
      <c r="P91" s="262">
        <v>74278.844961240306</v>
      </c>
      <c r="Q91" s="464">
        <f t="shared" si="42"/>
        <v>9581971</v>
      </c>
      <c r="R91" s="467">
        <v>114</v>
      </c>
      <c r="S91" s="203">
        <v>61973.973684210527</v>
      </c>
      <c r="T91" s="462">
        <f t="shared" si="43"/>
        <v>7065033</v>
      </c>
      <c r="U91" s="263">
        <v>95</v>
      </c>
      <c r="V91" s="262">
        <v>60404.757894736846</v>
      </c>
      <c r="W91" s="464">
        <f t="shared" si="44"/>
        <v>5738452</v>
      </c>
      <c r="X91" s="467">
        <v>42</v>
      </c>
      <c r="Y91" s="203">
        <v>52771.214285714283</v>
      </c>
      <c r="Z91" s="462">
        <f t="shared" si="45"/>
        <v>2216391</v>
      </c>
      <c r="AA91" s="264">
        <v>41</v>
      </c>
      <c r="AB91" s="262">
        <v>54873.121951219509</v>
      </c>
      <c r="AC91" s="464">
        <f t="shared" si="46"/>
        <v>2249798</v>
      </c>
      <c r="AD91" s="467">
        <v>0</v>
      </c>
      <c r="AE91" s="203"/>
      <c r="AF91" s="462">
        <f t="shared" si="47"/>
        <v>0</v>
      </c>
      <c r="AG91" s="262">
        <v>0</v>
      </c>
      <c r="AH91" s="262"/>
      <c r="AI91" s="464">
        <f t="shared" si="48"/>
        <v>0</v>
      </c>
      <c r="AJ91" s="467"/>
      <c r="AK91" s="203"/>
      <c r="AL91" s="462">
        <f t="shared" si="49"/>
        <v>0</v>
      </c>
      <c r="AM91" s="192"/>
      <c r="AN91" s="192"/>
      <c r="AO91" s="206">
        <f t="shared" si="50"/>
        <v>0</v>
      </c>
      <c r="AP91" s="203">
        <v>74</v>
      </c>
      <c r="AQ91" s="203">
        <v>103653.94594594595</v>
      </c>
      <c r="AR91" s="462">
        <f t="shared" si="51"/>
        <v>6275914.7344000004</v>
      </c>
      <c r="AS91" s="264">
        <v>64</v>
      </c>
      <c r="AT91" s="262">
        <v>109748.625</v>
      </c>
      <c r="AU91" s="464">
        <f t="shared" si="52"/>
        <v>5746964.7984000007</v>
      </c>
      <c r="AV91" s="467">
        <v>55</v>
      </c>
      <c r="AW91" s="203">
        <v>90655.2</v>
      </c>
      <c r="AX91" s="462">
        <f t="shared" si="53"/>
        <v>4079574.6552000004</v>
      </c>
      <c r="AY91" s="264">
        <v>55</v>
      </c>
      <c r="AZ91" s="262">
        <v>91986.272727272721</v>
      </c>
      <c r="BA91" s="464">
        <f t="shared" si="54"/>
        <v>4139474.2590000001</v>
      </c>
      <c r="BB91" s="467">
        <v>52</v>
      </c>
      <c r="BC91" s="203">
        <v>76161.480769230766</v>
      </c>
      <c r="BD91" s="462">
        <f t="shared" si="55"/>
        <v>3240396.8254</v>
      </c>
      <c r="BE91" s="262">
        <v>48</v>
      </c>
      <c r="BF91" s="262">
        <v>72799.854166666672</v>
      </c>
      <c r="BG91" s="464">
        <f t="shared" si="56"/>
        <v>2859112.3526000003</v>
      </c>
      <c r="BH91" s="467">
        <v>27</v>
      </c>
      <c r="BI91" s="203">
        <v>59160.333333333336</v>
      </c>
      <c r="BJ91" s="462">
        <f t="shared" si="57"/>
        <v>1306934.5878000001</v>
      </c>
      <c r="BK91" s="264">
        <v>25</v>
      </c>
      <c r="BL91" s="262">
        <v>62651.96</v>
      </c>
      <c r="BM91" s="464">
        <f t="shared" si="58"/>
        <v>1281545.8418000001</v>
      </c>
      <c r="BN91" s="467">
        <v>0</v>
      </c>
      <c r="BO91" s="203"/>
      <c r="BP91" s="462">
        <f t="shared" si="59"/>
        <v>0</v>
      </c>
      <c r="BQ91" s="264">
        <v>0</v>
      </c>
      <c r="BR91" s="262"/>
      <c r="BS91" s="464">
        <f t="shared" si="60"/>
        <v>0</v>
      </c>
      <c r="BT91" s="467"/>
      <c r="BU91" s="203"/>
      <c r="BV91" s="462">
        <f t="shared" si="61"/>
        <v>0</v>
      </c>
      <c r="BW91" s="192"/>
      <c r="BX91" s="192"/>
      <c r="BY91" s="463">
        <f t="shared" si="62"/>
        <v>0</v>
      </c>
    </row>
    <row r="92" spans="1:77" ht="15" x14ac:dyDescent="0.25">
      <c r="A92" s="256" t="s">
        <v>114</v>
      </c>
      <c r="B92" s="265" t="s">
        <v>383</v>
      </c>
      <c r="C92" s="266"/>
      <c r="D92" s="256">
        <v>136172</v>
      </c>
      <c r="E92" s="267">
        <v>3</v>
      </c>
      <c r="F92" s="234">
        <v>67</v>
      </c>
      <c r="G92" s="208">
        <v>91211.67164179105</v>
      </c>
      <c r="H92" s="461">
        <f t="shared" si="39"/>
        <v>6111182</v>
      </c>
      <c r="I92" s="261">
        <v>70</v>
      </c>
      <c r="J92" s="261">
        <v>94772.457142857136</v>
      </c>
      <c r="K92" s="464">
        <f t="shared" si="40"/>
        <v>6634072</v>
      </c>
      <c r="L92" s="467">
        <v>127</v>
      </c>
      <c r="M92" s="203">
        <v>66596.716535433065</v>
      </c>
      <c r="N92" s="462">
        <f t="shared" si="41"/>
        <v>8457783</v>
      </c>
      <c r="O92" s="262">
        <v>130</v>
      </c>
      <c r="P92" s="262">
        <v>67775.530769230769</v>
      </c>
      <c r="Q92" s="464">
        <f t="shared" si="42"/>
        <v>8810819</v>
      </c>
      <c r="R92" s="467">
        <v>146</v>
      </c>
      <c r="S92" s="203">
        <v>55262.219178082189</v>
      </c>
      <c r="T92" s="462">
        <f t="shared" si="43"/>
        <v>8068284</v>
      </c>
      <c r="U92" s="263">
        <v>155</v>
      </c>
      <c r="V92" s="262">
        <v>57376.503225806453</v>
      </c>
      <c r="W92" s="464">
        <f t="shared" si="44"/>
        <v>8893358</v>
      </c>
      <c r="X92" s="467">
        <v>75</v>
      </c>
      <c r="Y92" s="203">
        <v>43268.386666666665</v>
      </c>
      <c r="Z92" s="462">
        <f t="shared" si="45"/>
        <v>3245129</v>
      </c>
      <c r="AA92" s="264">
        <v>73</v>
      </c>
      <c r="AB92" s="262">
        <v>44267.397260273974</v>
      </c>
      <c r="AC92" s="464">
        <f t="shared" si="46"/>
        <v>3231520</v>
      </c>
      <c r="AD92" s="467">
        <v>1</v>
      </c>
      <c r="AE92" s="203">
        <v>40000</v>
      </c>
      <c r="AF92" s="462">
        <f t="shared" si="47"/>
        <v>40000</v>
      </c>
      <c r="AG92" s="262">
        <v>0</v>
      </c>
      <c r="AH92" s="262"/>
      <c r="AI92" s="464">
        <f t="shared" si="48"/>
        <v>0</v>
      </c>
      <c r="AJ92" s="467"/>
      <c r="AK92" s="203"/>
      <c r="AL92" s="462">
        <f t="shared" si="49"/>
        <v>0</v>
      </c>
      <c r="AM92" s="192"/>
      <c r="AN92" s="192"/>
      <c r="AO92" s="206">
        <f t="shared" si="50"/>
        <v>0</v>
      </c>
      <c r="AP92" s="203">
        <v>10</v>
      </c>
      <c r="AQ92" s="203">
        <v>132857</v>
      </c>
      <c r="AR92" s="462">
        <f t="shared" si="51"/>
        <v>1087035.9740000002</v>
      </c>
      <c r="AS92" s="264">
        <v>10</v>
      </c>
      <c r="AT92" s="262">
        <v>130985.4</v>
      </c>
      <c r="AU92" s="464">
        <f t="shared" si="52"/>
        <v>1071722.5427999999</v>
      </c>
      <c r="AV92" s="467">
        <v>8</v>
      </c>
      <c r="AW92" s="203">
        <v>109326.25</v>
      </c>
      <c r="AX92" s="462">
        <f t="shared" si="53"/>
        <v>715605.902</v>
      </c>
      <c r="AY92" s="264">
        <v>6</v>
      </c>
      <c r="AZ92" s="262">
        <v>108300</v>
      </c>
      <c r="BA92" s="464">
        <f t="shared" si="54"/>
        <v>531666.36</v>
      </c>
      <c r="BB92" s="467">
        <v>4</v>
      </c>
      <c r="BC92" s="203">
        <v>96750</v>
      </c>
      <c r="BD92" s="462">
        <f t="shared" si="55"/>
        <v>316643.40000000002</v>
      </c>
      <c r="BE92" s="262">
        <v>4</v>
      </c>
      <c r="BF92" s="262">
        <v>98113.75</v>
      </c>
      <c r="BG92" s="464">
        <f t="shared" si="56"/>
        <v>321106.68100000004</v>
      </c>
      <c r="BH92" s="467">
        <v>5</v>
      </c>
      <c r="BI92" s="203">
        <v>66643.8</v>
      </c>
      <c r="BJ92" s="462">
        <f t="shared" si="57"/>
        <v>272639.78580000001</v>
      </c>
      <c r="BK92" s="264">
        <v>6</v>
      </c>
      <c r="BL92" s="262">
        <v>66278</v>
      </c>
      <c r="BM92" s="464">
        <f t="shared" si="58"/>
        <v>325371.95760000002</v>
      </c>
      <c r="BN92" s="467">
        <v>7</v>
      </c>
      <c r="BO92" s="203">
        <v>46103.714285714283</v>
      </c>
      <c r="BP92" s="462">
        <f t="shared" si="59"/>
        <v>264054.41320000001</v>
      </c>
      <c r="BQ92" s="264">
        <v>0</v>
      </c>
      <c r="BR92" s="262"/>
      <c r="BS92" s="464">
        <f t="shared" si="60"/>
        <v>0</v>
      </c>
      <c r="BT92" s="467"/>
      <c r="BU92" s="203"/>
      <c r="BV92" s="462">
        <f t="shared" si="61"/>
        <v>0</v>
      </c>
      <c r="BW92" s="192"/>
      <c r="BX92" s="192"/>
      <c r="BY92" s="463">
        <f t="shared" si="62"/>
        <v>0</v>
      </c>
    </row>
    <row r="93" spans="1:77" ht="15.75" x14ac:dyDescent="0.25">
      <c r="A93" s="256" t="s">
        <v>114</v>
      </c>
      <c r="B93" s="265" t="s">
        <v>384</v>
      </c>
      <c r="C93" s="266"/>
      <c r="D93" s="256">
        <v>138354</v>
      </c>
      <c r="E93" s="267">
        <v>3</v>
      </c>
      <c r="F93" s="234">
        <v>53</v>
      </c>
      <c r="G93" s="208">
        <v>88849.018867924533</v>
      </c>
      <c r="H93" s="461">
        <f t="shared" si="39"/>
        <v>4708998</v>
      </c>
      <c r="I93" s="261">
        <v>58</v>
      </c>
      <c r="J93" s="261">
        <v>86041.534482758623</v>
      </c>
      <c r="K93" s="464">
        <f t="shared" si="40"/>
        <v>4990409</v>
      </c>
      <c r="L93" s="467">
        <v>79</v>
      </c>
      <c r="M93" s="203">
        <v>65568.936708860754</v>
      </c>
      <c r="N93" s="462">
        <f t="shared" si="41"/>
        <v>5179946</v>
      </c>
      <c r="O93" s="262">
        <v>75</v>
      </c>
      <c r="P93" s="262">
        <v>63320.84</v>
      </c>
      <c r="Q93" s="464">
        <f t="shared" si="42"/>
        <v>4749063</v>
      </c>
      <c r="R93" s="467">
        <v>68</v>
      </c>
      <c r="S93" s="203">
        <v>56020.75</v>
      </c>
      <c r="T93" s="462">
        <f t="shared" si="43"/>
        <v>3809411</v>
      </c>
      <c r="U93" s="268">
        <v>74</v>
      </c>
      <c r="V93" s="262">
        <v>57440.2027027027</v>
      </c>
      <c r="W93" s="464">
        <f t="shared" si="44"/>
        <v>4250575</v>
      </c>
      <c r="X93" s="467">
        <v>27</v>
      </c>
      <c r="Y93" s="203">
        <v>43700.555555555555</v>
      </c>
      <c r="Z93" s="462">
        <f t="shared" si="45"/>
        <v>1179915</v>
      </c>
      <c r="AA93" s="264">
        <v>26</v>
      </c>
      <c r="AB93" s="262">
        <v>43967.538461538461</v>
      </c>
      <c r="AC93" s="464">
        <f t="shared" si="46"/>
        <v>1143156</v>
      </c>
      <c r="AD93" s="467">
        <v>8</v>
      </c>
      <c r="AE93" s="203">
        <v>46864</v>
      </c>
      <c r="AF93" s="462">
        <f t="shared" si="47"/>
        <v>374912</v>
      </c>
      <c r="AG93" s="262">
        <v>1</v>
      </c>
      <c r="AH93" s="262">
        <v>59510</v>
      </c>
      <c r="AI93" s="464">
        <f t="shared" si="48"/>
        <v>59510</v>
      </c>
      <c r="AJ93" s="467"/>
      <c r="AK93" s="203"/>
      <c r="AL93" s="462">
        <f t="shared" si="49"/>
        <v>0</v>
      </c>
      <c r="AM93" s="192"/>
      <c r="AN93" s="192"/>
      <c r="AO93" s="206">
        <f t="shared" si="50"/>
        <v>0</v>
      </c>
      <c r="AP93" s="203">
        <v>15</v>
      </c>
      <c r="AQ93" s="203">
        <v>114868.73333333334</v>
      </c>
      <c r="AR93" s="462">
        <f t="shared" si="51"/>
        <v>1409783.9642</v>
      </c>
      <c r="AS93" s="264">
        <v>16</v>
      </c>
      <c r="AT93" s="262">
        <v>115099.6875</v>
      </c>
      <c r="AU93" s="464">
        <f t="shared" si="52"/>
        <v>1506793.0290000001</v>
      </c>
      <c r="AV93" s="467">
        <v>10</v>
      </c>
      <c r="AW93" s="203">
        <v>93163</v>
      </c>
      <c r="AX93" s="462">
        <f t="shared" si="53"/>
        <v>762259.66600000008</v>
      </c>
      <c r="AY93" s="264">
        <v>10</v>
      </c>
      <c r="AZ93" s="262">
        <v>90536.7</v>
      </c>
      <c r="BA93" s="464">
        <f t="shared" si="54"/>
        <v>740771.2794</v>
      </c>
      <c r="BB93" s="467">
        <v>4</v>
      </c>
      <c r="BC93" s="203">
        <v>65911.75</v>
      </c>
      <c r="BD93" s="462">
        <f t="shared" si="55"/>
        <v>215715.9754</v>
      </c>
      <c r="BE93" s="262">
        <v>2</v>
      </c>
      <c r="BF93" s="262">
        <v>63133.5</v>
      </c>
      <c r="BG93" s="464">
        <f t="shared" si="56"/>
        <v>103311.6594</v>
      </c>
      <c r="BH93" s="467">
        <v>10</v>
      </c>
      <c r="BI93" s="203">
        <v>58591.1</v>
      </c>
      <c r="BJ93" s="462">
        <f t="shared" si="57"/>
        <v>479392.38020000001</v>
      </c>
      <c r="BK93" s="264">
        <v>9</v>
      </c>
      <c r="BL93" s="262">
        <v>58706.333333333336</v>
      </c>
      <c r="BM93" s="464">
        <f t="shared" si="58"/>
        <v>432301.6974</v>
      </c>
      <c r="BN93" s="467">
        <v>29</v>
      </c>
      <c r="BO93" s="203">
        <v>58929.758620689652</v>
      </c>
      <c r="BP93" s="462">
        <f t="shared" si="59"/>
        <v>1398273.5266</v>
      </c>
      <c r="BQ93" s="264">
        <v>8</v>
      </c>
      <c r="BR93" s="262">
        <v>51107.375</v>
      </c>
      <c r="BS93" s="464">
        <f t="shared" si="60"/>
        <v>334528.4338</v>
      </c>
      <c r="BT93" s="467"/>
      <c r="BU93" s="203"/>
      <c r="BV93" s="462">
        <f t="shared" si="61"/>
        <v>0</v>
      </c>
      <c r="BW93" s="192"/>
      <c r="BX93" s="192"/>
      <c r="BY93" s="463">
        <f t="shared" si="62"/>
        <v>0</v>
      </c>
    </row>
    <row r="94" spans="1:77" ht="15" x14ac:dyDescent="0.25">
      <c r="A94" s="256" t="s">
        <v>114</v>
      </c>
      <c r="B94" s="257" t="s">
        <v>385</v>
      </c>
      <c r="C94" s="258"/>
      <c r="D94" s="259">
        <v>433660</v>
      </c>
      <c r="E94" s="260">
        <v>4</v>
      </c>
      <c r="F94" s="234">
        <v>46</v>
      </c>
      <c r="G94" s="208">
        <v>86391.195652173919</v>
      </c>
      <c r="H94" s="461">
        <f t="shared" si="39"/>
        <v>3973995.0000000005</v>
      </c>
      <c r="I94" s="261">
        <v>48</v>
      </c>
      <c r="J94" s="261">
        <v>87280.666666666672</v>
      </c>
      <c r="K94" s="464">
        <f t="shared" si="40"/>
        <v>4189472</v>
      </c>
      <c r="L94" s="467">
        <v>81</v>
      </c>
      <c r="M94" s="203">
        <v>70359.617283950618</v>
      </c>
      <c r="N94" s="462">
        <f t="shared" si="41"/>
        <v>5699129</v>
      </c>
      <c r="O94" s="262">
        <v>82</v>
      </c>
      <c r="P94" s="262">
        <v>70349.085365853665</v>
      </c>
      <c r="Q94" s="464">
        <f t="shared" si="42"/>
        <v>5768625.0000000009</v>
      </c>
      <c r="R94" s="467">
        <v>106</v>
      </c>
      <c r="S94" s="203">
        <v>55292.943396226416</v>
      </c>
      <c r="T94" s="462">
        <f t="shared" si="43"/>
        <v>5861052</v>
      </c>
      <c r="U94" s="263">
        <v>110</v>
      </c>
      <c r="V94" s="262">
        <v>59186.509090909094</v>
      </c>
      <c r="W94" s="464">
        <f t="shared" si="44"/>
        <v>6510516</v>
      </c>
      <c r="X94" s="467">
        <v>70</v>
      </c>
      <c r="Y94" s="203">
        <v>41290.542857142857</v>
      </c>
      <c r="Z94" s="462">
        <f t="shared" si="45"/>
        <v>2890338</v>
      </c>
      <c r="AA94" s="264">
        <v>78</v>
      </c>
      <c r="AB94" s="262">
        <v>41800.756410256414</v>
      </c>
      <c r="AC94" s="464">
        <f t="shared" si="46"/>
        <v>3260459.0000000005</v>
      </c>
      <c r="AD94" s="467">
        <v>0</v>
      </c>
      <c r="AE94" s="203"/>
      <c r="AF94" s="462">
        <f t="shared" si="47"/>
        <v>0</v>
      </c>
      <c r="AG94" s="262">
        <v>0</v>
      </c>
      <c r="AH94" s="262"/>
      <c r="AI94" s="464">
        <f t="shared" si="48"/>
        <v>0</v>
      </c>
      <c r="AJ94" s="467"/>
      <c r="AK94" s="203"/>
      <c r="AL94" s="462">
        <f t="shared" si="49"/>
        <v>0</v>
      </c>
      <c r="AM94" s="192"/>
      <c r="AN94" s="192"/>
      <c r="AO94" s="206">
        <f t="shared" si="50"/>
        <v>0</v>
      </c>
      <c r="AP94" s="203">
        <v>18</v>
      </c>
      <c r="AQ94" s="203">
        <v>115922.55555555556</v>
      </c>
      <c r="AR94" s="462">
        <f t="shared" si="51"/>
        <v>1707261.0292</v>
      </c>
      <c r="AS94" s="264">
        <v>16</v>
      </c>
      <c r="AT94" s="262">
        <v>125154.5</v>
      </c>
      <c r="AU94" s="464">
        <f t="shared" si="52"/>
        <v>1638422.5904000001</v>
      </c>
      <c r="AV94" s="467">
        <v>14</v>
      </c>
      <c r="AW94" s="203">
        <v>94400.142857142855</v>
      </c>
      <c r="AX94" s="462">
        <f t="shared" si="53"/>
        <v>1081334.7564000001</v>
      </c>
      <c r="AY94" s="264">
        <v>17</v>
      </c>
      <c r="AZ94" s="262">
        <v>85962.529411764699</v>
      </c>
      <c r="BA94" s="464">
        <f t="shared" si="54"/>
        <v>1195687.2066000002</v>
      </c>
      <c r="BB94" s="467">
        <v>18</v>
      </c>
      <c r="BC94" s="203">
        <v>75494.777777777781</v>
      </c>
      <c r="BD94" s="462">
        <f t="shared" si="55"/>
        <v>1111856.8892000001</v>
      </c>
      <c r="BE94" s="262">
        <v>22</v>
      </c>
      <c r="BF94" s="262">
        <v>77151.272727272721</v>
      </c>
      <c r="BG94" s="464">
        <f t="shared" si="56"/>
        <v>1388753.7695999998</v>
      </c>
      <c r="BH94" s="467">
        <v>20</v>
      </c>
      <c r="BI94" s="203">
        <v>65934.45</v>
      </c>
      <c r="BJ94" s="462">
        <f t="shared" si="57"/>
        <v>1078951.3398</v>
      </c>
      <c r="BK94" s="264">
        <v>21</v>
      </c>
      <c r="BL94" s="262">
        <v>64943.142857142855</v>
      </c>
      <c r="BM94" s="464">
        <f t="shared" si="58"/>
        <v>1115866.0692</v>
      </c>
      <c r="BN94" s="467">
        <v>0</v>
      </c>
      <c r="BO94" s="203"/>
      <c r="BP94" s="462">
        <f t="shared" si="59"/>
        <v>0</v>
      </c>
      <c r="BQ94" s="264">
        <v>0</v>
      </c>
      <c r="BR94" s="262"/>
      <c r="BS94" s="464">
        <f t="shared" si="60"/>
        <v>0</v>
      </c>
      <c r="BT94" s="467"/>
      <c r="BU94" s="203"/>
      <c r="BV94" s="462">
        <f t="shared" si="61"/>
        <v>0</v>
      </c>
      <c r="BW94" s="192"/>
      <c r="BX94" s="192"/>
      <c r="BY94" s="463">
        <f t="shared" si="62"/>
        <v>0</v>
      </c>
    </row>
    <row r="95" spans="1:77" ht="15" x14ac:dyDescent="0.25">
      <c r="A95" s="256" t="s">
        <v>114</v>
      </c>
      <c r="B95" s="265" t="s">
        <v>386</v>
      </c>
      <c r="C95" s="266"/>
      <c r="D95" s="256">
        <v>262129</v>
      </c>
      <c r="E95" s="267">
        <v>6</v>
      </c>
      <c r="F95" s="234">
        <v>24</v>
      </c>
      <c r="G95" s="208">
        <v>82860.049583333326</v>
      </c>
      <c r="H95" s="461">
        <f t="shared" si="39"/>
        <v>1988641.19</v>
      </c>
      <c r="I95" s="261">
        <v>26</v>
      </c>
      <c r="J95" s="261">
        <v>81942.025384615394</v>
      </c>
      <c r="K95" s="464">
        <f t="shared" si="40"/>
        <v>2130492.66</v>
      </c>
      <c r="L95" s="467">
        <v>24</v>
      </c>
      <c r="M95" s="203">
        <v>66594.874639999995</v>
      </c>
      <c r="N95" s="462">
        <f t="shared" si="41"/>
        <v>1598276.9913599999</v>
      </c>
      <c r="O95" s="262">
        <v>19</v>
      </c>
      <c r="P95" s="262">
        <v>66578.10263157895</v>
      </c>
      <c r="Q95" s="464">
        <f t="shared" si="42"/>
        <v>1264983.95</v>
      </c>
      <c r="R95" s="467">
        <v>22</v>
      </c>
      <c r="S95" s="203">
        <v>55388.154999999999</v>
      </c>
      <c r="T95" s="462">
        <f t="shared" si="43"/>
        <v>1218539.4099999999</v>
      </c>
      <c r="U95" s="263">
        <v>23</v>
      </c>
      <c r="V95" s="262">
        <v>54848.53</v>
      </c>
      <c r="W95" s="464">
        <f t="shared" si="44"/>
        <v>1261516.19</v>
      </c>
      <c r="X95" s="467">
        <v>1</v>
      </c>
      <c r="Y95" s="203">
        <v>42020.78</v>
      </c>
      <c r="Z95" s="462">
        <f t="shared" si="45"/>
        <v>42020.78</v>
      </c>
      <c r="AA95" s="264">
        <v>1</v>
      </c>
      <c r="AB95" s="262">
        <v>42020.78</v>
      </c>
      <c r="AC95" s="464">
        <f t="shared" si="46"/>
        <v>42020.78</v>
      </c>
      <c r="AD95" s="467">
        <v>0</v>
      </c>
      <c r="AE95" s="203"/>
      <c r="AF95" s="462">
        <f t="shared" si="47"/>
        <v>0</v>
      </c>
      <c r="AG95" s="262">
        <v>0</v>
      </c>
      <c r="AH95" s="262"/>
      <c r="AI95" s="464">
        <f t="shared" si="48"/>
        <v>0</v>
      </c>
      <c r="AJ95" s="467"/>
      <c r="AK95" s="203"/>
      <c r="AL95" s="462">
        <f t="shared" si="49"/>
        <v>0</v>
      </c>
      <c r="AM95" s="192"/>
      <c r="AN95" s="192"/>
      <c r="AO95" s="206">
        <f t="shared" si="50"/>
        <v>0</v>
      </c>
      <c r="AP95" s="203">
        <v>0</v>
      </c>
      <c r="AQ95" s="203"/>
      <c r="AR95" s="462">
        <f t="shared" si="51"/>
        <v>0</v>
      </c>
      <c r="AS95" s="264">
        <v>0</v>
      </c>
      <c r="AT95" s="262"/>
      <c r="AU95" s="464">
        <f t="shared" si="52"/>
        <v>0</v>
      </c>
      <c r="AV95" s="467">
        <v>0</v>
      </c>
      <c r="AW95" s="203"/>
      <c r="AX95" s="462">
        <f t="shared" si="53"/>
        <v>0</v>
      </c>
      <c r="AY95" s="264">
        <v>0</v>
      </c>
      <c r="AZ95" s="262"/>
      <c r="BA95" s="464">
        <f t="shared" si="54"/>
        <v>0</v>
      </c>
      <c r="BB95" s="467">
        <v>0</v>
      </c>
      <c r="BC95" s="203"/>
      <c r="BD95" s="462">
        <f t="shared" si="55"/>
        <v>0</v>
      </c>
      <c r="BE95" s="262">
        <v>0</v>
      </c>
      <c r="BF95" s="262"/>
      <c r="BG95" s="464">
        <f t="shared" si="56"/>
        <v>0</v>
      </c>
      <c r="BH95" s="467">
        <v>0</v>
      </c>
      <c r="BI95" s="203"/>
      <c r="BJ95" s="462">
        <f t="shared" si="57"/>
        <v>0</v>
      </c>
      <c r="BK95" s="264">
        <v>0</v>
      </c>
      <c r="BL95" s="262"/>
      <c r="BM95" s="464">
        <f t="shared" si="58"/>
        <v>0</v>
      </c>
      <c r="BN95" s="467">
        <v>0</v>
      </c>
      <c r="BO95" s="203"/>
      <c r="BP95" s="462">
        <f t="shared" si="59"/>
        <v>0</v>
      </c>
      <c r="BQ95" s="264">
        <v>0</v>
      </c>
      <c r="BR95" s="262"/>
      <c r="BS95" s="464">
        <f t="shared" si="60"/>
        <v>0</v>
      </c>
      <c r="BT95" s="467"/>
      <c r="BU95" s="203"/>
      <c r="BV95" s="462">
        <f t="shared" si="61"/>
        <v>0</v>
      </c>
      <c r="BW95" s="192"/>
      <c r="BX95" s="192"/>
      <c r="BY95" s="463">
        <f t="shared" si="62"/>
        <v>0</v>
      </c>
    </row>
    <row r="96" spans="1:77" x14ac:dyDescent="0.2">
      <c r="A96" s="465" t="s">
        <v>114</v>
      </c>
      <c r="B96" s="456" t="s">
        <v>1003</v>
      </c>
      <c r="C96" s="607"/>
      <c r="D96" s="468">
        <v>133021</v>
      </c>
      <c r="E96" s="611">
        <v>7</v>
      </c>
      <c r="F96" s="459"/>
      <c r="G96" s="460"/>
      <c r="H96" s="461">
        <f t="shared" si="39"/>
        <v>0</v>
      </c>
      <c r="I96" s="470"/>
      <c r="J96" s="470"/>
      <c r="K96" s="464">
        <f t="shared" si="40"/>
        <v>0</v>
      </c>
      <c r="L96" s="467"/>
      <c r="M96" s="467"/>
      <c r="N96" s="462">
        <f t="shared" si="41"/>
        <v>0</v>
      </c>
      <c r="O96" s="469"/>
      <c r="P96" s="469"/>
      <c r="Q96" s="464">
        <f t="shared" si="42"/>
        <v>0</v>
      </c>
      <c r="R96" s="467"/>
      <c r="S96" s="467"/>
      <c r="T96" s="462">
        <f t="shared" si="43"/>
        <v>0</v>
      </c>
      <c r="U96" s="472"/>
      <c r="V96" s="472"/>
      <c r="W96" s="464">
        <f t="shared" si="44"/>
        <v>0</v>
      </c>
      <c r="X96" s="467"/>
      <c r="Y96" s="467"/>
      <c r="Z96" s="462">
        <f t="shared" si="45"/>
        <v>0</v>
      </c>
      <c r="AA96" s="469"/>
      <c r="AB96" s="469"/>
      <c r="AC96" s="464">
        <f t="shared" si="46"/>
        <v>0</v>
      </c>
      <c r="AD96" s="467"/>
      <c r="AE96" s="467"/>
      <c r="AF96" s="462">
        <f t="shared" si="47"/>
        <v>0</v>
      </c>
      <c r="AG96" s="469"/>
      <c r="AH96" s="469"/>
      <c r="AI96" s="464">
        <f t="shared" si="48"/>
        <v>0</v>
      </c>
      <c r="AJ96" s="467">
        <v>43</v>
      </c>
      <c r="AK96" s="467">
        <v>44018</v>
      </c>
      <c r="AL96" s="462">
        <f t="shared" si="49"/>
        <v>1892774</v>
      </c>
      <c r="AM96" s="469">
        <v>40</v>
      </c>
      <c r="AN96" s="469">
        <v>44222</v>
      </c>
      <c r="AO96" s="206">
        <f t="shared" si="50"/>
        <v>1768880</v>
      </c>
      <c r="AP96" s="467"/>
      <c r="AQ96" s="467"/>
      <c r="AR96" s="462">
        <f t="shared" si="51"/>
        <v>0</v>
      </c>
      <c r="AS96" s="469"/>
      <c r="AT96" s="469"/>
      <c r="AU96" s="464">
        <f t="shared" si="52"/>
        <v>0</v>
      </c>
      <c r="AV96" s="467"/>
      <c r="AW96" s="467"/>
      <c r="AX96" s="462">
        <f t="shared" si="53"/>
        <v>0</v>
      </c>
      <c r="AY96" s="469"/>
      <c r="AZ96" s="469"/>
      <c r="BA96" s="464">
        <f t="shared" si="54"/>
        <v>0</v>
      </c>
      <c r="BB96" s="467"/>
      <c r="BC96" s="467"/>
      <c r="BD96" s="462">
        <f t="shared" si="55"/>
        <v>0</v>
      </c>
      <c r="BE96" s="469"/>
      <c r="BF96" s="469"/>
      <c r="BG96" s="464">
        <f t="shared" si="56"/>
        <v>0</v>
      </c>
      <c r="BH96" s="467"/>
      <c r="BI96" s="467"/>
      <c r="BJ96" s="462">
        <f t="shared" si="57"/>
        <v>0</v>
      </c>
      <c r="BK96" s="469"/>
      <c r="BL96" s="469"/>
      <c r="BM96" s="464">
        <f t="shared" si="58"/>
        <v>0</v>
      </c>
      <c r="BN96" s="467"/>
      <c r="BO96" s="467"/>
      <c r="BP96" s="462">
        <f t="shared" si="59"/>
        <v>0</v>
      </c>
      <c r="BQ96" s="469"/>
      <c r="BR96" s="469"/>
      <c r="BS96" s="464">
        <f t="shared" si="60"/>
        <v>0</v>
      </c>
      <c r="BT96" s="467"/>
      <c r="BU96" s="467"/>
      <c r="BV96" s="462">
        <f t="shared" si="61"/>
        <v>0</v>
      </c>
      <c r="BW96" s="469"/>
      <c r="BX96" s="469"/>
      <c r="BY96" s="463">
        <f t="shared" si="62"/>
        <v>0</v>
      </c>
    </row>
    <row r="97" spans="1:77" x14ac:dyDescent="0.2">
      <c r="A97" s="457" t="s">
        <v>114</v>
      </c>
      <c r="B97" s="456" t="s">
        <v>1004</v>
      </c>
      <c r="C97" s="608"/>
      <c r="D97" s="468">
        <v>133386</v>
      </c>
      <c r="E97" s="611">
        <v>7</v>
      </c>
      <c r="F97" s="459"/>
      <c r="G97" s="460"/>
      <c r="H97" s="461">
        <f t="shared" si="39"/>
        <v>0</v>
      </c>
      <c r="I97" s="470"/>
      <c r="J97" s="470"/>
      <c r="K97" s="464">
        <f t="shared" si="40"/>
        <v>0</v>
      </c>
      <c r="L97" s="467"/>
      <c r="M97" s="467"/>
      <c r="N97" s="462">
        <f t="shared" si="41"/>
        <v>0</v>
      </c>
      <c r="O97" s="469"/>
      <c r="P97" s="469"/>
      <c r="Q97" s="464">
        <f t="shared" si="42"/>
        <v>0</v>
      </c>
      <c r="R97" s="467"/>
      <c r="S97" s="467"/>
      <c r="T97" s="462">
        <f t="shared" si="43"/>
        <v>0</v>
      </c>
      <c r="U97" s="472"/>
      <c r="V97" s="472"/>
      <c r="W97" s="464">
        <f t="shared" si="44"/>
        <v>0</v>
      </c>
      <c r="X97" s="467"/>
      <c r="Y97" s="467"/>
      <c r="Z97" s="462">
        <f t="shared" si="45"/>
        <v>0</v>
      </c>
      <c r="AA97" s="469"/>
      <c r="AB97" s="469"/>
      <c r="AC97" s="464">
        <f t="shared" si="46"/>
        <v>0</v>
      </c>
      <c r="AD97" s="467"/>
      <c r="AE97" s="467"/>
      <c r="AF97" s="462">
        <f t="shared" si="47"/>
        <v>0</v>
      </c>
      <c r="AG97" s="469"/>
      <c r="AH97" s="469"/>
      <c r="AI97" s="464">
        <f t="shared" si="48"/>
        <v>0</v>
      </c>
      <c r="AJ97" s="467">
        <v>307</v>
      </c>
      <c r="AK97" s="467">
        <v>60462</v>
      </c>
      <c r="AL97" s="462">
        <f t="shared" si="49"/>
        <v>18561834</v>
      </c>
      <c r="AM97" s="469">
        <v>318</v>
      </c>
      <c r="AN97" s="469">
        <v>56981</v>
      </c>
      <c r="AO97" s="206">
        <f t="shared" si="50"/>
        <v>18119958</v>
      </c>
      <c r="AP97" s="467"/>
      <c r="AQ97" s="467"/>
      <c r="AR97" s="462">
        <f t="shared" si="51"/>
        <v>0</v>
      </c>
      <c r="AS97" s="469"/>
      <c r="AT97" s="469"/>
      <c r="AU97" s="464">
        <f t="shared" si="52"/>
        <v>0</v>
      </c>
      <c r="AV97" s="467"/>
      <c r="AW97" s="467"/>
      <c r="AX97" s="462">
        <f t="shared" si="53"/>
        <v>0</v>
      </c>
      <c r="AY97" s="469"/>
      <c r="AZ97" s="469"/>
      <c r="BA97" s="464">
        <f t="shared" si="54"/>
        <v>0</v>
      </c>
      <c r="BB97" s="467"/>
      <c r="BC97" s="467"/>
      <c r="BD97" s="462">
        <f t="shared" si="55"/>
        <v>0</v>
      </c>
      <c r="BE97" s="469"/>
      <c r="BF97" s="469"/>
      <c r="BG97" s="464">
        <f t="shared" si="56"/>
        <v>0</v>
      </c>
      <c r="BH97" s="467"/>
      <c r="BI97" s="467"/>
      <c r="BJ97" s="462">
        <f t="shared" si="57"/>
        <v>0</v>
      </c>
      <c r="BK97" s="469"/>
      <c r="BL97" s="469"/>
      <c r="BM97" s="464">
        <f t="shared" si="58"/>
        <v>0</v>
      </c>
      <c r="BN97" s="467"/>
      <c r="BO97" s="467"/>
      <c r="BP97" s="462">
        <f t="shared" si="59"/>
        <v>0</v>
      </c>
      <c r="BQ97" s="469"/>
      <c r="BR97" s="469"/>
      <c r="BS97" s="464">
        <f t="shared" si="60"/>
        <v>0</v>
      </c>
      <c r="BT97" s="467"/>
      <c r="BU97" s="467"/>
      <c r="BV97" s="462">
        <f t="shared" si="61"/>
        <v>0</v>
      </c>
      <c r="BW97" s="469"/>
      <c r="BX97" s="469"/>
      <c r="BY97" s="463">
        <f t="shared" si="62"/>
        <v>0</v>
      </c>
    </row>
    <row r="98" spans="1:77" x14ac:dyDescent="0.2">
      <c r="A98" s="468" t="s">
        <v>114</v>
      </c>
      <c r="B98" s="456" t="s">
        <v>1005</v>
      </c>
      <c r="C98" s="608"/>
      <c r="D98" s="465">
        <v>133508</v>
      </c>
      <c r="E98" s="612">
        <v>7</v>
      </c>
      <c r="F98" s="459"/>
      <c r="G98" s="460"/>
      <c r="H98" s="461">
        <f t="shared" si="39"/>
        <v>0</v>
      </c>
      <c r="I98" s="470"/>
      <c r="J98" s="470"/>
      <c r="K98" s="464">
        <f t="shared" si="40"/>
        <v>0</v>
      </c>
      <c r="L98" s="467"/>
      <c r="M98" s="467"/>
      <c r="N98" s="462">
        <f t="shared" si="41"/>
        <v>0</v>
      </c>
      <c r="O98" s="469"/>
      <c r="P98" s="469"/>
      <c r="Q98" s="464">
        <f t="shared" si="42"/>
        <v>0</v>
      </c>
      <c r="R98" s="467"/>
      <c r="S98" s="467"/>
      <c r="T98" s="462">
        <f t="shared" si="43"/>
        <v>0</v>
      </c>
      <c r="U98" s="472"/>
      <c r="V98" s="472"/>
      <c r="W98" s="464">
        <f t="shared" si="44"/>
        <v>0</v>
      </c>
      <c r="X98" s="467"/>
      <c r="Y98" s="467"/>
      <c r="Z98" s="462">
        <f t="shared" si="45"/>
        <v>0</v>
      </c>
      <c r="AA98" s="469"/>
      <c r="AB98" s="469"/>
      <c r="AC98" s="464">
        <f t="shared" si="46"/>
        <v>0</v>
      </c>
      <c r="AD98" s="467"/>
      <c r="AE98" s="467"/>
      <c r="AF98" s="462">
        <f t="shared" si="47"/>
        <v>0</v>
      </c>
      <c r="AG98" s="469"/>
      <c r="AH98" s="469"/>
      <c r="AI98" s="464">
        <f t="shared" si="48"/>
        <v>0</v>
      </c>
      <c r="AJ98" s="467">
        <v>140</v>
      </c>
      <c r="AK98" s="467">
        <v>55324</v>
      </c>
      <c r="AL98" s="462">
        <f t="shared" si="49"/>
        <v>7745360</v>
      </c>
      <c r="AM98" s="469">
        <v>161</v>
      </c>
      <c r="AN98" s="469">
        <v>54172</v>
      </c>
      <c r="AO98" s="206">
        <f t="shared" si="50"/>
        <v>8721692</v>
      </c>
      <c r="AP98" s="467"/>
      <c r="AQ98" s="467"/>
      <c r="AR98" s="462">
        <f t="shared" si="51"/>
        <v>0</v>
      </c>
      <c r="AS98" s="469"/>
      <c r="AT98" s="469"/>
      <c r="AU98" s="464">
        <f t="shared" si="52"/>
        <v>0</v>
      </c>
      <c r="AV98" s="467"/>
      <c r="AW98" s="467"/>
      <c r="AX98" s="462">
        <f t="shared" si="53"/>
        <v>0</v>
      </c>
      <c r="AY98" s="469"/>
      <c r="AZ98" s="469"/>
      <c r="BA98" s="464">
        <f t="shared" si="54"/>
        <v>0</v>
      </c>
      <c r="BB98" s="467"/>
      <c r="BC98" s="467"/>
      <c r="BD98" s="462">
        <f t="shared" si="55"/>
        <v>0</v>
      </c>
      <c r="BE98" s="469"/>
      <c r="BF98" s="469"/>
      <c r="BG98" s="464">
        <f t="shared" si="56"/>
        <v>0</v>
      </c>
      <c r="BH98" s="467"/>
      <c r="BI98" s="467"/>
      <c r="BJ98" s="462">
        <f t="shared" si="57"/>
        <v>0</v>
      </c>
      <c r="BK98" s="469"/>
      <c r="BL98" s="469"/>
      <c r="BM98" s="464">
        <f t="shared" si="58"/>
        <v>0</v>
      </c>
      <c r="BN98" s="467"/>
      <c r="BO98" s="467"/>
      <c r="BP98" s="462">
        <f t="shared" si="59"/>
        <v>0</v>
      </c>
      <c r="BQ98" s="469"/>
      <c r="BR98" s="469"/>
      <c r="BS98" s="464">
        <f t="shared" si="60"/>
        <v>0</v>
      </c>
      <c r="BT98" s="467"/>
      <c r="BU98" s="467"/>
      <c r="BV98" s="462">
        <f t="shared" si="61"/>
        <v>0</v>
      </c>
      <c r="BW98" s="469"/>
      <c r="BX98" s="469"/>
      <c r="BY98" s="463">
        <f t="shared" si="62"/>
        <v>0</v>
      </c>
    </row>
    <row r="99" spans="1:77" x14ac:dyDescent="0.2">
      <c r="A99" s="465" t="s">
        <v>114</v>
      </c>
      <c r="B99" s="456" t="s">
        <v>1014</v>
      </c>
      <c r="C99" s="607"/>
      <c r="D99" s="468">
        <v>135717</v>
      </c>
      <c r="E99" s="611">
        <v>7</v>
      </c>
      <c r="F99" s="459"/>
      <c r="G99" s="460"/>
      <c r="H99" s="461">
        <f t="shared" si="39"/>
        <v>0</v>
      </c>
      <c r="I99" s="470"/>
      <c r="J99" s="470"/>
      <c r="K99" s="464">
        <f t="shared" si="40"/>
        <v>0</v>
      </c>
      <c r="L99" s="467"/>
      <c r="M99" s="467"/>
      <c r="N99" s="462">
        <f t="shared" si="41"/>
        <v>0</v>
      </c>
      <c r="O99" s="469"/>
      <c r="P99" s="469"/>
      <c r="Q99" s="464">
        <f t="shared" si="42"/>
        <v>0</v>
      </c>
      <c r="R99" s="467"/>
      <c r="S99" s="467"/>
      <c r="T99" s="462">
        <f t="shared" si="43"/>
        <v>0</v>
      </c>
      <c r="U99" s="472"/>
      <c r="V99" s="472"/>
      <c r="W99" s="464">
        <f t="shared" si="44"/>
        <v>0</v>
      </c>
      <c r="X99" s="467"/>
      <c r="Y99" s="467"/>
      <c r="Z99" s="462">
        <f t="shared" si="45"/>
        <v>0</v>
      </c>
      <c r="AA99" s="469"/>
      <c r="AB99" s="469"/>
      <c r="AC99" s="464">
        <f t="shared" si="46"/>
        <v>0</v>
      </c>
      <c r="AD99" s="467"/>
      <c r="AE99" s="467"/>
      <c r="AF99" s="462">
        <f t="shared" si="47"/>
        <v>0</v>
      </c>
      <c r="AG99" s="469"/>
      <c r="AH99" s="469"/>
      <c r="AI99" s="464">
        <f t="shared" si="48"/>
        <v>0</v>
      </c>
      <c r="AJ99" s="467">
        <v>658</v>
      </c>
      <c r="AK99" s="467">
        <v>60235</v>
      </c>
      <c r="AL99" s="462">
        <f t="shared" si="49"/>
        <v>39634630</v>
      </c>
      <c r="AM99" s="469">
        <v>673</v>
      </c>
      <c r="AN99" s="469">
        <v>59560</v>
      </c>
      <c r="AO99" s="206">
        <f t="shared" si="50"/>
        <v>40083880</v>
      </c>
      <c r="AP99" s="467"/>
      <c r="AQ99" s="467"/>
      <c r="AR99" s="462">
        <f t="shared" si="51"/>
        <v>0</v>
      </c>
      <c r="AS99" s="469"/>
      <c r="AT99" s="469"/>
      <c r="AU99" s="464">
        <f t="shared" si="52"/>
        <v>0</v>
      </c>
      <c r="AV99" s="467"/>
      <c r="AW99" s="467"/>
      <c r="AX99" s="462">
        <f t="shared" si="53"/>
        <v>0</v>
      </c>
      <c r="AY99" s="469"/>
      <c r="AZ99" s="469"/>
      <c r="BA99" s="464">
        <f t="shared" si="54"/>
        <v>0</v>
      </c>
      <c r="BB99" s="467"/>
      <c r="BC99" s="467"/>
      <c r="BD99" s="462">
        <f t="shared" si="55"/>
        <v>0</v>
      </c>
      <c r="BE99" s="469"/>
      <c r="BF99" s="469"/>
      <c r="BG99" s="464">
        <f t="shared" si="56"/>
        <v>0</v>
      </c>
      <c r="BH99" s="467"/>
      <c r="BI99" s="467"/>
      <c r="BJ99" s="462">
        <f t="shared" si="57"/>
        <v>0</v>
      </c>
      <c r="BK99" s="469"/>
      <c r="BL99" s="469"/>
      <c r="BM99" s="464">
        <f t="shared" si="58"/>
        <v>0</v>
      </c>
      <c r="BN99" s="467"/>
      <c r="BO99" s="467"/>
      <c r="BP99" s="462">
        <f t="shared" si="59"/>
        <v>0</v>
      </c>
      <c r="BQ99" s="469"/>
      <c r="BR99" s="469"/>
      <c r="BS99" s="464">
        <f t="shared" si="60"/>
        <v>0</v>
      </c>
      <c r="BT99" s="467"/>
      <c r="BU99" s="467"/>
      <c r="BV99" s="462">
        <f t="shared" si="61"/>
        <v>0</v>
      </c>
      <c r="BW99" s="469"/>
      <c r="BX99" s="469"/>
      <c r="BY99" s="463">
        <f t="shared" si="62"/>
        <v>0</v>
      </c>
    </row>
    <row r="100" spans="1:77" x14ac:dyDescent="0.2">
      <c r="A100" s="468" t="s">
        <v>114</v>
      </c>
      <c r="B100" s="456" t="s">
        <v>1016</v>
      </c>
      <c r="C100" s="607"/>
      <c r="D100" s="457">
        <v>136233</v>
      </c>
      <c r="E100" s="611">
        <v>7</v>
      </c>
      <c r="F100" s="459"/>
      <c r="G100" s="460"/>
      <c r="H100" s="461">
        <f t="shared" si="39"/>
        <v>0</v>
      </c>
      <c r="I100" s="470"/>
      <c r="J100" s="470"/>
      <c r="K100" s="464">
        <f t="shared" si="40"/>
        <v>0</v>
      </c>
      <c r="L100" s="467"/>
      <c r="M100" s="467"/>
      <c r="N100" s="462">
        <f t="shared" si="41"/>
        <v>0</v>
      </c>
      <c r="O100" s="469"/>
      <c r="P100" s="469"/>
      <c r="Q100" s="464">
        <f t="shared" si="42"/>
        <v>0</v>
      </c>
      <c r="R100" s="467"/>
      <c r="S100" s="467"/>
      <c r="T100" s="462">
        <f t="shared" si="43"/>
        <v>0</v>
      </c>
      <c r="U100" s="472"/>
      <c r="V100" s="472"/>
      <c r="W100" s="464">
        <f t="shared" si="44"/>
        <v>0</v>
      </c>
      <c r="X100" s="467"/>
      <c r="Y100" s="467"/>
      <c r="Z100" s="462">
        <f t="shared" si="45"/>
        <v>0</v>
      </c>
      <c r="AA100" s="469"/>
      <c r="AB100" s="469"/>
      <c r="AC100" s="464">
        <f t="shared" si="46"/>
        <v>0</v>
      </c>
      <c r="AD100" s="467"/>
      <c r="AE100" s="467"/>
      <c r="AF100" s="462">
        <f t="shared" si="47"/>
        <v>0</v>
      </c>
      <c r="AG100" s="469"/>
      <c r="AH100" s="469"/>
      <c r="AI100" s="464">
        <f t="shared" si="48"/>
        <v>0</v>
      </c>
      <c r="AJ100" s="467">
        <v>94</v>
      </c>
      <c r="AK100" s="467">
        <v>54723</v>
      </c>
      <c r="AL100" s="462">
        <f t="shared" si="49"/>
        <v>5143962</v>
      </c>
      <c r="AM100" s="469">
        <v>102</v>
      </c>
      <c r="AN100" s="469">
        <v>56150</v>
      </c>
      <c r="AO100" s="206">
        <f t="shared" si="50"/>
        <v>5727300</v>
      </c>
      <c r="AP100" s="467"/>
      <c r="AQ100" s="467"/>
      <c r="AR100" s="462">
        <f t="shared" si="51"/>
        <v>0</v>
      </c>
      <c r="AS100" s="469"/>
      <c r="AT100" s="469"/>
      <c r="AU100" s="464">
        <f t="shared" si="52"/>
        <v>0</v>
      </c>
      <c r="AV100" s="467"/>
      <c r="AW100" s="467"/>
      <c r="AX100" s="462">
        <f t="shared" si="53"/>
        <v>0</v>
      </c>
      <c r="AY100" s="469"/>
      <c r="AZ100" s="469"/>
      <c r="BA100" s="464">
        <f t="shared" si="54"/>
        <v>0</v>
      </c>
      <c r="BB100" s="467"/>
      <c r="BC100" s="467"/>
      <c r="BD100" s="462">
        <f t="shared" si="55"/>
        <v>0</v>
      </c>
      <c r="BE100" s="469"/>
      <c r="BF100" s="469"/>
      <c r="BG100" s="464">
        <f t="shared" si="56"/>
        <v>0</v>
      </c>
      <c r="BH100" s="467"/>
      <c r="BI100" s="467"/>
      <c r="BJ100" s="462">
        <f t="shared" si="57"/>
        <v>0</v>
      </c>
      <c r="BK100" s="469"/>
      <c r="BL100" s="469"/>
      <c r="BM100" s="464">
        <f t="shared" si="58"/>
        <v>0</v>
      </c>
      <c r="BN100" s="467"/>
      <c r="BO100" s="467"/>
      <c r="BP100" s="462">
        <f t="shared" si="59"/>
        <v>0</v>
      </c>
      <c r="BQ100" s="469"/>
      <c r="BR100" s="469"/>
      <c r="BS100" s="464">
        <f t="shared" si="60"/>
        <v>0</v>
      </c>
      <c r="BT100" s="467"/>
      <c r="BU100" s="467"/>
      <c r="BV100" s="462">
        <f t="shared" si="61"/>
        <v>0</v>
      </c>
      <c r="BW100" s="469"/>
      <c r="BX100" s="469"/>
      <c r="BY100" s="463">
        <f t="shared" si="62"/>
        <v>0</v>
      </c>
    </row>
    <row r="101" spans="1:77" x14ac:dyDescent="0.2">
      <c r="A101" s="465" t="s">
        <v>114</v>
      </c>
      <c r="B101" s="456" t="s">
        <v>1022</v>
      </c>
      <c r="C101" s="607"/>
      <c r="D101" s="468">
        <v>137078</v>
      </c>
      <c r="E101" s="611">
        <v>7</v>
      </c>
      <c r="F101" s="459"/>
      <c r="G101" s="460"/>
      <c r="H101" s="461">
        <f t="shared" si="39"/>
        <v>0</v>
      </c>
      <c r="I101" s="470"/>
      <c r="J101" s="470"/>
      <c r="K101" s="464">
        <f t="shared" si="40"/>
        <v>0</v>
      </c>
      <c r="L101" s="467"/>
      <c r="M101" s="467"/>
      <c r="N101" s="462">
        <f t="shared" si="41"/>
        <v>0</v>
      </c>
      <c r="O101" s="469"/>
      <c r="P101" s="469"/>
      <c r="Q101" s="464">
        <f t="shared" si="42"/>
        <v>0</v>
      </c>
      <c r="R101" s="467"/>
      <c r="S101" s="467"/>
      <c r="T101" s="462">
        <f t="shared" si="43"/>
        <v>0</v>
      </c>
      <c r="U101" s="472"/>
      <c r="V101" s="472"/>
      <c r="W101" s="464">
        <f t="shared" si="44"/>
        <v>0</v>
      </c>
      <c r="X101" s="467"/>
      <c r="Y101" s="467"/>
      <c r="Z101" s="462">
        <f t="shared" si="45"/>
        <v>0</v>
      </c>
      <c r="AA101" s="469"/>
      <c r="AB101" s="469"/>
      <c r="AC101" s="464">
        <f t="shared" si="46"/>
        <v>0</v>
      </c>
      <c r="AD101" s="467"/>
      <c r="AE101" s="467"/>
      <c r="AF101" s="462">
        <f t="shared" si="47"/>
        <v>0</v>
      </c>
      <c r="AG101" s="469"/>
      <c r="AH101" s="469"/>
      <c r="AI101" s="464">
        <f t="shared" si="48"/>
        <v>0</v>
      </c>
      <c r="AJ101" s="467">
        <v>325</v>
      </c>
      <c r="AK101" s="467">
        <v>58860</v>
      </c>
      <c r="AL101" s="462">
        <f t="shared" si="49"/>
        <v>19129500</v>
      </c>
      <c r="AM101" s="469">
        <v>332</v>
      </c>
      <c r="AN101" s="469">
        <v>61496</v>
      </c>
      <c r="AO101" s="206">
        <f t="shared" si="50"/>
        <v>20416672</v>
      </c>
      <c r="AP101" s="467"/>
      <c r="AQ101" s="467"/>
      <c r="AR101" s="462">
        <f t="shared" si="51"/>
        <v>0</v>
      </c>
      <c r="AS101" s="469"/>
      <c r="AT101" s="469"/>
      <c r="AU101" s="464">
        <f t="shared" si="52"/>
        <v>0</v>
      </c>
      <c r="AV101" s="467"/>
      <c r="AW101" s="467"/>
      <c r="AX101" s="462">
        <f t="shared" si="53"/>
        <v>0</v>
      </c>
      <c r="AY101" s="469"/>
      <c r="AZ101" s="469"/>
      <c r="BA101" s="464">
        <f t="shared" si="54"/>
        <v>0</v>
      </c>
      <c r="BB101" s="467"/>
      <c r="BC101" s="467"/>
      <c r="BD101" s="462">
        <f t="shared" si="55"/>
        <v>0</v>
      </c>
      <c r="BE101" s="469"/>
      <c r="BF101" s="469"/>
      <c r="BG101" s="464">
        <f t="shared" si="56"/>
        <v>0</v>
      </c>
      <c r="BH101" s="467"/>
      <c r="BI101" s="467"/>
      <c r="BJ101" s="462">
        <f t="shared" si="57"/>
        <v>0</v>
      </c>
      <c r="BK101" s="469"/>
      <c r="BL101" s="469"/>
      <c r="BM101" s="464">
        <f t="shared" si="58"/>
        <v>0</v>
      </c>
      <c r="BN101" s="467"/>
      <c r="BO101" s="467"/>
      <c r="BP101" s="462">
        <f t="shared" si="59"/>
        <v>0</v>
      </c>
      <c r="BQ101" s="469"/>
      <c r="BR101" s="469"/>
      <c r="BS101" s="464">
        <f t="shared" si="60"/>
        <v>0</v>
      </c>
      <c r="BT101" s="467"/>
      <c r="BU101" s="467"/>
      <c r="BV101" s="462">
        <f t="shared" si="61"/>
        <v>0</v>
      </c>
      <c r="BW101" s="469"/>
      <c r="BX101" s="469"/>
      <c r="BY101" s="463">
        <f t="shared" si="62"/>
        <v>0</v>
      </c>
    </row>
    <row r="102" spans="1:77" x14ac:dyDescent="0.2">
      <c r="A102" s="468" t="s">
        <v>114</v>
      </c>
      <c r="B102" s="456" t="s">
        <v>1000</v>
      </c>
      <c r="C102" s="607"/>
      <c r="D102" s="468">
        <v>132693</v>
      </c>
      <c r="E102" s="611">
        <v>8</v>
      </c>
      <c r="F102" s="459"/>
      <c r="G102" s="460"/>
      <c r="H102" s="461">
        <f t="shared" si="39"/>
        <v>0</v>
      </c>
      <c r="I102" s="470"/>
      <c r="J102" s="470"/>
      <c r="K102" s="464">
        <f t="shared" si="40"/>
        <v>0</v>
      </c>
      <c r="L102" s="467"/>
      <c r="M102" s="467"/>
      <c r="N102" s="462">
        <f t="shared" si="41"/>
        <v>0</v>
      </c>
      <c r="O102" s="469"/>
      <c r="P102" s="469"/>
      <c r="Q102" s="464">
        <f t="shared" si="42"/>
        <v>0</v>
      </c>
      <c r="R102" s="467"/>
      <c r="S102" s="467"/>
      <c r="T102" s="462">
        <f t="shared" si="43"/>
        <v>0</v>
      </c>
      <c r="U102" s="472"/>
      <c r="V102" s="472"/>
      <c r="W102" s="464">
        <f t="shared" si="44"/>
        <v>0</v>
      </c>
      <c r="X102" s="467"/>
      <c r="Y102" s="467"/>
      <c r="Z102" s="462">
        <f t="shared" si="45"/>
        <v>0</v>
      </c>
      <c r="AA102" s="469"/>
      <c r="AB102" s="469"/>
      <c r="AC102" s="464">
        <f t="shared" si="46"/>
        <v>0</v>
      </c>
      <c r="AD102" s="467"/>
      <c r="AE102" s="467"/>
      <c r="AF102" s="462">
        <f t="shared" si="47"/>
        <v>0</v>
      </c>
      <c r="AG102" s="469"/>
      <c r="AH102" s="469"/>
      <c r="AI102" s="464">
        <f t="shared" si="48"/>
        <v>0</v>
      </c>
      <c r="AJ102" s="467">
        <v>243</v>
      </c>
      <c r="AK102" s="467">
        <v>53659</v>
      </c>
      <c r="AL102" s="462">
        <f t="shared" si="49"/>
        <v>13039137</v>
      </c>
      <c r="AM102" s="469">
        <v>254</v>
      </c>
      <c r="AN102" s="475">
        <v>53169</v>
      </c>
      <c r="AO102" s="206">
        <f t="shared" si="50"/>
        <v>13504926</v>
      </c>
      <c r="AP102" s="467"/>
      <c r="AQ102" s="467"/>
      <c r="AR102" s="462">
        <f t="shared" si="51"/>
        <v>0</v>
      </c>
      <c r="AS102" s="469"/>
      <c r="AT102" s="469"/>
      <c r="AU102" s="464">
        <f t="shared" si="52"/>
        <v>0</v>
      </c>
      <c r="AV102" s="467"/>
      <c r="AW102" s="467"/>
      <c r="AX102" s="462">
        <f t="shared" si="53"/>
        <v>0</v>
      </c>
      <c r="AY102" s="469"/>
      <c r="AZ102" s="469"/>
      <c r="BA102" s="464">
        <f t="shared" si="54"/>
        <v>0</v>
      </c>
      <c r="BB102" s="467"/>
      <c r="BC102" s="467"/>
      <c r="BD102" s="462">
        <f t="shared" si="55"/>
        <v>0</v>
      </c>
      <c r="BE102" s="469"/>
      <c r="BF102" s="469"/>
      <c r="BG102" s="464">
        <f t="shared" si="56"/>
        <v>0</v>
      </c>
      <c r="BH102" s="467"/>
      <c r="BI102" s="467"/>
      <c r="BJ102" s="462">
        <f t="shared" si="57"/>
        <v>0</v>
      </c>
      <c r="BK102" s="469"/>
      <c r="BL102" s="469"/>
      <c r="BM102" s="464">
        <f t="shared" si="58"/>
        <v>0</v>
      </c>
      <c r="BN102" s="467"/>
      <c r="BO102" s="467"/>
      <c r="BP102" s="462">
        <f t="shared" si="59"/>
        <v>0</v>
      </c>
      <c r="BQ102" s="469"/>
      <c r="BR102" s="469"/>
      <c r="BS102" s="464">
        <f t="shared" si="60"/>
        <v>0</v>
      </c>
      <c r="BT102" s="467"/>
      <c r="BU102" s="467"/>
      <c r="BV102" s="462">
        <f t="shared" si="61"/>
        <v>0</v>
      </c>
      <c r="BW102" s="469"/>
      <c r="BX102" s="469"/>
      <c r="BY102" s="463">
        <f t="shared" si="62"/>
        <v>0</v>
      </c>
    </row>
    <row r="103" spans="1:77" x14ac:dyDescent="0.2">
      <c r="A103" s="468" t="s">
        <v>114</v>
      </c>
      <c r="B103" s="456" t="s">
        <v>1001</v>
      </c>
      <c r="C103" s="609" t="s">
        <v>1075</v>
      </c>
      <c r="D103" s="468">
        <v>132709</v>
      </c>
      <c r="E103" s="611">
        <v>8</v>
      </c>
      <c r="F103" s="459"/>
      <c r="G103" s="460"/>
      <c r="H103" s="461">
        <f t="shared" si="39"/>
        <v>0</v>
      </c>
      <c r="I103" s="470"/>
      <c r="J103" s="470"/>
      <c r="K103" s="464">
        <f t="shared" si="40"/>
        <v>0</v>
      </c>
      <c r="L103" s="467"/>
      <c r="M103" s="467"/>
      <c r="N103" s="462">
        <f t="shared" si="41"/>
        <v>0</v>
      </c>
      <c r="O103" s="469"/>
      <c r="P103" s="469"/>
      <c r="Q103" s="464">
        <f t="shared" si="42"/>
        <v>0</v>
      </c>
      <c r="R103" s="467"/>
      <c r="S103" s="467"/>
      <c r="T103" s="462">
        <f t="shared" si="43"/>
        <v>0</v>
      </c>
      <c r="U103" s="472"/>
      <c r="V103" s="472"/>
      <c r="W103" s="464">
        <f t="shared" si="44"/>
        <v>0</v>
      </c>
      <c r="X103" s="467"/>
      <c r="Y103" s="467"/>
      <c r="Z103" s="462">
        <f t="shared" si="45"/>
        <v>0</v>
      </c>
      <c r="AA103" s="469"/>
      <c r="AB103" s="469"/>
      <c r="AC103" s="464">
        <f t="shared" si="46"/>
        <v>0</v>
      </c>
      <c r="AD103" s="467"/>
      <c r="AE103" s="467"/>
      <c r="AF103" s="462">
        <f t="shared" si="47"/>
        <v>0</v>
      </c>
      <c r="AG103" s="469"/>
      <c r="AH103" s="469"/>
      <c r="AI103" s="464">
        <f t="shared" si="48"/>
        <v>0</v>
      </c>
      <c r="AJ103" s="467">
        <v>382</v>
      </c>
      <c r="AK103" s="467">
        <v>56134</v>
      </c>
      <c r="AL103" s="462">
        <f t="shared" si="49"/>
        <v>21443188</v>
      </c>
      <c r="AM103" s="469">
        <v>386</v>
      </c>
      <c r="AN103" s="474">
        <v>55838</v>
      </c>
      <c r="AO103" s="206">
        <f t="shared" si="50"/>
        <v>21553468</v>
      </c>
      <c r="AP103" s="467"/>
      <c r="AQ103" s="467"/>
      <c r="AR103" s="462">
        <f t="shared" si="51"/>
        <v>0</v>
      </c>
      <c r="AS103" s="469"/>
      <c r="AT103" s="469"/>
      <c r="AU103" s="464">
        <f t="shared" si="52"/>
        <v>0</v>
      </c>
      <c r="AV103" s="467"/>
      <c r="AW103" s="467"/>
      <c r="AX103" s="462">
        <f t="shared" si="53"/>
        <v>0</v>
      </c>
      <c r="AY103" s="469"/>
      <c r="AZ103" s="469"/>
      <c r="BA103" s="464">
        <f t="shared" si="54"/>
        <v>0</v>
      </c>
      <c r="BB103" s="467"/>
      <c r="BC103" s="467"/>
      <c r="BD103" s="462">
        <f t="shared" si="55"/>
        <v>0</v>
      </c>
      <c r="BE103" s="469"/>
      <c r="BF103" s="469"/>
      <c r="BG103" s="464">
        <f t="shared" si="56"/>
        <v>0</v>
      </c>
      <c r="BH103" s="467"/>
      <c r="BI103" s="467"/>
      <c r="BJ103" s="462">
        <f t="shared" si="57"/>
        <v>0</v>
      </c>
      <c r="BK103" s="469"/>
      <c r="BL103" s="469"/>
      <c r="BM103" s="464">
        <f t="shared" si="58"/>
        <v>0</v>
      </c>
      <c r="BN103" s="467"/>
      <c r="BO103" s="467"/>
      <c r="BP103" s="462">
        <f t="shared" si="59"/>
        <v>0</v>
      </c>
      <c r="BQ103" s="469"/>
      <c r="BR103" s="469"/>
      <c r="BS103" s="464">
        <f t="shared" si="60"/>
        <v>0</v>
      </c>
      <c r="BT103" s="467"/>
      <c r="BU103" s="467"/>
      <c r="BV103" s="462">
        <f t="shared" si="61"/>
        <v>0</v>
      </c>
      <c r="BW103" s="469"/>
      <c r="BX103" s="469"/>
      <c r="BY103" s="463">
        <f t="shared" si="62"/>
        <v>0</v>
      </c>
    </row>
    <row r="104" spans="1:77" x14ac:dyDescent="0.2">
      <c r="A104" s="468" t="s">
        <v>114</v>
      </c>
      <c r="B104" s="456" t="s">
        <v>1002</v>
      </c>
      <c r="C104" s="608"/>
      <c r="D104" s="468">
        <v>132851</v>
      </c>
      <c r="E104" s="612">
        <v>8</v>
      </c>
      <c r="F104" s="459"/>
      <c r="G104" s="460"/>
      <c r="H104" s="461">
        <f t="shared" si="39"/>
        <v>0</v>
      </c>
      <c r="I104" s="470"/>
      <c r="J104" s="470"/>
      <c r="K104" s="464">
        <f t="shared" si="40"/>
        <v>0</v>
      </c>
      <c r="L104" s="467"/>
      <c r="M104" s="467"/>
      <c r="N104" s="462">
        <f t="shared" si="41"/>
        <v>0</v>
      </c>
      <c r="O104" s="469"/>
      <c r="P104" s="469"/>
      <c r="Q104" s="464">
        <f t="shared" si="42"/>
        <v>0</v>
      </c>
      <c r="R104" s="467"/>
      <c r="S104" s="467"/>
      <c r="T104" s="462">
        <f t="shared" si="43"/>
        <v>0</v>
      </c>
      <c r="U104" s="472"/>
      <c r="V104" s="472"/>
      <c r="W104" s="464">
        <f t="shared" si="44"/>
        <v>0</v>
      </c>
      <c r="X104" s="467"/>
      <c r="Y104" s="467"/>
      <c r="Z104" s="462">
        <f t="shared" si="45"/>
        <v>0</v>
      </c>
      <c r="AA104" s="469"/>
      <c r="AB104" s="469"/>
      <c r="AC104" s="464">
        <f t="shared" si="46"/>
        <v>0</v>
      </c>
      <c r="AD104" s="467"/>
      <c r="AE104" s="467"/>
      <c r="AF104" s="462">
        <f t="shared" si="47"/>
        <v>0</v>
      </c>
      <c r="AG104" s="469"/>
      <c r="AH104" s="469"/>
      <c r="AI104" s="464">
        <f t="shared" si="48"/>
        <v>0</v>
      </c>
      <c r="AJ104" s="467">
        <v>127</v>
      </c>
      <c r="AK104" s="467">
        <v>47512</v>
      </c>
      <c r="AL104" s="462">
        <f t="shared" si="49"/>
        <v>6034024</v>
      </c>
      <c r="AM104" s="469">
        <v>124</v>
      </c>
      <c r="AN104" s="474">
        <v>49387</v>
      </c>
      <c r="AO104" s="206">
        <f t="shared" si="50"/>
        <v>6123988</v>
      </c>
      <c r="AP104" s="467"/>
      <c r="AQ104" s="467"/>
      <c r="AR104" s="462">
        <f t="shared" si="51"/>
        <v>0</v>
      </c>
      <c r="AS104" s="469"/>
      <c r="AT104" s="469"/>
      <c r="AU104" s="464">
        <f t="shared" si="52"/>
        <v>0</v>
      </c>
      <c r="AV104" s="467"/>
      <c r="AW104" s="467"/>
      <c r="AX104" s="462">
        <f t="shared" si="53"/>
        <v>0</v>
      </c>
      <c r="AY104" s="469"/>
      <c r="AZ104" s="469"/>
      <c r="BA104" s="464">
        <f t="shared" si="54"/>
        <v>0</v>
      </c>
      <c r="BB104" s="467"/>
      <c r="BC104" s="467"/>
      <c r="BD104" s="462">
        <f t="shared" si="55"/>
        <v>0</v>
      </c>
      <c r="BE104" s="469"/>
      <c r="BF104" s="469"/>
      <c r="BG104" s="464">
        <f t="shared" si="56"/>
        <v>0</v>
      </c>
      <c r="BH104" s="467"/>
      <c r="BI104" s="467"/>
      <c r="BJ104" s="462">
        <f t="shared" si="57"/>
        <v>0</v>
      </c>
      <c r="BK104" s="469"/>
      <c r="BL104" s="469"/>
      <c r="BM104" s="464">
        <f t="shared" si="58"/>
        <v>0</v>
      </c>
      <c r="BN104" s="467"/>
      <c r="BO104" s="467"/>
      <c r="BP104" s="462">
        <f t="shared" si="59"/>
        <v>0</v>
      </c>
      <c r="BQ104" s="469"/>
      <c r="BR104" s="469"/>
      <c r="BS104" s="464">
        <f t="shared" si="60"/>
        <v>0</v>
      </c>
      <c r="BT104" s="467"/>
      <c r="BU104" s="467"/>
      <c r="BV104" s="462">
        <f t="shared" si="61"/>
        <v>0</v>
      </c>
      <c r="BW104" s="469"/>
      <c r="BX104" s="469"/>
      <c r="BY104" s="463">
        <f t="shared" si="62"/>
        <v>0</v>
      </c>
    </row>
    <row r="105" spans="1:77" x14ac:dyDescent="0.2">
      <c r="A105" s="468" t="s">
        <v>114</v>
      </c>
      <c r="B105" s="456" t="s">
        <v>1006</v>
      </c>
      <c r="C105" s="606" t="s">
        <v>512</v>
      </c>
      <c r="D105" s="465">
        <v>133702</v>
      </c>
      <c r="E105" s="610">
        <v>7</v>
      </c>
      <c r="F105" s="459"/>
      <c r="G105" s="460"/>
      <c r="H105" s="461">
        <f t="shared" si="39"/>
        <v>0</v>
      </c>
      <c r="I105" s="470"/>
      <c r="J105" s="470"/>
      <c r="K105" s="464">
        <f t="shared" si="40"/>
        <v>0</v>
      </c>
      <c r="L105" s="467"/>
      <c r="M105" s="467"/>
      <c r="N105" s="462">
        <f t="shared" si="41"/>
        <v>0</v>
      </c>
      <c r="O105" s="469"/>
      <c r="P105" s="469"/>
      <c r="Q105" s="464">
        <f t="shared" si="42"/>
        <v>0</v>
      </c>
      <c r="R105" s="467"/>
      <c r="S105" s="467"/>
      <c r="T105" s="462">
        <f t="shared" si="43"/>
        <v>0</v>
      </c>
      <c r="U105" s="472"/>
      <c r="V105" s="472"/>
      <c r="W105" s="464">
        <f t="shared" si="44"/>
        <v>0</v>
      </c>
      <c r="X105" s="467"/>
      <c r="Y105" s="467"/>
      <c r="Z105" s="462">
        <f t="shared" si="45"/>
        <v>0</v>
      </c>
      <c r="AA105" s="469"/>
      <c r="AB105" s="469"/>
      <c r="AC105" s="464">
        <f t="shared" si="46"/>
        <v>0</v>
      </c>
      <c r="AD105" s="467"/>
      <c r="AE105" s="467"/>
      <c r="AF105" s="462">
        <f t="shared" si="47"/>
        <v>0</v>
      </c>
      <c r="AG105" s="469"/>
      <c r="AH105" s="469"/>
      <c r="AI105" s="464">
        <f t="shared" si="48"/>
        <v>0</v>
      </c>
      <c r="AJ105" s="467">
        <v>395</v>
      </c>
      <c r="AK105" s="467">
        <v>48371</v>
      </c>
      <c r="AL105" s="462">
        <f t="shared" si="49"/>
        <v>19106545</v>
      </c>
      <c r="AM105" s="469">
        <v>407</v>
      </c>
      <c r="AN105" s="469">
        <v>47972</v>
      </c>
      <c r="AO105" s="206">
        <f t="shared" si="50"/>
        <v>19524604</v>
      </c>
      <c r="AP105" s="467"/>
      <c r="AQ105" s="467"/>
      <c r="AR105" s="462">
        <f t="shared" si="51"/>
        <v>0</v>
      </c>
      <c r="AS105" s="469"/>
      <c r="AT105" s="469"/>
      <c r="AU105" s="464">
        <f t="shared" si="52"/>
        <v>0</v>
      </c>
      <c r="AV105" s="467"/>
      <c r="AW105" s="467"/>
      <c r="AX105" s="462">
        <f t="shared" si="53"/>
        <v>0</v>
      </c>
      <c r="AY105" s="469"/>
      <c r="AZ105" s="469"/>
      <c r="BA105" s="464">
        <f t="shared" si="54"/>
        <v>0</v>
      </c>
      <c r="BB105" s="467"/>
      <c r="BC105" s="467"/>
      <c r="BD105" s="462">
        <f t="shared" si="55"/>
        <v>0</v>
      </c>
      <c r="BE105" s="469"/>
      <c r="BF105" s="469"/>
      <c r="BG105" s="464">
        <f t="shared" si="56"/>
        <v>0</v>
      </c>
      <c r="BH105" s="467"/>
      <c r="BI105" s="467"/>
      <c r="BJ105" s="462">
        <f t="shared" si="57"/>
        <v>0</v>
      </c>
      <c r="BK105" s="469"/>
      <c r="BL105" s="469"/>
      <c r="BM105" s="464">
        <f t="shared" si="58"/>
        <v>0</v>
      </c>
      <c r="BN105" s="467"/>
      <c r="BO105" s="467"/>
      <c r="BP105" s="462">
        <f t="shared" si="59"/>
        <v>0</v>
      </c>
      <c r="BQ105" s="469"/>
      <c r="BR105" s="469"/>
      <c r="BS105" s="464">
        <f t="shared" si="60"/>
        <v>0</v>
      </c>
      <c r="BT105" s="467"/>
      <c r="BU105" s="467"/>
      <c r="BV105" s="462">
        <f t="shared" si="61"/>
        <v>0</v>
      </c>
      <c r="BW105" s="469"/>
      <c r="BX105" s="469"/>
      <c r="BY105" s="463">
        <f t="shared" si="62"/>
        <v>0</v>
      </c>
    </row>
    <row r="106" spans="1:77" x14ac:dyDescent="0.2">
      <c r="A106" s="465" t="s">
        <v>114</v>
      </c>
      <c r="B106" s="466" t="s">
        <v>1009</v>
      </c>
      <c r="C106" s="608"/>
      <c r="D106" s="465">
        <v>134495</v>
      </c>
      <c r="E106" s="611">
        <v>8</v>
      </c>
      <c r="F106" s="459"/>
      <c r="G106" s="460"/>
      <c r="H106" s="461">
        <f t="shared" si="39"/>
        <v>0</v>
      </c>
      <c r="I106" s="470"/>
      <c r="J106" s="470"/>
      <c r="K106" s="464">
        <f t="shared" si="40"/>
        <v>0</v>
      </c>
      <c r="L106" s="467"/>
      <c r="M106" s="467"/>
      <c r="N106" s="462">
        <f t="shared" si="41"/>
        <v>0</v>
      </c>
      <c r="O106" s="469"/>
      <c r="P106" s="469"/>
      <c r="Q106" s="464">
        <f t="shared" si="42"/>
        <v>0</v>
      </c>
      <c r="R106" s="467"/>
      <c r="S106" s="467"/>
      <c r="T106" s="462">
        <f t="shared" si="43"/>
        <v>0</v>
      </c>
      <c r="U106" s="472"/>
      <c r="V106" s="472"/>
      <c r="W106" s="464">
        <f t="shared" si="44"/>
        <v>0</v>
      </c>
      <c r="X106" s="467"/>
      <c r="Y106" s="467"/>
      <c r="Z106" s="462">
        <f t="shared" si="45"/>
        <v>0</v>
      </c>
      <c r="AA106" s="469"/>
      <c r="AB106" s="469"/>
      <c r="AC106" s="464">
        <f t="shared" si="46"/>
        <v>0</v>
      </c>
      <c r="AD106" s="467"/>
      <c r="AE106" s="467"/>
      <c r="AF106" s="462">
        <f t="shared" si="47"/>
        <v>0</v>
      </c>
      <c r="AG106" s="469"/>
      <c r="AH106" s="469"/>
      <c r="AI106" s="464">
        <f t="shared" si="48"/>
        <v>0</v>
      </c>
      <c r="AJ106" s="467">
        <v>292</v>
      </c>
      <c r="AK106" s="467">
        <v>52000</v>
      </c>
      <c r="AL106" s="462">
        <f t="shared" si="49"/>
        <v>15184000</v>
      </c>
      <c r="AM106" s="469">
        <v>298</v>
      </c>
      <c r="AN106" s="469">
        <v>52076</v>
      </c>
      <c r="AO106" s="206">
        <f t="shared" si="50"/>
        <v>15518648</v>
      </c>
      <c r="AP106" s="467"/>
      <c r="AQ106" s="467"/>
      <c r="AR106" s="462">
        <f t="shared" si="51"/>
        <v>0</v>
      </c>
      <c r="AS106" s="469"/>
      <c r="AT106" s="469"/>
      <c r="AU106" s="464">
        <f t="shared" si="52"/>
        <v>0</v>
      </c>
      <c r="AV106" s="467"/>
      <c r="AW106" s="467"/>
      <c r="AX106" s="462">
        <f t="shared" si="53"/>
        <v>0</v>
      </c>
      <c r="AY106" s="469"/>
      <c r="AZ106" s="469"/>
      <c r="BA106" s="464">
        <f t="shared" si="54"/>
        <v>0</v>
      </c>
      <c r="BB106" s="467"/>
      <c r="BC106" s="467"/>
      <c r="BD106" s="462">
        <f t="shared" si="55"/>
        <v>0</v>
      </c>
      <c r="BE106" s="469"/>
      <c r="BF106" s="469"/>
      <c r="BG106" s="464">
        <f t="shared" si="56"/>
        <v>0</v>
      </c>
      <c r="BH106" s="467"/>
      <c r="BI106" s="467"/>
      <c r="BJ106" s="462">
        <f t="shared" si="57"/>
        <v>0</v>
      </c>
      <c r="BK106" s="469"/>
      <c r="BL106" s="469"/>
      <c r="BM106" s="464">
        <f t="shared" si="58"/>
        <v>0</v>
      </c>
      <c r="BN106" s="467"/>
      <c r="BO106" s="467"/>
      <c r="BP106" s="462">
        <f t="shared" si="59"/>
        <v>0</v>
      </c>
      <c r="BQ106" s="469"/>
      <c r="BR106" s="469"/>
      <c r="BS106" s="464">
        <f t="shared" si="60"/>
        <v>0</v>
      </c>
      <c r="BT106" s="467"/>
      <c r="BU106" s="467"/>
      <c r="BV106" s="462">
        <f t="shared" si="61"/>
        <v>0</v>
      </c>
      <c r="BW106" s="469"/>
      <c r="BX106" s="469"/>
      <c r="BY106" s="463">
        <f t="shared" si="62"/>
        <v>0</v>
      </c>
    </row>
    <row r="107" spans="1:77" x14ac:dyDescent="0.2">
      <c r="A107" s="465" t="s">
        <v>114</v>
      </c>
      <c r="B107" s="456" t="s">
        <v>1010</v>
      </c>
      <c r="C107" s="606" t="s">
        <v>512</v>
      </c>
      <c r="D107" s="465">
        <v>134608</v>
      </c>
      <c r="E107" s="610">
        <v>7</v>
      </c>
      <c r="F107" s="459"/>
      <c r="G107" s="460"/>
      <c r="H107" s="461">
        <f t="shared" si="39"/>
        <v>0</v>
      </c>
      <c r="I107" s="470"/>
      <c r="J107" s="470"/>
      <c r="K107" s="464">
        <f t="shared" si="40"/>
        <v>0</v>
      </c>
      <c r="L107" s="467"/>
      <c r="M107" s="467"/>
      <c r="N107" s="462">
        <f t="shared" si="41"/>
        <v>0</v>
      </c>
      <c r="O107" s="469"/>
      <c r="P107" s="469"/>
      <c r="Q107" s="464">
        <f t="shared" si="42"/>
        <v>0</v>
      </c>
      <c r="R107" s="467"/>
      <c r="S107" s="467"/>
      <c r="T107" s="462">
        <f t="shared" si="43"/>
        <v>0</v>
      </c>
      <c r="U107" s="472"/>
      <c r="V107" s="472"/>
      <c r="W107" s="464">
        <f t="shared" si="44"/>
        <v>0</v>
      </c>
      <c r="X107" s="467"/>
      <c r="Y107" s="467"/>
      <c r="Z107" s="462">
        <f t="shared" si="45"/>
        <v>0</v>
      </c>
      <c r="AA107" s="469"/>
      <c r="AB107" s="469"/>
      <c r="AC107" s="464">
        <f t="shared" si="46"/>
        <v>0</v>
      </c>
      <c r="AD107" s="467"/>
      <c r="AE107" s="467"/>
      <c r="AF107" s="462">
        <f t="shared" si="47"/>
        <v>0</v>
      </c>
      <c r="AG107" s="469"/>
      <c r="AH107" s="469"/>
      <c r="AI107" s="464">
        <f t="shared" si="48"/>
        <v>0</v>
      </c>
      <c r="AJ107" s="467">
        <v>185</v>
      </c>
      <c r="AK107" s="467">
        <v>66822</v>
      </c>
      <c r="AL107" s="462">
        <f t="shared" si="49"/>
        <v>12362070</v>
      </c>
      <c r="AM107" s="469">
        <v>197</v>
      </c>
      <c r="AN107" s="469">
        <v>68329</v>
      </c>
      <c r="AO107" s="206">
        <f t="shared" si="50"/>
        <v>13460813</v>
      </c>
      <c r="AP107" s="467"/>
      <c r="AQ107" s="467"/>
      <c r="AR107" s="462">
        <f t="shared" si="51"/>
        <v>0</v>
      </c>
      <c r="AS107" s="469"/>
      <c r="AT107" s="469"/>
      <c r="AU107" s="464">
        <f t="shared" si="52"/>
        <v>0</v>
      </c>
      <c r="AV107" s="467"/>
      <c r="AW107" s="467"/>
      <c r="AX107" s="462">
        <f t="shared" si="53"/>
        <v>0</v>
      </c>
      <c r="AY107" s="469"/>
      <c r="AZ107" s="469"/>
      <c r="BA107" s="464">
        <f t="shared" si="54"/>
        <v>0</v>
      </c>
      <c r="BB107" s="467"/>
      <c r="BC107" s="467"/>
      <c r="BD107" s="462">
        <f t="shared" si="55"/>
        <v>0</v>
      </c>
      <c r="BE107" s="469"/>
      <c r="BF107" s="469"/>
      <c r="BG107" s="464">
        <f t="shared" si="56"/>
        <v>0</v>
      </c>
      <c r="BH107" s="467"/>
      <c r="BI107" s="467"/>
      <c r="BJ107" s="462">
        <f t="shared" si="57"/>
        <v>0</v>
      </c>
      <c r="BK107" s="469"/>
      <c r="BL107" s="469"/>
      <c r="BM107" s="464">
        <f t="shared" si="58"/>
        <v>0</v>
      </c>
      <c r="BN107" s="467"/>
      <c r="BO107" s="467"/>
      <c r="BP107" s="462">
        <f t="shared" si="59"/>
        <v>0</v>
      </c>
      <c r="BQ107" s="469"/>
      <c r="BR107" s="469"/>
      <c r="BS107" s="464">
        <f t="shared" si="60"/>
        <v>0</v>
      </c>
      <c r="BT107" s="467"/>
      <c r="BU107" s="467"/>
      <c r="BV107" s="462">
        <f t="shared" si="61"/>
        <v>0</v>
      </c>
      <c r="BW107" s="469"/>
      <c r="BX107" s="469"/>
      <c r="BY107" s="463">
        <f t="shared" si="62"/>
        <v>0</v>
      </c>
    </row>
    <row r="108" spans="1:77" x14ac:dyDescent="0.2">
      <c r="A108" s="468" t="s">
        <v>114</v>
      </c>
      <c r="B108" s="456" t="s">
        <v>1017</v>
      </c>
      <c r="C108" s="609" t="s">
        <v>1075</v>
      </c>
      <c r="D108" s="465">
        <v>136358</v>
      </c>
      <c r="E108" s="611">
        <v>8</v>
      </c>
      <c r="F108" s="459"/>
      <c r="G108" s="460"/>
      <c r="H108" s="461">
        <f t="shared" si="39"/>
        <v>0</v>
      </c>
      <c r="I108" s="470"/>
      <c r="J108" s="470"/>
      <c r="K108" s="464">
        <f t="shared" si="40"/>
        <v>0</v>
      </c>
      <c r="L108" s="467"/>
      <c r="M108" s="467"/>
      <c r="N108" s="462">
        <f t="shared" si="41"/>
        <v>0</v>
      </c>
      <c r="O108" s="469"/>
      <c r="P108" s="469"/>
      <c r="Q108" s="464">
        <f t="shared" si="42"/>
        <v>0</v>
      </c>
      <c r="R108" s="467"/>
      <c r="S108" s="467"/>
      <c r="T108" s="462">
        <f t="shared" si="43"/>
        <v>0</v>
      </c>
      <c r="U108" s="472"/>
      <c r="V108" s="472"/>
      <c r="W108" s="464">
        <f t="shared" si="44"/>
        <v>0</v>
      </c>
      <c r="X108" s="467"/>
      <c r="Y108" s="467"/>
      <c r="Z108" s="462">
        <f t="shared" si="45"/>
        <v>0</v>
      </c>
      <c r="AA108" s="469"/>
      <c r="AB108" s="469"/>
      <c r="AC108" s="464">
        <f t="shared" si="46"/>
        <v>0</v>
      </c>
      <c r="AD108" s="467"/>
      <c r="AE108" s="467"/>
      <c r="AF108" s="462">
        <f t="shared" si="47"/>
        <v>0</v>
      </c>
      <c r="AG108" s="469"/>
      <c r="AH108" s="469"/>
      <c r="AI108" s="464">
        <f t="shared" si="48"/>
        <v>0</v>
      </c>
      <c r="AJ108" s="467">
        <v>283</v>
      </c>
      <c r="AK108" s="467">
        <v>54910</v>
      </c>
      <c r="AL108" s="462">
        <f t="shared" si="49"/>
        <v>15539530</v>
      </c>
      <c r="AM108" s="469">
        <v>291</v>
      </c>
      <c r="AN108" s="469">
        <v>55316</v>
      </c>
      <c r="AO108" s="206">
        <f t="shared" si="50"/>
        <v>16096956</v>
      </c>
      <c r="AP108" s="467"/>
      <c r="AQ108" s="467"/>
      <c r="AR108" s="462">
        <f t="shared" si="51"/>
        <v>0</v>
      </c>
      <c r="AS108" s="469"/>
      <c r="AT108" s="469"/>
      <c r="AU108" s="464">
        <f t="shared" si="52"/>
        <v>0</v>
      </c>
      <c r="AV108" s="467"/>
      <c r="AW108" s="467"/>
      <c r="AX108" s="462">
        <f t="shared" si="53"/>
        <v>0</v>
      </c>
      <c r="AY108" s="469"/>
      <c r="AZ108" s="469"/>
      <c r="BA108" s="464">
        <f t="shared" si="54"/>
        <v>0</v>
      </c>
      <c r="BB108" s="467"/>
      <c r="BC108" s="467"/>
      <c r="BD108" s="462">
        <f t="shared" si="55"/>
        <v>0</v>
      </c>
      <c r="BE108" s="469"/>
      <c r="BF108" s="469"/>
      <c r="BG108" s="464">
        <f t="shared" si="56"/>
        <v>0</v>
      </c>
      <c r="BH108" s="467"/>
      <c r="BI108" s="467"/>
      <c r="BJ108" s="462">
        <f t="shared" si="57"/>
        <v>0</v>
      </c>
      <c r="BK108" s="469"/>
      <c r="BL108" s="469"/>
      <c r="BM108" s="464">
        <f t="shared" si="58"/>
        <v>0</v>
      </c>
      <c r="BN108" s="467"/>
      <c r="BO108" s="467"/>
      <c r="BP108" s="462">
        <f t="shared" si="59"/>
        <v>0</v>
      </c>
      <c r="BQ108" s="469"/>
      <c r="BR108" s="469"/>
      <c r="BS108" s="464">
        <f t="shared" si="60"/>
        <v>0</v>
      </c>
      <c r="BT108" s="467"/>
      <c r="BU108" s="467"/>
      <c r="BV108" s="462">
        <f t="shared" si="61"/>
        <v>0</v>
      </c>
      <c r="BW108" s="469"/>
      <c r="BX108" s="469"/>
      <c r="BY108" s="463">
        <f t="shared" si="62"/>
        <v>0</v>
      </c>
    </row>
    <row r="109" spans="1:77" x14ac:dyDescent="0.2">
      <c r="A109" s="468" t="s">
        <v>114</v>
      </c>
      <c r="B109" s="458" t="s">
        <v>1018</v>
      </c>
      <c r="C109" s="608"/>
      <c r="D109" s="457">
        <v>136400</v>
      </c>
      <c r="E109" s="611">
        <v>8</v>
      </c>
      <c r="F109" s="459"/>
      <c r="G109" s="460"/>
      <c r="H109" s="461">
        <f t="shared" si="39"/>
        <v>0</v>
      </c>
      <c r="I109" s="470"/>
      <c r="J109" s="470"/>
      <c r="K109" s="464">
        <f t="shared" si="40"/>
        <v>0</v>
      </c>
      <c r="L109" s="467"/>
      <c r="M109" s="467"/>
      <c r="N109" s="462">
        <f t="shared" si="41"/>
        <v>0</v>
      </c>
      <c r="O109" s="469"/>
      <c r="P109" s="469"/>
      <c r="Q109" s="464">
        <f t="shared" si="42"/>
        <v>0</v>
      </c>
      <c r="R109" s="467"/>
      <c r="S109" s="467"/>
      <c r="T109" s="462">
        <f t="shared" si="43"/>
        <v>0</v>
      </c>
      <c r="U109" s="472"/>
      <c r="V109" s="472"/>
      <c r="W109" s="464">
        <f t="shared" si="44"/>
        <v>0</v>
      </c>
      <c r="X109" s="467"/>
      <c r="Y109" s="467"/>
      <c r="Z109" s="462">
        <f t="shared" si="45"/>
        <v>0</v>
      </c>
      <c r="AA109" s="469"/>
      <c r="AB109" s="469"/>
      <c r="AC109" s="464">
        <f t="shared" si="46"/>
        <v>0</v>
      </c>
      <c r="AD109" s="467"/>
      <c r="AE109" s="467"/>
      <c r="AF109" s="462">
        <f t="shared" si="47"/>
        <v>0</v>
      </c>
      <c r="AG109" s="469"/>
      <c r="AH109" s="469"/>
      <c r="AI109" s="464">
        <f t="shared" si="48"/>
        <v>0</v>
      </c>
      <c r="AJ109" s="467">
        <v>118</v>
      </c>
      <c r="AK109" s="467">
        <v>51207</v>
      </c>
      <c r="AL109" s="462">
        <f t="shared" si="49"/>
        <v>6042426</v>
      </c>
      <c r="AM109" s="469">
        <v>120</v>
      </c>
      <c r="AN109" s="469">
        <v>54012</v>
      </c>
      <c r="AO109" s="206">
        <f t="shared" si="50"/>
        <v>6481440</v>
      </c>
      <c r="AP109" s="467"/>
      <c r="AQ109" s="467"/>
      <c r="AR109" s="462">
        <f t="shared" si="51"/>
        <v>0</v>
      </c>
      <c r="AS109" s="469"/>
      <c r="AT109" s="469"/>
      <c r="AU109" s="464">
        <f t="shared" si="52"/>
        <v>0</v>
      </c>
      <c r="AV109" s="467"/>
      <c r="AW109" s="467"/>
      <c r="AX109" s="462">
        <f t="shared" si="53"/>
        <v>0</v>
      </c>
      <c r="AY109" s="469"/>
      <c r="AZ109" s="469"/>
      <c r="BA109" s="464">
        <f t="shared" si="54"/>
        <v>0</v>
      </c>
      <c r="BB109" s="467"/>
      <c r="BC109" s="467"/>
      <c r="BD109" s="462">
        <f t="shared" si="55"/>
        <v>0</v>
      </c>
      <c r="BE109" s="469"/>
      <c r="BF109" s="469"/>
      <c r="BG109" s="464">
        <f t="shared" si="56"/>
        <v>0</v>
      </c>
      <c r="BH109" s="467"/>
      <c r="BI109" s="467"/>
      <c r="BJ109" s="462">
        <f t="shared" si="57"/>
        <v>0</v>
      </c>
      <c r="BK109" s="469"/>
      <c r="BL109" s="469"/>
      <c r="BM109" s="464">
        <f t="shared" si="58"/>
        <v>0</v>
      </c>
      <c r="BN109" s="467"/>
      <c r="BO109" s="467"/>
      <c r="BP109" s="462">
        <f t="shared" si="59"/>
        <v>0</v>
      </c>
      <c r="BQ109" s="469"/>
      <c r="BR109" s="469"/>
      <c r="BS109" s="464">
        <f t="shared" si="60"/>
        <v>0</v>
      </c>
      <c r="BT109" s="467"/>
      <c r="BU109" s="467"/>
      <c r="BV109" s="462">
        <f t="shared" si="61"/>
        <v>0</v>
      </c>
      <c r="BW109" s="469"/>
      <c r="BX109" s="469"/>
      <c r="BY109" s="463">
        <f t="shared" si="62"/>
        <v>0</v>
      </c>
    </row>
    <row r="110" spans="1:77" x14ac:dyDescent="0.2">
      <c r="A110" s="468" t="s">
        <v>114</v>
      </c>
      <c r="B110" s="456" t="s">
        <v>1019</v>
      </c>
      <c r="C110" s="608"/>
      <c r="D110" s="465">
        <v>136473</v>
      </c>
      <c r="E110" s="611">
        <v>8</v>
      </c>
      <c r="F110" s="459"/>
      <c r="G110" s="460"/>
      <c r="H110" s="461">
        <f t="shared" si="39"/>
        <v>0</v>
      </c>
      <c r="I110" s="470"/>
      <c r="J110" s="470"/>
      <c r="K110" s="464">
        <f t="shared" si="40"/>
        <v>0</v>
      </c>
      <c r="L110" s="467"/>
      <c r="M110" s="467"/>
      <c r="N110" s="462">
        <f t="shared" si="41"/>
        <v>0</v>
      </c>
      <c r="O110" s="469"/>
      <c r="P110" s="469"/>
      <c r="Q110" s="464">
        <f t="shared" si="42"/>
        <v>0</v>
      </c>
      <c r="R110" s="467"/>
      <c r="S110" s="467"/>
      <c r="T110" s="462">
        <f t="shared" si="43"/>
        <v>0</v>
      </c>
      <c r="U110" s="472"/>
      <c r="V110" s="472"/>
      <c r="W110" s="464">
        <f t="shared" si="44"/>
        <v>0</v>
      </c>
      <c r="X110" s="467"/>
      <c r="Y110" s="467"/>
      <c r="Z110" s="462">
        <f t="shared" si="45"/>
        <v>0</v>
      </c>
      <c r="AA110" s="469"/>
      <c r="AB110" s="469"/>
      <c r="AC110" s="464">
        <f t="shared" si="46"/>
        <v>0</v>
      </c>
      <c r="AD110" s="467"/>
      <c r="AE110" s="467"/>
      <c r="AF110" s="462">
        <f t="shared" si="47"/>
        <v>0</v>
      </c>
      <c r="AG110" s="469"/>
      <c r="AH110" s="469"/>
      <c r="AI110" s="464">
        <f t="shared" si="48"/>
        <v>0</v>
      </c>
      <c r="AJ110" s="467">
        <v>192</v>
      </c>
      <c r="AK110" s="467">
        <v>49024</v>
      </c>
      <c r="AL110" s="462">
        <f t="shared" si="49"/>
        <v>9412608</v>
      </c>
      <c r="AM110" s="469">
        <v>203</v>
      </c>
      <c r="AN110" s="469">
        <v>47695</v>
      </c>
      <c r="AO110" s="206">
        <f t="shared" si="50"/>
        <v>9682085</v>
      </c>
      <c r="AP110" s="467"/>
      <c r="AQ110" s="467"/>
      <c r="AR110" s="462">
        <f t="shared" si="51"/>
        <v>0</v>
      </c>
      <c r="AS110" s="469"/>
      <c r="AT110" s="469"/>
      <c r="AU110" s="464">
        <f t="shared" si="52"/>
        <v>0</v>
      </c>
      <c r="AV110" s="467"/>
      <c r="AW110" s="467"/>
      <c r="AX110" s="462">
        <f t="shared" si="53"/>
        <v>0</v>
      </c>
      <c r="AY110" s="469"/>
      <c r="AZ110" s="469"/>
      <c r="BA110" s="464">
        <f t="shared" si="54"/>
        <v>0</v>
      </c>
      <c r="BB110" s="467"/>
      <c r="BC110" s="467"/>
      <c r="BD110" s="462">
        <f t="shared" si="55"/>
        <v>0</v>
      </c>
      <c r="BE110" s="469"/>
      <c r="BF110" s="469"/>
      <c r="BG110" s="464">
        <f t="shared" si="56"/>
        <v>0</v>
      </c>
      <c r="BH110" s="467"/>
      <c r="BI110" s="467"/>
      <c r="BJ110" s="462">
        <f t="shared" si="57"/>
        <v>0</v>
      </c>
      <c r="BK110" s="469"/>
      <c r="BL110" s="469"/>
      <c r="BM110" s="464">
        <f t="shared" si="58"/>
        <v>0</v>
      </c>
      <c r="BN110" s="467"/>
      <c r="BO110" s="467"/>
      <c r="BP110" s="462">
        <f t="shared" si="59"/>
        <v>0</v>
      </c>
      <c r="BQ110" s="469"/>
      <c r="BR110" s="469"/>
      <c r="BS110" s="464">
        <f t="shared" si="60"/>
        <v>0</v>
      </c>
      <c r="BT110" s="467"/>
      <c r="BU110" s="467"/>
      <c r="BV110" s="462">
        <f t="shared" si="61"/>
        <v>0</v>
      </c>
      <c r="BW110" s="469"/>
      <c r="BX110" s="469"/>
      <c r="BY110" s="463">
        <f t="shared" si="62"/>
        <v>0</v>
      </c>
    </row>
    <row r="111" spans="1:77" x14ac:dyDescent="0.2">
      <c r="A111" s="468" t="s">
        <v>114</v>
      </c>
      <c r="B111" s="456" t="s">
        <v>1020</v>
      </c>
      <c r="C111" s="609" t="s">
        <v>1075</v>
      </c>
      <c r="D111" s="468">
        <v>136516</v>
      </c>
      <c r="E111" s="611">
        <v>8</v>
      </c>
      <c r="F111" s="459"/>
      <c r="G111" s="460"/>
      <c r="H111" s="461">
        <f t="shared" si="39"/>
        <v>0</v>
      </c>
      <c r="I111" s="470"/>
      <c r="J111" s="470"/>
      <c r="K111" s="464">
        <f t="shared" si="40"/>
        <v>0</v>
      </c>
      <c r="L111" s="467"/>
      <c r="M111" s="467"/>
      <c r="N111" s="462">
        <f t="shared" si="41"/>
        <v>0</v>
      </c>
      <c r="O111" s="469"/>
      <c r="P111" s="469"/>
      <c r="Q111" s="464">
        <f t="shared" si="42"/>
        <v>0</v>
      </c>
      <c r="R111" s="467"/>
      <c r="S111" s="467"/>
      <c r="T111" s="462">
        <f t="shared" si="43"/>
        <v>0</v>
      </c>
      <c r="U111" s="472"/>
      <c r="V111" s="472"/>
      <c r="W111" s="464">
        <f t="shared" si="44"/>
        <v>0</v>
      </c>
      <c r="X111" s="467"/>
      <c r="Y111" s="467"/>
      <c r="Z111" s="462">
        <f t="shared" si="45"/>
        <v>0</v>
      </c>
      <c r="AA111" s="469"/>
      <c r="AB111" s="469"/>
      <c r="AC111" s="464">
        <f t="shared" si="46"/>
        <v>0</v>
      </c>
      <c r="AD111" s="467"/>
      <c r="AE111" s="467"/>
      <c r="AF111" s="462">
        <f t="shared" si="47"/>
        <v>0</v>
      </c>
      <c r="AG111" s="469"/>
      <c r="AH111" s="469"/>
      <c r="AI111" s="464">
        <f t="shared" si="48"/>
        <v>0</v>
      </c>
      <c r="AJ111" s="467">
        <v>125</v>
      </c>
      <c r="AK111" s="467">
        <v>47942</v>
      </c>
      <c r="AL111" s="462">
        <f t="shared" si="49"/>
        <v>5992750</v>
      </c>
      <c r="AM111" s="469">
        <v>124</v>
      </c>
      <c r="AN111" s="469">
        <v>52921</v>
      </c>
      <c r="AO111" s="206">
        <f t="shared" si="50"/>
        <v>6562204</v>
      </c>
      <c r="AP111" s="467"/>
      <c r="AQ111" s="467"/>
      <c r="AR111" s="462">
        <f t="shared" si="51"/>
        <v>0</v>
      </c>
      <c r="AS111" s="469"/>
      <c r="AT111" s="469"/>
      <c r="AU111" s="464">
        <f t="shared" si="52"/>
        <v>0</v>
      </c>
      <c r="AV111" s="467"/>
      <c r="AW111" s="467"/>
      <c r="AX111" s="462">
        <f t="shared" si="53"/>
        <v>0</v>
      </c>
      <c r="AY111" s="469"/>
      <c r="AZ111" s="469"/>
      <c r="BA111" s="464">
        <f t="shared" si="54"/>
        <v>0</v>
      </c>
      <c r="BB111" s="467"/>
      <c r="BC111" s="467"/>
      <c r="BD111" s="462">
        <f t="shared" si="55"/>
        <v>0</v>
      </c>
      <c r="BE111" s="469"/>
      <c r="BF111" s="469"/>
      <c r="BG111" s="464">
        <f t="shared" si="56"/>
        <v>0</v>
      </c>
      <c r="BH111" s="467"/>
      <c r="BI111" s="467"/>
      <c r="BJ111" s="462">
        <f t="shared" si="57"/>
        <v>0</v>
      </c>
      <c r="BK111" s="469"/>
      <c r="BL111" s="469"/>
      <c r="BM111" s="464">
        <f t="shared" si="58"/>
        <v>0</v>
      </c>
      <c r="BN111" s="467"/>
      <c r="BO111" s="467"/>
      <c r="BP111" s="462">
        <f t="shared" si="59"/>
        <v>0</v>
      </c>
      <c r="BQ111" s="469"/>
      <c r="BR111" s="469"/>
      <c r="BS111" s="464">
        <f t="shared" si="60"/>
        <v>0</v>
      </c>
      <c r="BT111" s="467"/>
      <c r="BU111" s="467"/>
      <c r="BV111" s="462">
        <f t="shared" si="61"/>
        <v>0</v>
      </c>
      <c r="BW111" s="469"/>
      <c r="BX111" s="469"/>
      <c r="BY111" s="463">
        <f t="shared" si="62"/>
        <v>0</v>
      </c>
    </row>
    <row r="112" spans="1:77" x14ac:dyDescent="0.2">
      <c r="A112" s="468" t="s">
        <v>114</v>
      </c>
      <c r="B112" s="456" t="s">
        <v>1023</v>
      </c>
      <c r="C112" s="608"/>
      <c r="D112" s="468">
        <v>137096</v>
      </c>
      <c r="E112" s="611">
        <v>8</v>
      </c>
      <c r="F112" s="459"/>
      <c r="G112" s="460"/>
      <c r="H112" s="461">
        <f t="shared" si="39"/>
        <v>0</v>
      </c>
      <c r="I112" s="470"/>
      <c r="J112" s="470"/>
      <c r="K112" s="464">
        <f t="shared" si="40"/>
        <v>0</v>
      </c>
      <c r="L112" s="467"/>
      <c r="M112" s="467"/>
      <c r="N112" s="462">
        <f t="shared" si="41"/>
        <v>0</v>
      </c>
      <c r="O112" s="469"/>
      <c r="P112" s="469"/>
      <c r="Q112" s="464">
        <f t="shared" si="42"/>
        <v>0</v>
      </c>
      <c r="R112" s="467"/>
      <c r="S112" s="467"/>
      <c r="T112" s="462">
        <f t="shared" si="43"/>
        <v>0</v>
      </c>
      <c r="U112" s="472"/>
      <c r="V112" s="472"/>
      <c r="W112" s="464">
        <f t="shared" si="44"/>
        <v>0</v>
      </c>
      <c r="X112" s="467"/>
      <c r="Y112" s="467"/>
      <c r="Z112" s="462">
        <f t="shared" si="45"/>
        <v>0</v>
      </c>
      <c r="AA112" s="469"/>
      <c r="AB112" s="469"/>
      <c r="AC112" s="464">
        <f t="shared" si="46"/>
        <v>0</v>
      </c>
      <c r="AD112" s="467"/>
      <c r="AE112" s="467"/>
      <c r="AF112" s="462">
        <f t="shared" si="47"/>
        <v>0</v>
      </c>
      <c r="AG112" s="469"/>
      <c r="AH112" s="469"/>
      <c r="AI112" s="464">
        <f t="shared" si="48"/>
        <v>0</v>
      </c>
      <c r="AJ112" s="467">
        <v>230</v>
      </c>
      <c r="AK112" s="467">
        <v>48531</v>
      </c>
      <c r="AL112" s="462">
        <f t="shared" si="49"/>
        <v>11162130</v>
      </c>
      <c r="AM112" s="469">
        <v>230</v>
      </c>
      <c r="AN112" s="469">
        <v>50497</v>
      </c>
      <c r="AO112" s="206">
        <f t="shared" si="50"/>
        <v>11614310</v>
      </c>
      <c r="AP112" s="467"/>
      <c r="AQ112" s="467"/>
      <c r="AR112" s="462">
        <f t="shared" si="51"/>
        <v>0</v>
      </c>
      <c r="AS112" s="469"/>
      <c r="AT112" s="469"/>
      <c r="AU112" s="464">
        <f t="shared" si="52"/>
        <v>0</v>
      </c>
      <c r="AV112" s="467"/>
      <c r="AW112" s="467"/>
      <c r="AX112" s="462">
        <f t="shared" si="53"/>
        <v>0</v>
      </c>
      <c r="AY112" s="469"/>
      <c r="AZ112" s="469"/>
      <c r="BA112" s="464">
        <f t="shared" si="54"/>
        <v>0</v>
      </c>
      <c r="BB112" s="467"/>
      <c r="BC112" s="467"/>
      <c r="BD112" s="462">
        <f t="shared" si="55"/>
        <v>0</v>
      </c>
      <c r="BE112" s="469"/>
      <c r="BF112" s="469"/>
      <c r="BG112" s="464">
        <f t="shared" si="56"/>
        <v>0</v>
      </c>
      <c r="BH112" s="467"/>
      <c r="BI112" s="467"/>
      <c r="BJ112" s="462">
        <f t="shared" si="57"/>
        <v>0</v>
      </c>
      <c r="BK112" s="469"/>
      <c r="BL112" s="469"/>
      <c r="BM112" s="464">
        <f t="shared" si="58"/>
        <v>0</v>
      </c>
      <c r="BN112" s="467"/>
      <c r="BO112" s="467"/>
      <c r="BP112" s="462">
        <f t="shared" si="59"/>
        <v>0</v>
      </c>
      <c r="BQ112" s="469"/>
      <c r="BR112" s="469"/>
      <c r="BS112" s="464">
        <f t="shared" si="60"/>
        <v>0</v>
      </c>
      <c r="BT112" s="467"/>
      <c r="BU112" s="467"/>
      <c r="BV112" s="462">
        <f t="shared" si="61"/>
        <v>0</v>
      </c>
      <c r="BW112" s="469"/>
      <c r="BX112" s="469"/>
      <c r="BY112" s="463">
        <f t="shared" si="62"/>
        <v>0</v>
      </c>
    </row>
    <row r="113" spans="1:77" x14ac:dyDescent="0.2">
      <c r="A113" s="468" t="s">
        <v>114</v>
      </c>
      <c r="B113" s="456" t="s">
        <v>1024</v>
      </c>
      <c r="C113" s="608"/>
      <c r="D113" s="468">
        <v>137209</v>
      </c>
      <c r="E113" s="611">
        <v>8</v>
      </c>
      <c r="F113" s="459"/>
      <c r="G113" s="460"/>
      <c r="H113" s="461">
        <f t="shared" si="39"/>
        <v>0</v>
      </c>
      <c r="I113" s="470"/>
      <c r="J113" s="470"/>
      <c r="K113" s="464">
        <f t="shared" si="40"/>
        <v>0</v>
      </c>
      <c r="L113" s="467"/>
      <c r="M113" s="467"/>
      <c r="N113" s="462">
        <f t="shared" si="41"/>
        <v>0</v>
      </c>
      <c r="O113" s="469"/>
      <c r="P113" s="469"/>
      <c r="Q113" s="464">
        <f t="shared" si="42"/>
        <v>0</v>
      </c>
      <c r="R113" s="467"/>
      <c r="S113" s="467"/>
      <c r="T113" s="462">
        <f t="shared" si="43"/>
        <v>0</v>
      </c>
      <c r="U113" s="472"/>
      <c r="V113" s="472"/>
      <c r="W113" s="464">
        <f t="shared" si="44"/>
        <v>0</v>
      </c>
      <c r="X113" s="467"/>
      <c r="Y113" s="467"/>
      <c r="Z113" s="462">
        <f t="shared" si="45"/>
        <v>0</v>
      </c>
      <c r="AA113" s="469"/>
      <c r="AB113" s="469"/>
      <c r="AC113" s="464">
        <f t="shared" si="46"/>
        <v>0</v>
      </c>
      <c r="AD113" s="467"/>
      <c r="AE113" s="467"/>
      <c r="AF113" s="462">
        <f t="shared" si="47"/>
        <v>0</v>
      </c>
      <c r="AG113" s="469"/>
      <c r="AH113" s="469"/>
      <c r="AI113" s="464">
        <f t="shared" si="48"/>
        <v>0</v>
      </c>
      <c r="AJ113" s="467">
        <v>196</v>
      </c>
      <c r="AK113" s="467">
        <v>56525</v>
      </c>
      <c r="AL113" s="462">
        <f t="shared" si="49"/>
        <v>11078900</v>
      </c>
      <c r="AM113" s="469">
        <v>199</v>
      </c>
      <c r="AN113" s="469">
        <v>56392</v>
      </c>
      <c r="AO113" s="206">
        <f t="shared" si="50"/>
        <v>11222008</v>
      </c>
      <c r="AP113" s="467"/>
      <c r="AQ113" s="467"/>
      <c r="AR113" s="462">
        <f t="shared" si="51"/>
        <v>0</v>
      </c>
      <c r="AS113" s="469"/>
      <c r="AT113" s="469"/>
      <c r="AU113" s="464">
        <f t="shared" si="52"/>
        <v>0</v>
      </c>
      <c r="AV113" s="467"/>
      <c r="AW113" s="467"/>
      <c r="AX113" s="462">
        <f t="shared" si="53"/>
        <v>0</v>
      </c>
      <c r="AY113" s="469"/>
      <c r="AZ113" s="469"/>
      <c r="BA113" s="464">
        <f t="shared" si="54"/>
        <v>0</v>
      </c>
      <c r="BB113" s="467"/>
      <c r="BC113" s="467"/>
      <c r="BD113" s="462">
        <f t="shared" si="55"/>
        <v>0</v>
      </c>
      <c r="BE113" s="469"/>
      <c r="BF113" s="469"/>
      <c r="BG113" s="464">
        <f t="shared" si="56"/>
        <v>0</v>
      </c>
      <c r="BH113" s="467"/>
      <c r="BI113" s="467"/>
      <c r="BJ113" s="462">
        <f t="shared" si="57"/>
        <v>0</v>
      </c>
      <c r="BK113" s="469"/>
      <c r="BL113" s="469"/>
      <c r="BM113" s="464">
        <f t="shared" si="58"/>
        <v>0</v>
      </c>
      <c r="BN113" s="467"/>
      <c r="BO113" s="467"/>
      <c r="BP113" s="462">
        <f t="shared" si="59"/>
        <v>0</v>
      </c>
      <c r="BQ113" s="469"/>
      <c r="BR113" s="469"/>
      <c r="BS113" s="464">
        <f t="shared" si="60"/>
        <v>0</v>
      </c>
      <c r="BT113" s="467"/>
      <c r="BU113" s="467"/>
      <c r="BV113" s="462">
        <f t="shared" si="61"/>
        <v>0</v>
      </c>
      <c r="BW113" s="469"/>
      <c r="BX113" s="469"/>
      <c r="BY113" s="463">
        <f t="shared" si="62"/>
        <v>0</v>
      </c>
    </row>
    <row r="114" spans="1:77" x14ac:dyDescent="0.2">
      <c r="A114" s="465" t="s">
        <v>114</v>
      </c>
      <c r="B114" s="456" t="s">
        <v>1013</v>
      </c>
      <c r="C114" s="609" t="s">
        <v>1075</v>
      </c>
      <c r="D114" s="468">
        <v>135391</v>
      </c>
      <c r="E114" s="611">
        <v>8</v>
      </c>
      <c r="F114" s="459"/>
      <c r="G114" s="460"/>
      <c r="H114" s="461">
        <f t="shared" si="39"/>
        <v>0</v>
      </c>
      <c r="I114" s="470"/>
      <c r="J114" s="470"/>
      <c r="K114" s="464">
        <f t="shared" si="40"/>
        <v>0</v>
      </c>
      <c r="L114" s="467"/>
      <c r="M114" s="467"/>
      <c r="N114" s="462">
        <f t="shared" si="41"/>
        <v>0</v>
      </c>
      <c r="O114" s="469"/>
      <c r="P114" s="469"/>
      <c r="Q114" s="464">
        <f t="shared" si="42"/>
        <v>0</v>
      </c>
      <c r="R114" s="467"/>
      <c r="S114" s="467"/>
      <c r="T114" s="462">
        <f t="shared" si="43"/>
        <v>0</v>
      </c>
      <c r="U114" s="472"/>
      <c r="V114" s="472"/>
      <c r="W114" s="464">
        <f t="shared" si="44"/>
        <v>0</v>
      </c>
      <c r="X114" s="467"/>
      <c r="Y114" s="467"/>
      <c r="Z114" s="462">
        <f t="shared" si="45"/>
        <v>0</v>
      </c>
      <c r="AA114" s="469"/>
      <c r="AB114" s="469"/>
      <c r="AC114" s="464">
        <f t="shared" si="46"/>
        <v>0</v>
      </c>
      <c r="AD114" s="467"/>
      <c r="AE114" s="467"/>
      <c r="AF114" s="462">
        <f t="shared" si="47"/>
        <v>0</v>
      </c>
      <c r="AG114" s="469"/>
      <c r="AH114" s="469"/>
      <c r="AI114" s="464">
        <f t="shared" si="48"/>
        <v>0</v>
      </c>
      <c r="AJ114" s="467">
        <v>133</v>
      </c>
      <c r="AK114" s="467">
        <v>52853</v>
      </c>
      <c r="AL114" s="462">
        <f t="shared" si="49"/>
        <v>7029449</v>
      </c>
      <c r="AM114" s="469">
        <v>139</v>
      </c>
      <c r="AN114" s="469">
        <v>53864</v>
      </c>
      <c r="AO114" s="206">
        <f t="shared" si="50"/>
        <v>7487096</v>
      </c>
      <c r="AP114" s="467"/>
      <c r="AQ114" s="467"/>
      <c r="AR114" s="462">
        <f t="shared" si="51"/>
        <v>0</v>
      </c>
      <c r="AS114" s="469"/>
      <c r="AT114" s="469"/>
      <c r="AU114" s="464">
        <f t="shared" si="52"/>
        <v>0</v>
      </c>
      <c r="AV114" s="467"/>
      <c r="AW114" s="467"/>
      <c r="AX114" s="462">
        <f t="shared" si="53"/>
        <v>0</v>
      </c>
      <c r="AY114" s="469"/>
      <c r="AZ114" s="469"/>
      <c r="BA114" s="464">
        <f t="shared" si="54"/>
        <v>0</v>
      </c>
      <c r="BB114" s="467"/>
      <c r="BC114" s="467"/>
      <c r="BD114" s="462">
        <f t="shared" si="55"/>
        <v>0</v>
      </c>
      <c r="BE114" s="469"/>
      <c r="BF114" s="469"/>
      <c r="BG114" s="464">
        <f t="shared" si="56"/>
        <v>0</v>
      </c>
      <c r="BH114" s="467"/>
      <c r="BI114" s="467"/>
      <c r="BJ114" s="462">
        <f t="shared" si="57"/>
        <v>0</v>
      </c>
      <c r="BK114" s="469"/>
      <c r="BL114" s="469"/>
      <c r="BM114" s="464">
        <f t="shared" si="58"/>
        <v>0</v>
      </c>
      <c r="BN114" s="467"/>
      <c r="BO114" s="467"/>
      <c r="BP114" s="462">
        <f t="shared" si="59"/>
        <v>0</v>
      </c>
      <c r="BQ114" s="469"/>
      <c r="BR114" s="469"/>
      <c r="BS114" s="464">
        <f t="shared" si="60"/>
        <v>0</v>
      </c>
      <c r="BT114" s="467"/>
      <c r="BU114" s="467"/>
      <c r="BV114" s="462">
        <f t="shared" si="61"/>
        <v>0</v>
      </c>
      <c r="BW114" s="469"/>
      <c r="BX114" s="469"/>
      <c r="BY114" s="463">
        <f t="shared" si="62"/>
        <v>0</v>
      </c>
    </row>
    <row r="115" spans="1:77" x14ac:dyDescent="0.2">
      <c r="A115" s="465" t="s">
        <v>114</v>
      </c>
      <c r="B115" s="456" t="s">
        <v>1026</v>
      </c>
      <c r="C115" s="608"/>
      <c r="D115" s="468">
        <v>137759</v>
      </c>
      <c r="E115" s="611">
        <v>8</v>
      </c>
      <c r="F115" s="459"/>
      <c r="G115" s="460"/>
      <c r="H115" s="461">
        <f t="shared" si="39"/>
        <v>0</v>
      </c>
      <c r="I115" s="470"/>
      <c r="J115" s="470"/>
      <c r="K115" s="464">
        <f t="shared" si="40"/>
        <v>0</v>
      </c>
      <c r="L115" s="467"/>
      <c r="M115" s="467"/>
      <c r="N115" s="462">
        <f t="shared" si="41"/>
        <v>0</v>
      </c>
      <c r="O115" s="469"/>
      <c r="P115" s="469"/>
      <c r="Q115" s="464">
        <f t="shared" si="42"/>
        <v>0</v>
      </c>
      <c r="R115" s="467"/>
      <c r="S115" s="467"/>
      <c r="T115" s="462">
        <f t="shared" si="43"/>
        <v>0</v>
      </c>
      <c r="U115" s="472"/>
      <c r="V115" s="472"/>
      <c r="W115" s="464">
        <f t="shared" si="44"/>
        <v>0</v>
      </c>
      <c r="X115" s="467"/>
      <c r="Y115" s="467"/>
      <c r="Z115" s="462">
        <f t="shared" si="45"/>
        <v>0</v>
      </c>
      <c r="AA115" s="469"/>
      <c r="AB115" s="469"/>
      <c r="AC115" s="464">
        <f t="shared" si="46"/>
        <v>0</v>
      </c>
      <c r="AD115" s="467"/>
      <c r="AE115" s="467"/>
      <c r="AF115" s="462">
        <f t="shared" si="47"/>
        <v>0</v>
      </c>
      <c r="AG115" s="469"/>
      <c r="AH115" s="469"/>
      <c r="AI115" s="464">
        <f t="shared" si="48"/>
        <v>0</v>
      </c>
      <c r="AJ115" s="467">
        <v>175</v>
      </c>
      <c r="AK115" s="467">
        <v>57951</v>
      </c>
      <c r="AL115" s="462">
        <f t="shared" si="49"/>
        <v>10141425</v>
      </c>
      <c r="AM115" s="469">
        <v>187</v>
      </c>
      <c r="AN115" s="469">
        <v>58547</v>
      </c>
      <c r="AO115" s="206">
        <f t="shared" si="50"/>
        <v>10948289</v>
      </c>
      <c r="AP115" s="467"/>
      <c r="AQ115" s="467"/>
      <c r="AR115" s="462">
        <f t="shared" si="51"/>
        <v>0</v>
      </c>
      <c r="AS115" s="469"/>
      <c r="AT115" s="469"/>
      <c r="AU115" s="464">
        <f t="shared" si="52"/>
        <v>0</v>
      </c>
      <c r="AV115" s="467"/>
      <c r="AW115" s="467"/>
      <c r="AX115" s="462">
        <f t="shared" si="53"/>
        <v>0</v>
      </c>
      <c r="AY115" s="469"/>
      <c r="AZ115" s="469"/>
      <c r="BA115" s="464">
        <f t="shared" si="54"/>
        <v>0</v>
      </c>
      <c r="BB115" s="467"/>
      <c r="BC115" s="467"/>
      <c r="BD115" s="462">
        <f t="shared" si="55"/>
        <v>0</v>
      </c>
      <c r="BE115" s="469"/>
      <c r="BF115" s="469"/>
      <c r="BG115" s="464">
        <f t="shared" si="56"/>
        <v>0</v>
      </c>
      <c r="BH115" s="467"/>
      <c r="BI115" s="467"/>
      <c r="BJ115" s="462">
        <f t="shared" si="57"/>
        <v>0</v>
      </c>
      <c r="BK115" s="469"/>
      <c r="BL115" s="469"/>
      <c r="BM115" s="464">
        <f t="shared" si="58"/>
        <v>0</v>
      </c>
      <c r="BN115" s="467"/>
      <c r="BO115" s="467"/>
      <c r="BP115" s="462">
        <f t="shared" si="59"/>
        <v>0</v>
      </c>
      <c r="BQ115" s="469"/>
      <c r="BR115" s="469"/>
      <c r="BS115" s="464">
        <f t="shared" si="60"/>
        <v>0</v>
      </c>
      <c r="BT115" s="467"/>
      <c r="BU115" s="467"/>
      <c r="BV115" s="462">
        <f t="shared" si="61"/>
        <v>0</v>
      </c>
      <c r="BW115" s="469"/>
      <c r="BX115" s="469"/>
      <c r="BY115" s="463">
        <f t="shared" si="62"/>
        <v>0</v>
      </c>
    </row>
    <row r="116" spans="1:77" x14ac:dyDescent="0.2">
      <c r="A116" s="465" t="s">
        <v>114</v>
      </c>
      <c r="B116" s="456" t="s">
        <v>1027</v>
      </c>
      <c r="C116" s="608"/>
      <c r="D116" s="468">
        <v>138187</v>
      </c>
      <c r="E116" s="611">
        <v>8</v>
      </c>
      <c r="F116" s="459"/>
      <c r="G116" s="460"/>
      <c r="H116" s="461">
        <f t="shared" si="39"/>
        <v>0</v>
      </c>
      <c r="I116" s="470"/>
      <c r="J116" s="470"/>
      <c r="K116" s="464">
        <f t="shared" si="40"/>
        <v>0</v>
      </c>
      <c r="L116" s="467"/>
      <c r="M116" s="467"/>
      <c r="N116" s="462">
        <f t="shared" si="41"/>
        <v>0</v>
      </c>
      <c r="O116" s="469"/>
      <c r="P116" s="469"/>
      <c r="Q116" s="464">
        <f t="shared" si="42"/>
        <v>0</v>
      </c>
      <c r="R116" s="467"/>
      <c r="S116" s="467"/>
      <c r="T116" s="462">
        <f t="shared" si="43"/>
        <v>0</v>
      </c>
      <c r="U116" s="472"/>
      <c r="V116" s="472"/>
      <c r="W116" s="464">
        <f t="shared" si="44"/>
        <v>0</v>
      </c>
      <c r="X116" s="467"/>
      <c r="Y116" s="467"/>
      <c r="Z116" s="462">
        <f t="shared" si="45"/>
        <v>0</v>
      </c>
      <c r="AA116" s="469"/>
      <c r="AB116" s="469"/>
      <c r="AC116" s="464">
        <f t="shared" si="46"/>
        <v>0</v>
      </c>
      <c r="AD116" s="467"/>
      <c r="AE116" s="467"/>
      <c r="AF116" s="462">
        <f t="shared" si="47"/>
        <v>0</v>
      </c>
      <c r="AG116" s="469"/>
      <c r="AH116" s="469"/>
      <c r="AI116" s="464">
        <f t="shared" si="48"/>
        <v>0</v>
      </c>
      <c r="AJ116" s="467">
        <v>360</v>
      </c>
      <c r="AK116" s="467">
        <v>54005</v>
      </c>
      <c r="AL116" s="462">
        <f t="shared" si="49"/>
        <v>19441800</v>
      </c>
      <c r="AM116" s="469">
        <v>408</v>
      </c>
      <c r="AN116" s="469">
        <v>54553</v>
      </c>
      <c r="AO116" s="206">
        <f t="shared" si="50"/>
        <v>22257624</v>
      </c>
      <c r="AP116" s="467"/>
      <c r="AQ116" s="467"/>
      <c r="AR116" s="462">
        <f t="shared" si="51"/>
        <v>0</v>
      </c>
      <c r="AS116" s="469"/>
      <c r="AT116" s="469"/>
      <c r="AU116" s="464">
        <f t="shared" si="52"/>
        <v>0</v>
      </c>
      <c r="AV116" s="467"/>
      <c r="AW116" s="467"/>
      <c r="AX116" s="462">
        <f t="shared" si="53"/>
        <v>0</v>
      </c>
      <c r="AY116" s="469"/>
      <c r="AZ116" s="469"/>
      <c r="BA116" s="464">
        <f t="shared" si="54"/>
        <v>0</v>
      </c>
      <c r="BB116" s="467"/>
      <c r="BC116" s="467"/>
      <c r="BD116" s="462">
        <f t="shared" si="55"/>
        <v>0</v>
      </c>
      <c r="BE116" s="469"/>
      <c r="BF116" s="469"/>
      <c r="BG116" s="464">
        <f t="shared" si="56"/>
        <v>0</v>
      </c>
      <c r="BH116" s="467"/>
      <c r="BI116" s="467"/>
      <c r="BJ116" s="462">
        <f t="shared" si="57"/>
        <v>0</v>
      </c>
      <c r="BK116" s="469"/>
      <c r="BL116" s="469"/>
      <c r="BM116" s="464">
        <f t="shared" si="58"/>
        <v>0</v>
      </c>
      <c r="BN116" s="467"/>
      <c r="BO116" s="467"/>
      <c r="BP116" s="462">
        <f t="shared" si="59"/>
        <v>0</v>
      </c>
      <c r="BQ116" s="469"/>
      <c r="BR116" s="469"/>
      <c r="BS116" s="464">
        <f t="shared" si="60"/>
        <v>0</v>
      </c>
      <c r="BT116" s="467"/>
      <c r="BU116" s="467"/>
      <c r="BV116" s="462">
        <f t="shared" si="61"/>
        <v>0</v>
      </c>
      <c r="BW116" s="469"/>
      <c r="BX116" s="469"/>
      <c r="BY116" s="463">
        <f t="shared" si="62"/>
        <v>0</v>
      </c>
    </row>
    <row r="117" spans="1:77" x14ac:dyDescent="0.2">
      <c r="A117" s="468" t="s">
        <v>114</v>
      </c>
      <c r="B117" s="458" t="s">
        <v>1008</v>
      </c>
      <c r="C117" s="609"/>
      <c r="D117" s="468">
        <v>134343</v>
      </c>
      <c r="E117" s="611">
        <v>9</v>
      </c>
      <c r="F117" s="459"/>
      <c r="G117" s="460"/>
      <c r="H117" s="461">
        <f t="shared" si="39"/>
        <v>0</v>
      </c>
      <c r="I117" s="470"/>
      <c r="J117" s="470"/>
      <c r="K117" s="464">
        <f t="shared" si="40"/>
        <v>0</v>
      </c>
      <c r="L117" s="467"/>
      <c r="M117" s="467"/>
      <c r="N117" s="462">
        <f t="shared" si="41"/>
        <v>0</v>
      </c>
      <c r="O117" s="469"/>
      <c r="P117" s="469"/>
      <c r="Q117" s="464">
        <f t="shared" si="42"/>
        <v>0</v>
      </c>
      <c r="R117" s="467"/>
      <c r="S117" s="467"/>
      <c r="T117" s="462">
        <f t="shared" si="43"/>
        <v>0</v>
      </c>
      <c r="U117" s="472"/>
      <c r="V117" s="472"/>
      <c r="W117" s="464">
        <f t="shared" si="44"/>
        <v>0</v>
      </c>
      <c r="X117" s="467"/>
      <c r="Y117" s="467"/>
      <c r="Z117" s="462">
        <f t="shared" si="45"/>
        <v>0</v>
      </c>
      <c r="AA117" s="469"/>
      <c r="AB117" s="469"/>
      <c r="AC117" s="464">
        <f t="shared" si="46"/>
        <v>0</v>
      </c>
      <c r="AD117" s="467"/>
      <c r="AE117" s="467"/>
      <c r="AF117" s="462">
        <f t="shared" si="47"/>
        <v>0</v>
      </c>
      <c r="AG117" s="469"/>
      <c r="AH117" s="469"/>
      <c r="AI117" s="464">
        <f t="shared" si="48"/>
        <v>0</v>
      </c>
      <c r="AJ117" s="467">
        <v>111</v>
      </c>
      <c r="AK117" s="467">
        <v>48551</v>
      </c>
      <c r="AL117" s="462">
        <f t="shared" si="49"/>
        <v>5389161</v>
      </c>
      <c r="AM117" s="469">
        <v>114</v>
      </c>
      <c r="AN117" s="469">
        <v>49249</v>
      </c>
      <c r="AO117" s="206">
        <f t="shared" si="50"/>
        <v>5614386</v>
      </c>
      <c r="AP117" s="467"/>
      <c r="AQ117" s="467"/>
      <c r="AR117" s="462">
        <f t="shared" si="51"/>
        <v>0</v>
      </c>
      <c r="AS117" s="469"/>
      <c r="AT117" s="469"/>
      <c r="AU117" s="464">
        <f t="shared" si="52"/>
        <v>0</v>
      </c>
      <c r="AV117" s="467"/>
      <c r="AW117" s="467"/>
      <c r="AX117" s="462">
        <f t="shared" si="53"/>
        <v>0</v>
      </c>
      <c r="AY117" s="469"/>
      <c r="AZ117" s="469"/>
      <c r="BA117" s="464">
        <f t="shared" si="54"/>
        <v>0</v>
      </c>
      <c r="BB117" s="467"/>
      <c r="BC117" s="467"/>
      <c r="BD117" s="462">
        <f t="shared" si="55"/>
        <v>0</v>
      </c>
      <c r="BE117" s="469"/>
      <c r="BF117" s="469"/>
      <c r="BG117" s="464">
        <f t="shared" si="56"/>
        <v>0</v>
      </c>
      <c r="BH117" s="467"/>
      <c r="BI117" s="467"/>
      <c r="BJ117" s="462">
        <f t="shared" si="57"/>
        <v>0</v>
      </c>
      <c r="BK117" s="469"/>
      <c r="BL117" s="469"/>
      <c r="BM117" s="464">
        <f t="shared" si="58"/>
        <v>0</v>
      </c>
      <c r="BN117" s="467"/>
      <c r="BO117" s="467"/>
      <c r="BP117" s="462">
        <f t="shared" si="59"/>
        <v>0</v>
      </c>
      <c r="BQ117" s="469"/>
      <c r="BR117" s="469"/>
      <c r="BS117" s="464">
        <f t="shared" si="60"/>
        <v>0</v>
      </c>
      <c r="BT117" s="467"/>
      <c r="BU117" s="467"/>
      <c r="BV117" s="462">
        <f t="shared" si="61"/>
        <v>0</v>
      </c>
      <c r="BW117" s="469"/>
      <c r="BX117" s="469"/>
      <c r="BY117" s="463">
        <f t="shared" si="62"/>
        <v>0</v>
      </c>
    </row>
    <row r="118" spans="1:77" x14ac:dyDescent="0.2">
      <c r="A118" s="465" t="s">
        <v>114</v>
      </c>
      <c r="B118" s="456" t="s">
        <v>1011</v>
      </c>
      <c r="C118" s="607"/>
      <c r="D118" s="468">
        <v>135160</v>
      </c>
      <c r="E118" s="611">
        <v>9</v>
      </c>
      <c r="F118" s="459"/>
      <c r="G118" s="460"/>
      <c r="H118" s="461">
        <f t="shared" si="39"/>
        <v>0</v>
      </c>
      <c r="I118" s="470"/>
      <c r="J118" s="470"/>
      <c r="K118" s="464">
        <f t="shared" si="40"/>
        <v>0</v>
      </c>
      <c r="L118" s="467"/>
      <c r="M118" s="467"/>
      <c r="N118" s="462">
        <f t="shared" si="41"/>
        <v>0</v>
      </c>
      <c r="O118" s="469"/>
      <c r="P118" s="469"/>
      <c r="Q118" s="464">
        <f t="shared" si="42"/>
        <v>0</v>
      </c>
      <c r="R118" s="467"/>
      <c r="S118" s="467"/>
      <c r="T118" s="462">
        <f t="shared" si="43"/>
        <v>0</v>
      </c>
      <c r="U118" s="472"/>
      <c r="V118" s="472"/>
      <c r="W118" s="464">
        <f t="shared" si="44"/>
        <v>0</v>
      </c>
      <c r="X118" s="467"/>
      <c r="Y118" s="467"/>
      <c r="Z118" s="462">
        <f t="shared" si="45"/>
        <v>0</v>
      </c>
      <c r="AA118" s="469"/>
      <c r="AB118" s="469"/>
      <c r="AC118" s="464">
        <f t="shared" si="46"/>
        <v>0</v>
      </c>
      <c r="AD118" s="467"/>
      <c r="AE118" s="467"/>
      <c r="AF118" s="462">
        <f t="shared" si="47"/>
        <v>0</v>
      </c>
      <c r="AG118" s="469"/>
      <c r="AH118" s="469"/>
      <c r="AI118" s="464">
        <f t="shared" si="48"/>
        <v>0</v>
      </c>
      <c r="AJ118" s="467">
        <v>61</v>
      </c>
      <c r="AK118" s="467">
        <v>45105</v>
      </c>
      <c r="AL118" s="462">
        <f t="shared" si="49"/>
        <v>2751405</v>
      </c>
      <c r="AM118" s="469">
        <v>60</v>
      </c>
      <c r="AN118" s="469">
        <v>46530</v>
      </c>
      <c r="AO118" s="206">
        <f t="shared" si="50"/>
        <v>2791800</v>
      </c>
      <c r="AP118" s="467"/>
      <c r="AQ118" s="467"/>
      <c r="AR118" s="462">
        <f t="shared" si="51"/>
        <v>0</v>
      </c>
      <c r="AS118" s="469"/>
      <c r="AT118" s="469"/>
      <c r="AU118" s="464">
        <f t="shared" si="52"/>
        <v>0</v>
      </c>
      <c r="AV118" s="467"/>
      <c r="AW118" s="467"/>
      <c r="AX118" s="462">
        <f t="shared" si="53"/>
        <v>0</v>
      </c>
      <c r="AY118" s="469"/>
      <c r="AZ118" s="469"/>
      <c r="BA118" s="464">
        <f t="shared" si="54"/>
        <v>0</v>
      </c>
      <c r="BB118" s="467"/>
      <c r="BC118" s="467"/>
      <c r="BD118" s="462">
        <f t="shared" si="55"/>
        <v>0</v>
      </c>
      <c r="BE118" s="469"/>
      <c r="BF118" s="469"/>
      <c r="BG118" s="464">
        <f t="shared" si="56"/>
        <v>0</v>
      </c>
      <c r="BH118" s="467"/>
      <c r="BI118" s="467"/>
      <c r="BJ118" s="462">
        <f t="shared" si="57"/>
        <v>0</v>
      </c>
      <c r="BK118" s="469"/>
      <c r="BL118" s="469"/>
      <c r="BM118" s="464">
        <f t="shared" si="58"/>
        <v>0</v>
      </c>
      <c r="BN118" s="467"/>
      <c r="BO118" s="467"/>
      <c r="BP118" s="462">
        <f t="shared" si="59"/>
        <v>0</v>
      </c>
      <c r="BQ118" s="469"/>
      <c r="BR118" s="469"/>
      <c r="BS118" s="464">
        <f t="shared" si="60"/>
        <v>0</v>
      </c>
      <c r="BT118" s="467"/>
      <c r="BU118" s="467"/>
      <c r="BV118" s="462">
        <f t="shared" si="61"/>
        <v>0</v>
      </c>
      <c r="BW118" s="469"/>
      <c r="BX118" s="469"/>
      <c r="BY118" s="463">
        <f t="shared" si="62"/>
        <v>0</v>
      </c>
    </row>
    <row r="119" spans="1:77" x14ac:dyDescent="0.2">
      <c r="A119" s="465" t="s">
        <v>114</v>
      </c>
      <c r="B119" s="456" t="s">
        <v>1012</v>
      </c>
      <c r="C119" s="607"/>
      <c r="D119" s="468">
        <v>135188</v>
      </c>
      <c r="E119" s="611">
        <v>9</v>
      </c>
      <c r="F119" s="459"/>
      <c r="G119" s="460"/>
      <c r="H119" s="461">
        <f t="shared" si="39"/>
        <v>0</v>
      </c>
      <c r="I119" s="470"/>
      <c r="J119" s="470"/>
      <c r="K119" s="464">
        <f t="shared" si="40"/>
        <v>0</v>
      </c>
      <c r="L119" s="467"/>
      <c r="M119" s="467"/>
      <c r="N119" s="462">
        <f t="shared" si="41"/>
        <v>0</v>
      </c>
      <c r="O119" s="469"/>
      <c r="P119" s="469"/>
      <c r="Q119" s="464">
        <f t="shared" si="42"/>
        <v>0</v>
      </c>
      <c r="R119" s="467"/>
      <c r="S119" s="467"/>
      <c r="T119" s="462">
        <f t="shared" si="43"/>
        <v>0</v>
      </c>
      <c r="U119" s="472"/>
      <c r="V119" s="472"/>
      <c r="W119" s="464">
        <f t="shared" si="44"/>
        <v>0</v>
      </c>
      <c r="X119" s="467"/>
      <c r="Y119" s="467"/>
      <c r="Z119" s="462">
        <f t="shared" si="45"/>
        <v>0</v>
      </c>
      <c r="AA119" s="469"/>
      <c r="AB119" s="469"/>
      <c r="AC119" s="464">
        <f t="shared" si="46"/>
        <v>0</v>
      </c>
      <c r="AD119" s="467"/>
      <c r="AE119" s="467"/>
      <c r="AF119" s="462">
        <f t="shared" si="47"/>
        <v>0</v>
      </c>
      <c r="AG119" s="469"/>
      <c r="AH119" s="469"/>
      <c r="AI119" s="464">
        <f t="shared" si="48"/>
        <v>0</v>
      </c>
      <c r="AJ119" s="467">
        <v>84</v>
      </c>
      <c r="AK119" s="467">
        <v>43669</v>
      </c>
      <c r="AL119" s="462">
        <f t="shared" si="49"/>
        <v>3668196</v>
      </c>
      <c r="AM119" s="469">
        <v>79</v>
      </c>
      <c r="AN119" s="469">
        <v>45192</v>
      </c>
      <c r="AO119" s="206">
        <f t="shared" si="50"/>
        <v>3570168</v>
      </c>
      <c r="AP119" s="467"/>
      <c r="AQ119" s="467"/>
      <c r="AR119" s="462">
        <f t="shared" si="51"/>
        <v>0</v>
      </c>
      <c r="AS119" s="469"/>
      <c r="AT119" s="469"/>
      <c r="AU119" s="464">
        <f t="shared" si="52"/>
        <v>0</v>
      </c>
      <c r="AV119" s="467"/>
      <c r="AW119" s="467"/>
      <c r="AX119" s="462">
        <f t="shared" si="53"/>
        <v>0</v>
      </c>
      <c r="AY119" s="469"/>
      <c r="AZ119" s="469"/>
      <c r="BA119" s="464">
        <f t="shared" si="54"/>
        <v>0</v>
      </c>
      <c r="BB119" s="467"/>
      <c r="BC119" s="467"/>
      <c r="BD119" s="462">
        <f t="shared" si="55"/>
        <v>0</v>
      </c>
      <c r="BE119" s="469"/>
      <c r="BF119" s="469"/>
      <c r="BG119" s="464">
        <f t="shared" si="56"/>
        <v>0</v>
      </c>
      <c r="BH119" s="467"/>
      <c r="BI119" s="467"/>
      <c r="BJ119" s="462">
        <f t="shared" si="57"/>
        <v>0</v>
      </c>
      <c r="BK119" s="469"/>
      <c r="BL119" s="469"/>
      <c r="BM119" s="464">
        <f t="shared" si="58"/>
        <v>0</v>
      </c>
      <c r="BN119" s="467"/>
      <c r="BO119" s="467"/>
      <c r="BP119" s="462">
        <f t="shared" si="59"/>
        <v>0</v>
      </c>
      <c r="BQ119" s="469"/>
      <c r="BR119" s="469"/>
      <c r="BS119" s="464">
        <f t="shared" si="60"/>
        <v>0</v>
      </c>
      <c r="BT119" s="467"/>
      <c r="BU119" s="467"/>
      <c r="BV119" s="462">
        <f t="shared" si="61"/>
        <v>0</v>
      </c>
      <c r="BW119" s="469"/>
      <c r="BX119" s="469"/>
      <c r="BY119" s="463">
        <f t="shared" si="62"/>
        <v>0</v>
      </c>
    </row>
    <row r="120" spans="1:77" x14ac:dyDescent="0.2">
      <c r="A120" s="468" t="s">
        <v>114</v>
      </c>
      <c r="B120" s="466" t="s">
        <v>1025</v>
      </c>
      <c r="C120" s="607"/>
      <c r="D120" s="465">
        <v>137315</v>
      </c>
      <c r="E120" s="611">
        <v>9</v>
      </c>
      <c r="F120" s="459"/>
      <c r="G120" s="460"/>
      <c r="H120" s="461">
        <f t="shared" si="39"/>
        <v>0</v>
      </c>
      <c r="I120" s="470"/>
      <c r="J120" s="470"/>
      <c r="K120" s="464">
        <f t="shared" si="40"/>
        <v>0</v>
      </c>
      <c r="L120" s="467"/>
      <c r="M120" s="467"/>
      <c r="N120" s="462">
        <f t="shared" si="41"/>
        <v>0</v>
      </c>
      <c r="O120" s="469"/>
      <c r="P120" s="469"/>
      <c r="Q120" s="464">
        <f t="shared" si="42"/>
        <v>0</v>
      </c>
      <c r="R120" s="467"/>
      <c r="S120" s="467"/>
      <c r="T120" s="462">
        <f t="shared" si="43"/>
        <v>0</v>
      </c>
      <c r="U120" s="472"/>
      <c r="V120" s="472"/>
      <c r="W120" s="464">
        <f t="shared" si="44"/>
        <v>0</v>
      </c>
      <c r="X120" s="467"/>
      <c r="Y120" s="467"/>
      <c r="Z120" s="462">
        <f t="shared" si="45"/>
        <v>0</v>
      </c>
      <c r="AA120" s="469"/>
      <c r="AB120" s="469"/>
      <c r="AC120" s="464">
        <f t="shared" si="46"/>
        <v>0</v>
      </c>
      <c r="AD120" s="467"/>
      <c r="AE120" s="467"/>
      <c r="AF120" s="462">
        <f t="shared" si="47"/>
        <v>0</v>
      </c>
      <c r="AG120" s="469"/>
      <c r="AH120" s="469"/>
      <c r="AI120" s="464">
        <f t="shared" si="48"/>
        <v>0</v>
      </c>
      <c r="AJ120" s="467">
        <v>64</v>
      </c>
      <c r="AK120" s="467">
        <v>47419</v>
      </c>
      <c r="AL120" s="462">
        <f t="shared" si="49"/>
        <v>3034816</v>
      </c>
      <c r="AM120" s="469">
        <v>62</v>
      </c>
      <c r="AN120" s="469">
        <v>48656</v>
      </c>
      <c r="AO120" s="206">
        <f t="shared" si="50"/>
        <v>3016672</v>
      </c>
      <c r="AP120" s="467"/>
      <c r="AQ120" s="467"/>
      <c r="AR120" s="462">
        <f t="shared" si="51"/>
        <v>0</v>
      </c>
      <c r="AS120" s="469"/>
      <c r="AT120" s="469"/>
      <c r="AU120" s="464">
        <f t="shared" si="52"/>
        <v>0</v>
      </c>
      <c r="AV120" s="467"/>
      <c r="AW120" s="467"/>
      <c r="AX120" s="462">
        <f t="shared" si="53"/>
        <v>0</v>
      </c>
      <c r="AY120" s="469"/>
      <c r="AZ120" s="469"/>
      <c r="BA120" s="464">
        <f t="shared" si="54"/>
        <v>0</v>
      </c>
      <c r="BB120" s="467"/>
      <c r="BC120" s="467"/>
      <c r="BD120" s="462">
        <f t="shared" si="55"/>
        <v>0</v>
      </c>
      <c r="BE120" s="469"/>
      <c r="BF120" s="469"/>
      <c r="BG120" s="464">
        <f t="shared" si="56"/>
        <v>0</v>
      </c>
      <c r="BH120" s="467"/>
      <c r="BI120" s="467"/>
      <c r="BJ120" s="462">
        <f t="shared" si="57"/>
        <v>0</v>
      </c>
      <c r="BK120" s="469"/>
      <c r="BL120" s="469"/>
      <c r="BM120" s="464">
        <f t="shared" si="58"/>
        <v>0</v>
      </c>
      <c r="BN120" s="467"/>
      <c r="BO120" s="467"/>
      <c r="BP120" s="462">
        <f t="shared" si="59"/>
        <v>0</v>
      </c>
      <c r="BQ120" s="469"/>
      <c r="BR120" s="469"/>
      <c r="BS120" s="464">
        <f t="shared" si="60"/>
        <v>0</v>
      </c>
      <c r="BT120" s="467"/>
      <c r="BU120" s="467"/>
      <c r="BV120" s="462">
        <f t="shared" si="61"/>
        <v>0</v>
      </c>
      <c r="BW120" s="469"/>
      <c r="BX120" s="469"/>
      <c r="BY120" s="463">
        <f t="shared" si="62"/>
        <v>0</v>
      </c>
    </row>
    <row r="121" spans="1:77" x14ac:dyDescent="0.2">
      <c r="A121" s="468" t="s">
        <v>114</v>
      </c>
      <c r="B121" s="456" t="s">
        <v>1021</v>
      </c>
      <c r="C121" s="608" t="s">
        <v>1075</v>
      </c>
      <c r="D121" s="465">
        <v>137281</v>
      </c>
      <c r="E121" s="611">
        <v>9</v>
      </c>
      <c r="F121" s="459"/>
      <c r="G121" s="460"/>
      <c r="H121" s="461">
        <f t="shared" si="39"/>
        <v>0</v>
      </c>
      <c r="I121" s="470"/>
      <c r="J121" s="470"/>
      <c r="K121" s="464">
        <f t="shared" si="40"/>
        <v>0</v>
      </c>
      <c r="L121" s="467"/>
      <c r="M121" s="467"/>
      <c r="N121" s="462">
        <f t="shared" si="41"/>
        <v>0</v>
      </c>
      <c r="O121" s="469"/>
      <c r="P121" s="469"/>
      <c r="Q121" s="464">
        <f t="shared" si="42"/>
        <v>0</v>
      </c>
      <c r="R121" s="467"/>
      <c r="S121" s="467"/>
      <c r="T121" s="462">
        <f t="shared" si="43"/>
        <v>0</v>
      </c>
      <c r="U121" s="472"/>
      <c r="V121" s="472"/>
      <c r="W121" s="464">
        <f t="shared" si="44"/>
        <v>0</v>
      </c>
      <c r="X121" s="467"/>
      <c r="Y121" s="467"/>
      <c r="Z121" s="462">
        <f t="shared" si="45"/>
        <v>0</v>
      </c>
      <c r="AA121" s="469"/>
      <c r="AB121" s="469"/>
      <c r="AC121" s="464">
        <f t="shared" si="46"/>
        <v>0</v>
      </c>
      <c r="AD121" s="467"/>
      <c r="AE121" s="467"/>
      <c r="AF121" s="462">
        <f t="shared" si="47"/>
        <v>0</v>
      </c>
      <c r="AG121" s="469"/>
      <c r="AH121" s="469"/>
      <c r="AI121" s="464">
        <f t="shared" si="48"/>
        <v>0</v>
      </c>
      <c r="AJ121" s="467">
        <v>113</v>
      </c>
      <c r="AK121" s="467">
        <v>45526</v>
      </c>
      <c r="AL121" s="462">
        <f t="shared" si="49"/>
        <v>5144438</v>
      </c>
      <c r="AM121" s="469">
        <v>126</v>
      </c>
      <c r="AN121" s="469">
        <v>47523</v>
      </c>
      <c r="AO121" s="206">
        <f t="shared" si="50"/>
        <v>5987898</v>
      </c>
      <c r="AP121" s="467"/>
      <c r="AQ121" s="467"/>
      <c r="AR121" s="462">
        <f t="shared" si="51"/>
        <v>0</v>
      </c>
      <c r="AS121" s="469"/>
      <c r="AT121" s="469"/>
      <c r="AU121" s="464">
        <f t="shared" si="52"/>
        <v>0</v>
      </c>
      <c r="AV121" s="467"/>
      <c r="AW121" s="467"/>
      <c r="AX121" s="462">
        <f t="shared" si="53"/>
        <v>0</v>
      </c>
      <c r="AY121" s="469"/>
      <c r="AZ121" s="469"/>
      <c r="BA121" s="464">
        <f t="shared" si="54"/>
        <v>0</v>
      </c>
      <c r="BB121" s="467"/>
      <c r="BC121" s="467"/>
      <c r="BD121" s="462">
        <f t="shared" si="55"/>
        <v>0</v>
      </c>
      <c r="BE121" s="469"/>
      <c r="BF121" s="469"/>
      <c r="BG121" s="464">
        <f t="shared" si="56"/>
        <v>0</v>
      </c>
      <c r="BH121" s="467"/>
      <c r="BI121" s="467"/>
      <c r="BJ121" s="462">
        <f t="shared" si="57"/>
        <v>0</v>
      </c>
      <c r="BK121" s="469"/>
      <c r="BL121" s="469"/>
      <c r="BM121" s="464">
        <f t="shared" si="58"/>
        <v>0</v>
      </c>
      <c r="BN121" s="467"/>
      <c r="BO121" s="467"/>
      <c r="BP121" s="462">
        <f t="shared" si="59"/>
        <v>0</v>
      </c>
      <c r="BQ121" s="469"/>
      <c r="BR121" s="469"/>
      <c r="BS121" s="464">
        <f t="shared" si="60"/>
        <v>0</v>
      </c>
      <c r="BT121" s="467"/>
      <c r="BU121" s="467"/>
      <c r="BV121" s="462">
        <f t="shared" si="61"/>
        <v>0</v>
      </c>
      <c r="BW121" s="469"/>
      <c r="BX121" s="469"/>
      <c r="BY121" s="463">
        <f t="shared" si="62"/>
        <v>0</v>
      </c>
    </row>
    <row r="122" spans="1:77" x14ac:dyDescent="0.2">
      <c r="A122" s="468" t="s">
        <v>114</v>
      </c>
      <c r="B122" s="466" t="s">
        <v>1007</v>
      </c>
      <c r="C122" s="607"/>
      <c r="D122" s="465">
        <v>133960</v>
      </c>
      <c r="E122" s="611">
        <v>10</v>
      </c>
      <c r="F122" s="459"/>
      <c r="G122" s="460"/>
      <c r="H122" s="461">
        <f t="shared" si="39"/>
        <v>0</v>
      </c>
      <c r="I122" s="470"/>
      <c r="J122" s="470"/>
      <c r="K122" s="464">
        <f t="shared" si="40"/>
        <v>0</v>
      </c>
      <c r="L122" s="467"/>
      <c r="M122" s="467"/>
      <c r="N122" s="462">
        <f t="shared" si="41"/>
        <v>0</v>
      </c>
      <c r="O122" s="469"/>
      <c r="P122" s="469"/>
      <c r="Q122" s="464">
        <f t="shared" si="42"/>
        <v>0</v>
      </c>
      <c r="R122" s="467"/>
      <c r="S122" s="467"/>
      <c r="T122" s="462">
        <f t="shared" si="43"/>
        <v>0</v>
      </c>
      <c r="U122" s="472"/>
      <c r="V122" s="472"/>
      <c r="W122" s="464">
        <f t="shared" si="44"/>
        <v>0</v>
      </c>
      <c r="X122" s="467"/>
      <c r="Y122" s="467"/>
      <c r="Z122" s="462">
        <f t="shared" si="45"/>
        <v>0</v>
      </c>
      <c r="AA122" s="469"/>
      <c r="AB122" s="469"/>
      <c r="AC122" s="464">
        <f t="shared" si="46"/>
        <v>0</v>
      </c>
      <c r="AD122" s="467"/>
      <c r="AE122" s="467"/>
      <c r="AF122" s="462">
        <f t="shared" si="47"/>
        <v>0</v>
      </c>
      <c r="AG122" s="469"/>
      <c r="AH122" s="469"/>
      <c r="AI122" s="464">
        <f t="shared" si="48"/>
        <v>0</v>
      </c>
      <c r="AJ122" s="467">
        <v>28</v>
      </c>
      <c r="AK122" s="467">
        <v>57592</v>
      </c>
      <c r="AL122" s="462">
        <f t="shared" si="49"/>
        <v>1612576</v>
      </c>
      <c r="AM122" s="469">
        <v>28</v>
      </c>
      <c r="AN122" s="469">
        <v>55343</v>
      </c>
      <c r="AO122" s="206">
        <f t="shared" si="50"/>
        <v>1549604</v>
      </c>
      <c r="AP122" s="467"/>
      <c r="AQ122" s="467"/>
      <c r="AR122" s="462">
        <f t="shared" si="51"/>
        <v>0</v>
      </c>
      <c r="AS122" s="469"/>
      <c r="AT122" s="469"/>
      <c r="AU122" s="464">
        <f t="shared" si="52"/>
        <v>0</v>
      </c>
      <c r="AV122" s="467"/>
      <c r="AW122" s="467"/>
      <c r="AX122" s="462">
        <f t="shared" si="53"/>
        <v>0</v>
      </c>
      <c r="AY122" s="469"/>
      <c r="AZ122" s="469"/>
      <c r="BA122" s="464">
        <f t="shared" si="54"/>
        <v>0</v>
      </c>
      <c r="BB122" s="467"/>
      <c r="BC122" s="467"/>
      <c r="BD122" s="462">
        <f t="shared" si="55"/>
        <v>0</v>
      </c>
      <c r="BE122" s="469"/>
      <c r="BF122" s="469"/>
      <c r="BG122" s="464">
        <f t="shared" si="56"/>
        <v>0</v>
      </c>
      <c r="BH122" s="467"/>
      <c r="BI122" s="467"/>
      <c r="BJ122" s="462">
        <f t="shared" si="57"/>
        <v>0</v>
      </c>
      <c r="BK122" s="469"/>
      <c r="BL122" s="469"/>
      <c r="BM122" s="464">
        <f t="shared" si="58"/>
        <v>0</v>
      </c>
      <c r="BN122" s="467"/>
      <c r="BO122" s="467"/>
      <c r="BP122" s="462">
        <f t="shared" si="59"/>
        <v>0</v>
      </c>
      <c r="BQ122" s="469"/>
      <c r="BR122" s="469"/>
      <c r="BS122" s="464">
        <f t="shared" si="60"/>
        <v>0</v>
      </c>
      <c r="BT122" s="467"/>
      <c r="BU122" s="467"/>
      <c r="BV122" s="462">
        <f t="shared" si="61"/>
        <v>0</v>
      </c>
      <c r="BW122" s="469"/>
      <c r="BX122" s="469"/>
      <c r="BY122" s="463">
        <f t="shared" si="62"/>
        <v>0</v>
      </c>
    </row>
    <row r="123" spans="1:77" x14ac:dyDescent="0.2">
      <c r="A123" s="465" t="s">
        <v>114</v>
      </c>
      <c r="B123" s="466" t="s">
        <v>1015</v>
      </c>
      <c r="C123" s="607"/>
      <c r="D123" s="465">
        <v>136145</v>
      </c>
      <c r="E123" s="611">
        <v>10</v>
      </c>
      <c r="F123" s="459"/>
      <c r="G123" s="460"/>
      <c r="H123" s="461">
        <f t="shared" si="39"/>
        <v>0</v>
      </c>
      <c r="I123" s="470"/>
      <c r="J123" s="470"/>
      <c r="K123" s="464">
        <f t="shared" si="40"/>
        <v>0</v>
      </c>
      <c r="L123" s="467"/>
      <c r="M123" s="467"/>
      <c r="N123" s="462">
        <f t="shared" si="41"/>
        <v>0</v>
      </c>
      <c r="O123" s="469"/>
      <c r="P123" s="469"/>
      <c r="Q123" s="464">
        <f t="shared" si="42"/>
        <v>0</v>
      </c>
      <c r="R123" s="467"/>
      <c r="S123" s="467"/>
      <c r="T123" s="462">
        <f t="shared" si="43"/>
        <v>0</v>
      </c>
      <c r="U123" s="472"/>
      <c r="V123" s="472"/>
      <c r="W123" s="464">
        <f t="shared" si="44"/>
        <v>0</v>
      </c>
      <c r="X123" s="467"/>
      <c r="Y123" s="467"/>
      <c r="Z123" s="462">
        <f t="shared" si="45"/>
        <v>0</v>
      </c>
      <c r="AA123" s="469"/>
      <c r="AB123" s="469"/>
      <c r="AC123" s="464">
        <f t="shared" si="46"/>
        <v>0</v>
      </c>
      <c r="AD123" s="467"/>
      <c r="AE123" s="467"/>
      <c r="AF123" s="462">
        <f t="shared" si="47"/>
        <v>0</v>
      </c>
      <c r="AG123" s="469"/>
      <c r="AH123" s="469"/>
      <c r="AI123" s="464">
        <f t="shared" si="48"/>
        <v>0</v>
      </c>
      <c r="AJ123" s="467">
        <v>29</v>
      </c>
      <c r="AK123" s="467">
        <v>42870</v>
      </c>
      <c r="AL123" s="462">
        <f t="shared" si="49"/>
        <v>1243230</v>
      </c>
      <c r="AM123" s="469">
        <v>29</v>
      </c>
      <c r="AN123" s="469">
        <v>42764</v>
      </c>
      <c r="AO123" s="206">
        <f t="shared" si="50"/>
        <v>1240156</v>
      </c>
      <c r="AP123" s="467"/>
      <c r="AQ123" s="467"/>
      <c r="AR123" s="462">
        <f t="shared" si="51"/>
        <v>0</v>
      </c>
      <c r="AS123" s="469"/>
      <c r="AT123" s="469"/>
      <c r="AU123" s="464">
        <f t="shared" si="52"/>
        <v>0</v>
      </c>
      <c r="AV123" s="467"/>
      <c r="AW123" s="467"/>
      <c r="AX123" s="462">
        <f t="shared" si="53"/>
        <v>0</v>
      </c>
      <c r="AY123" s="469"/>
      <c r="AZ123" s="469"/>
      <c r="BA123" s="464">
        <f t="shared" si="54"/>
        <v>0</v>
      </c>
      <c r="BB123" s="467"/>
      <c r="BC123" s="467"/>
      <c r="BD123" s="462">
        <f t="shared" si="55"/>
        <v>0</v>
      </c>
      <c r="BE123" s="469"/>
      <c r="BF123" s="469"/>
      <c r="BG123" s="464">
        <f t="shared" si="56"/>
        <v>0</v>
      </c>
      <c r="BH123" s="467"/>
      <c r="BI123" s="467"/>
      <c r="BJ123" s="462">
        <f t="shared" si="57"/>
        <v>0</v>
      </c>
      <c r="BK123" s="469"/>
      <c r="BL123" s="469"/>
      <c r="BM123" s="464">
        <f t="shared" si="58"/>
        <v>0</v>
      </c>
      <c r="BN123" s="467"/>
      <c r="BO123" s="467"/>
      <c r="BP123" s="462">
        <f t="shared" si="59"/>
        <v>0</v>
      </c>
      <c r="BQ123" s="469"/>
      <c r="BR123" s="469"/>
      <c r="BS123" s="464">
        <f t="shared" si="60"/>
        <v>0</v>
      </c>
      <c r="BT123" s="467"/>
      <c r="BU123" s="467"/>
      <c r="BV123" s="462">
        <f t="shared" si="61"/>
        <v>0</v>
      </c>
      <c r="BW123" s="469"/>
      <c r="BX123" s="469"/>
      <c r="BY123" s="463">
        <f t="shared" si="62"/>
        <v>0</v>
      </c>
    </row>
    <row r="124" spans="1:77" x14ac:dyDescent="0.2">
      <c r="A124" s="273" t="s">
        <v>112</v>
      </c>
      <c r="B124" s="274" t="s">
        <v>393</v>
      </c>
      <c r="C124" s="275"/>
      <c r="D124" s="273">
        <v>139940</v>
      </c>
      <c r="E124" s="276">
        <v>1</v>
      </c>
      <c r="F124" s="234">
        <v>197</v>
      </c>
      <c r="G124" s="208">
        <v>119788.21</v>
      </c>
      <c r="H124" s="461">
        <f t="shared" si="39"/>
        <v>23598277.370000001</v>
      </c>
      <c r="I124" s="194">
        <v>207</v>
      </c>
      <c r="J124" s="194">
        <v>120380</v>
      </c>
      <c r="K124" s="464">
        <f t="shared" si="40"/>
        <v>24918660</v>
      </c>
      <c r="L124" s="467">
        <v>299</v>
      </c>
      <c r="M124" s="203">
        <v>78252.649999999994</v>
      </c>
      <c r="N124" s="462">
        <f t="shared" si="41"/>
        <v>23397542.349999998</v>
      </c>
      <c r="O124" s="192">
        <v>321</v>
      </c>
      <c r="P124" s="192">
        <v>77998</v>
      </c>
      <c r="Q124" s="464">
        <f t="shared" si="42"/>
        <v>25037358</v>
      </c>
      <c r="R124" s="467">
        <v>349</v>
      </c>
      <c r="S124" s="203">
        <v>67459.56</v>
      </c>
      <c r="T124" s="462">
        <f t="shared" si="43"/>
        <v>23543386.439999998</v>
      </c>
      <c r="U124" s="191">
        <v>329</v>
      </c>
      <c r="V124" s="191">
        <v>69506</v>
      </c>
      <c r="W124" s="464">
        <f t="shared" si="44"/>
        <v>22867474</v>
      </c>
      <c r="X124" s="467">
        <v>55</v>
      </c>
      <c r="Y124" s="203">
        <v>53801.1</v>
      </c>
      <c r="Z124" s="462">
        <f t="shared" si="45"/>
        <v>2959060.5</v>
      </c>
      <c r="AA124" s="192">
        <v>50</v>
      </c>
      <c r="AB124" s="192">
        <v>53182</v>
      </c>
      <c r="AC124" s="464">
        <f t="shared" si="46"/>
        <v>2659100</v>
      </c>
      <c r="AD124" s="467">
        <v>149</v>
      </c>
      <c r="AE124" s="203">
        <v>44747.08</v>
      </c>
      <c r="AF124" s="462">
        <f t="shared" si="47"/>
        <v>6667314.9199999999</v>
      </c>
      <c r="AG124" s="192">
        <v>159</v>
      </c>
      <c r="AH124" s="192">
        <v>44918</v>
      </c>
      <c r="AI124" s="464">
        <f t="shared" si="48"/>
        <v>7141962</v>
      </c>
      <c r="AJ124" s="467"/>
      <c r="AK124" s="203"/>
      <c r="AL124" s="462">
        <f t="shared" si="49"/>
        <v>0</v>
      </c>
      <c r="AM124" s="192"/>
      <c r="AN124" s="192"/>
      <c r="AO124" s="206">
        <f t="shared" si="50"/>
        <v>0</v>
      </c>
      <c r="AP124" s="203">
        <v>6</v>
      </c>
      <c r="AQ124" s="203">
        <v>139895</v>
      </c>
      <c r="AR124" s="462">
        <f t="shared" si="51"/>
        <v>686772.53399999999</v>
      </c>
      <c r="AS124" s="192">
        <v>7</v>
      </c>
      <c r="AT124" s="192">
        <v>136455</v>
      </c>
      <c r="AU124" s="464">
        <f t="shared" si="52"/>
        <v>781532.36700000009</v>
      </c>
      <c r="AV124" s="467"/>
      <c r="AW124" s="203"/>
      <c r="AX124" s="462">
        <f t="shared" si="53"/>
        <v>0</v>
      </c>
      <c r="AY124" s="192">
        <v>5</v>
      </c>
      <c r="AZ124" s="192">
        <v>98775</v>
      </c>
      <c r="BA124" s="464">
        <f t="shared" si="54"/>
        <v>404088.52500000002</v>
      </c>
      <c r="BB124" s="467"/>
      <c r="BC124" s="203"/>
      <c r="BD124" s="462">
        <f t="shared" si="55"/>
        <v>0</v>
      </c>
      <c r="BE124" s="192">
        <v>2</v>
      </c>
      <c r="BF124" s="192">
        <v>85150</v>
      </c>
      <c r="BG124" s="464">
        <f t="shared" si="56"/>
        <v>139339.46000000002</v>
      </c>
      <c r="BH124" s="467"/>
      <c r="BI124" s="203"/>
      <c r="BJ124" s="462">
        <f t="shared" si="57"/>
        <v>0</v>
      </c>
      <c r="BK124" s="192">
        <v>4</v>
      </c>
      <c r="BL124" s="192">
        <v>70931</v>
      </c>
      <c r="BM124" s="464">
        <f t="shared" si="58"/>
        <v>232142.9768</v>
      </c>
      <c r="BN124" s="467">
        <v>4</v>
      </c>
      <c r="BO124" s="203">
        <v>66964</v>
      </c>
      <c r="BP124" s="462">
        <f t="shared" si="59"/>
        <v>219159.77920000002</v>
      </c>
      <c r="BQ124" s="192">
        <v>4</v>
      </c>
      <c r="BR124" s="192">
        <v>66964</v>
      </c>
      <c r="BS124" s="464">
        <f t="shared" si="60"/>
        <v>219159.77920000002</v>
      </c>
      <c r="BT124" s="467"/>
      <c r="BU124" s="203"/>
      <c r="BV124" s="462">
        <f t="shared" si="61"/>
        <v>0</v>
      </c>
      <c r="BW124" s="192"/>
      <c r="BX124" s="192"/>
      <c r="BY124" s="463">
        <f t="shared" si="62"/>
        <v>0</v>
      </c>
    </row>
    <row r="125" spans="1:77" x14ac:dyDescent="0.2">
      <c r="A125" s="273" t="s">
        <v>112</v>
      </c>
      <c r="B125" s="274" t="s">
        <v>394</v>
      </c>
      <c r="C125" s="275"/>
      <c r="D125" s="273">
        <v>139959</v>
      </c>
      <c r="E125" s="276">
        <v>1</v>
      </c>
      <c r="F125" s="234">
        <v>459</v>
      </c>
      <c r="G125" s="208">
        <v>110339.2</v>
      </c>
      <c r="H125" s="461">
        <f t="shared" si="39"/>
        <v>50645692.799999997</v>
      </c>
      <c r="I125" s="194">
        <v>480</v>
      </c>
      <c r="J125" s="194">
        <v>111668</v>
      </c>
      <c r="K125" s="464">
        <f t="shared" si="40"/>
        <v>53600640</v>
      </c>
      <c r="L125" s="467">
        <v>367</v>
      </c>
      <c r="M125" s="203">
        <v>78575.05</v>
      </c>
      <c r="N125" s="462">
        <f t="shared" si="41"/>
        <v>28837043.350000001</v>
      </c>
      <c r="O125" s="192">
        <v>383</v>
      </c>
      <c r="P125" s="192">
        <v>79768</v>
      </c>
      <c r="Q125" s="464">
        <f t="shared" si="42"/>
        <v>30551144</v>
      </c>
      <c r="R125" s="467">
        <v>321</v>
      </c>
      <c r="S125" s="203">
        <v>76061.37</v>
      </c>
      <c r="T125" s="462">
        <f t="shared" si="43"/>
        <v>24415699.77</v>
      </c>
      <c r="U125" s="191">
        <v>320</v>
      </c>
      <c r="V125" s="191">
        <v>76740</v>
      </c>
      <c r="W125" s="464">
        <f t="shared" si="44"/>
        <v>24556800</v>
      </c>
      <c r="X125" s="467">
        <v>41</v>
      </c>
      <c r="Y125" s="203">
        <v>50128.61</v>
      </c>
      <c r="Z125" s="462">
        <f t="shared" si="45"/>
        <v>2055273.01</v>
      </c>
      <c r="AA125" s="192">
        <v>41</v>
      </c>
      <c r="AB125" s="192">
        <v>52372</v>
      </c>
      <c r="AC125" s="464">
        <f t="shared" si="46"/>
        <v>2147252</v>
      </c>
      <c r="AD125" s="467">
        <v>100</v>
      </c>
      <c r="AE125" s="203">
        <v>60755.16</v>
      </c>
      <c r="AF125" s="462">
        <f t="shared" si="47"/>
        <v>6075516</v>
      </c>
      <c r="AG125" s="192">
        <v>128</v>
      </c>
      <c r="AH125" s="192">
        <v>59468</v>
      </c>
      <c r="AI125" s="464">
        <f t="shared" si="48"/>
        <v>7611904</v>
      </c>
      <c r="AJ125" s="467"/>
      <c r="AK125" s="203"/>
      <c r="AL125" s="462">
        <f t="shared" si="49"/>
        <v>0</v>
      </c>
      <c r="AM125" s="192"/>
      <c r="AN125" s="192"/>
      <c r="AO125" s="206">
        <f t="shared" si="50"/>
        <v>0</v>
      </c>
      <c r="AP125" s="203">
        <v>225</v>
      </c>
      <c r="AQ125" s="203">
        <v>122650</v>
      </c>
      <c r="AR125" s="462">
        <f t="shared" si="51"/>
        <v>22579251.75</v>
      </c>
      <c r="AS125" s="192">
        <v>219</v>
      </c>
      <c r="AT125" s="192">
        <v>121419</v>
      </c>
      <c r="AU125" s="464">
        <f t="shared" si="52"/>
        <v>21756560.650200002</v>
      </c>
      <c r="AV125" s="467">
        <v>122</v>
      </c>
      <c r="AW125" s="203">
        <v>93869.9</v>
      </c>
      <c r="AX125" s="462">
        <f t="shared" si="53"/>
        <v>9370130.9659599997</v>
      </c>
      <c r="AY125" s="192">
        <v>127</v>
      </c>
      <c r="AZ125" s="192">
        <v>94475</v>
      </c>
      <c r="BA125" s="464">
        <f t="shared" si="54"/>
        <v>9817029.5150000006</v>
      </c>
      <c r="BB125" s="467">
        <v>97</v>
      </c>
      <c r="BC125" s="203">
        <v>83934.3</v>
      </c>
      <c r="BD125" s="462">
        <f t="shared" si="55"/>
        <v>6661479.2932200003</v>
      </c>
      <c r="BE125" s="192">
        <v>81</v>
      </c>
      <c r="BF125" s="192">
        <v>85255</v>
      </c>
      <c r="BG125" s="464">
        <f t="shared" si="56"/>
        <v>5650206.9210000001</v>
      </c>
      <c r="BH125" s="467">
        <v>10</v>
      </c>
      <c r="BI125" s="203">
        <v>61947.4</v>
      </c>
      <c r="BJ125" s="462">
        <f t="shared" si="57"/>
        <v>506853.62680000003</v>
      </c>
      <c r="BK125" s="192">
        <v>10</v>
      </c>
      <c r="BL125" s="192">
        <v>65090</v>
      </c>
      <c r="BM125" s="464">
        <f t="shared" si="58"/>
        <v>532566.38</v>
      </c>
      <c r="BN125" s="467">
        <v>7</v>
      </c>
      <c r="BO125" s="203">
        <v>66366.600000000006</v>
      </c>
      <c r="BP125" s="462">
        <f t="shared" si="59"/>
        <v>380108.06484000006</v>
      </c>
      <c r="BQ125" s="192">
        <v>7</v>
      </c>
      <c r="BR125" s="192">
        <v>74864</v>
      </c>
      <c r="BS125" s="464">
        <f t="shared" si="60"/>
        <v>428776.0736</v>
      </c>
      <c r="BT125" s="467"/>
      <c r="BU125" s="203"/>
      <c r="BV125" s="462">
        <f t="shared" si="61"/>
        <v>0</v>
      </c>
      <c r="BW125" s="192"/>
      <c r="BX125" s="192"/>
      <c r="BY125" s="463">
        <f t="shared" si="62"/>
        <v>0</v>
      </c>
    </row>
    <row r="126" spans="1:77" x14ac:dyDescent="0.2">
      <c r="A126" s="273" t="s">
        <v>112</v>
      </c>
      <c r="B126" s="274" t="s">
        <v>395</v>
      </c>
      <c r="C126" s="275"/>
      <c r="D126" s="273">
        <v>139755</v>
      </c>
      <c r="E126" s="276">
        <v>2</v>
      </c>
      <c r="F126" s="234">
        <v>361</v>
      </c>
      <c r="G126" s="208">
        <v>131917.4</v>
      </c>
      <c r="H126" s="461">
        <f t="shared" si="39"/>
        <v>47622181.399999999</v>
      </c>
      <c r="I126" s="194">
        <v>374</v>
      </c>
      <c r="J126" s="194">
        <v>134829</v>
      </c>
      <c r="K126" s="464">
        <f t="shared" si="40"/>
        <v>50426046</v>
      </c>
      <c r="L126" s="467">
        <v>237</v>
      </c>
      <c r="M126" s="203">
        <v>93978.86</v>
      </c>
      <c r="N126" s="462">
        <f t="shared" si="41"/>
        <v>22272989.82</v>
      </c>
      <c r="O126" s="192">
        <v>252</v>
      </c>
      <c r="P126" s="192">
        <v>94836</v>
      </c>
      <c r="Q126" s="464">
        <f t="shared" si="42"/>
        <v>23898672</v>
      </c>
      <c r="R126" s="467">
        <v>223</v>
      </c>
      <c r="S126" s="203">
        <v>85603.49</v>
      </c>
      <c r="T126" s="462">
        <f t="shared" si="43"/>
        <v>19089578.27</v>
      </c>
      <c r="U126" s="191">
        <v>225</v>
      </c>
      <c r="V126" s="191">
        <v>86689</v>
      </c>
      <c r="W126" s="464">
        <f t="shared" si="44"/>
        <v>19505025</v>
      </c>
      <c r="X126" s="467">
        <v>26</v>
      </c>
      <c r="Y126" s="203">
        <v>49219.85</v>
      </c>
      <c r="Z126" s="462">
        <f t="shared" si="45"/>
        <v>1279716.0999999999</v>
      </c>
      <c r="AA126" s="192">
        <v>45</v>
      </c>
      <c r="AB126" s="192">
        <v>34803</v>
      </c>
      <c r="AC126" s="464">
        <f t="shared" si="46"/>
        <v>1566135</v>
      </c>
      <c r="AD126" s="467">
        <v>58</v>
      </c>
      <c r="AE126" s="203">
        <v>61122.14</v>
      </c>
      <c r="AF126" s="462">
        <f t="shared" si="47"/>
        <v>3545084.12</v>
      </c>
      <c r="AG126" s="192">
        <v>64</v>
      </c>
      <c r="AH126" s="192">
        <v>66851</v>
      </c>
      <c r="AI126" s="464">
        <f t="shared" si="48"/>
        <v>4278464</v>
      </c>
      <c r="AJ126" s="467"/>
      <c r="AK126" s="203"/>
      <c r="AL126" s="462">
        <f t="shared" si="49"/>
        <v>0</v>
      </c>
      <c r="AM126" s="192"/>
      <c r="AN126" s="192"/>
      <c r="AO126" s="206">
        <f t="shared" si="50"/>
        <v>0</v>
      </c>
      <c r="AP126" s="203">
        <v>50</v>
      </c>
      <c r="AQ126" s="203">
        <v>226432</v>
      </c>
      <c r="AR126" s="462">
        <f t="shared" si="51"/>
        <v>9263333.120000001</v>
      </c>
      <c r="AS126" s="192">
        <v>43</v>
      </c>
      <c r="AT126" s="192">
        <v>234758</v>
      </c>
      <c r="AU126" s="464">
        <f t="shared" si="52"/>
        <v>8259396.8108000001</v>
      </c>
      <c r="AV126" s="467">
        <v>4</v>
      </c>
      <c r="AW126" s="203">
        <v>133696</v>
      </c>
      <c r="AX126" s="462">
        <f t="shared" si="53"/>
        <v>437560.26880000002</v>
      </c>
      <c r="AY126" s="192">
        <v>2</v>
      </c>
      <c r="AZ126" s="192">
        <v>133696</v>
      </c>
      <c r="BA126" s="464">
        <f t="shared" si="54"/>
        <v>218780.13440000001</v>
      </c>
      <c r="BB126" s="467"/>
      <c r="BC126" s="203"/>
      <c r="BD126" s="462">
        <f t="shared" si="55"/>
        <v>0</v>
      </c>
      <c r="BE126" s="192"/>
      <c r="BF126" s="192"/>
      <c r="BG126" s="464">
        <f t="shared" si="56"/>
        <v>0</v>
      </c>
      <c r="BH126" s="467"/>
      <c r="BI126" s="203"/>
      <c r="BJ126" s="462">
        <f t="shared" si="57"/>
        <v>0</v>
      </c>
      <c r="BK126" s="192"/>
      <c r="BL126" s="192"/>
      <c r="BM126" s="464">
        <f t="shared" si="58"/>
        <v>0</v>
      </c>
      <c r="BN126" s="467">
        <v>16</v>
      </c>
      <c r="BO126" s="203">
        <v>83440.75</v>
      </c>
      <c r="BP126" s="462">
        <f t="shared" si="59"/>
        <v>1092339.5464000001</v>
      </c>
      <c r="BQ126" s="192">
        <v>23</v>
      </c>
      <c r="BR126" s="192">
        <v>81187</v>
      </c>
      <c r="BS126" s="464">
        <f t="shared" si="60"/>
        <v>1527825.6782</v>
      </c>
      <c r="BT126" s="467"/>
      <c r="BU126" s="203"/>
      <c r="BV126" s="462">
        <f t="shared" si="61"/>
        <v>0</v>
      </c>
      <c r="BW126" s="192"/>
      <c r="BX126" s="192"/>
      <c r="BY126" s="463">
        <f t="shared" si="62"/>
        <v>0</v>
      </c>
    </row>
    <row r="127" spans="1:77" x14ac:dyDescent="0.2">
      <c r="A127" s="273" t="s">
        <v>112</v>
      </c>
      <c r="B127" s="274" t="s">
        <v>396</v>
      </c>
      <c r="C127" s="275"/>
      <c r="D127" s="273">
        <v>139931</v>
      </c>
      <c r="E127" s="276">
        <v>3</v>
      </c>
      <c r="F127" s="234">
        <v>144</v>
      </c>
      <c r="G127" s="208">
        <v>79994.179999999993</v>
      </c>
      <c r="H127" s="461">
        <f t="shared" si="39"/>
        <v>11519161.919999998</v>
      </c>
      <c r="I127" s="194">
        <v>145</v>
      </c>
      <c r="J127" s="194">
        <v>79703</v>
      </c>
      <c r="K127" s="464">
        <f t="shared" si="40"/>
        <v>11556935</v>
      </c>
      <c r="L127" s="467">
        <v>174</v>
      </c>
      <c r="M127" s="203">
        <v>68059.97</v>
      </c>
      <c r="N127" s="462">
        <f t="shared" si="41"/>
        <v>11842434.779999999</v>
      </c>
      <c r="O127" s="192">
        <v>191</v>
      </c>
      <c r="P127" s="192">
        <v>66446</v>
      </c>
      <c r="Q127" s="464">
        <f t="shared" si="42"/>
        <v>12691186</v>
      </c>
      <c r="R127" s="467">
        <v>252</v>
      </c>
      <c r="S127" s="203">
        <v>58699.78</v>
      </c>
      <c r="T127" s="462">
        <f t="shared" si="43"/>
        <v>14792344.560000001</v>
      </c>
      <c r="U127" s="191">
        <v>244</v>
      </c>
      <c r="V127" s="191">
        <v>58769</v>
      </c>
      <c r="W127" s="464">
        <f t="shared" si="44"/>
        <v>14339636</v>
      </c>
      <c r="X127" s="467">
        <v>108</v>
      </c>
      <c r="Y127" s="203">
        <v>38680.44</v>
      </c>
      <c r="Z127" s="462">
        <f t="shared" si="45"/>
        <v>4177487.5200000005</v>
      </c>
      <c r="AA127" s="192">
        <v>106</v>
      </c>
      <c r="AB127" s="192">
        <v>39876</v>
      </c>
      <c r="AC127" s="464">
        <f t="shared" si="46"/>
        <v>4226856</v>
      </c>
      <c r="AD127" s="467">
        <v>23</v>
      </c>
      <c r="AE127" s="203">
        <v>43153</v>
      </c>
      <c r="AF127" s="462">
        <f t="shared" si="47"/>
        <v>992519</v>
      </c>
      <c r="AG127" s="192">
        <v>45</v>
      </c>
      <c r="AH127" s="192">
        <v>42823</v>
      </c>
      <c r="AI127" s="464">
        <f t="shared" si="48"/>
        <v>1927035</v>
      </c>
      <c r="AJ127" s="467"/>
      <c r="AK127" s="203"/>
      <c r="AL127" s="462">
        <f t="shared" si="49"/>
        <v>0</v>
      </c>
      <c r="AM127" s="192"/>
      <c r="AN127" s="192"/>
      <c r="AO127" s="206">
        <f t="shared" si="50"/>
        <v>0</v>
      </c>
      <c r="AP127" s="203">
        <v>27</v>
      </c>
      <c r="AQ127" s="203">
        <v>117038</v>
      </c>
      <c r="AR127" s="462">
        <f t="shared" si="51"/>
        <v>2585533.2732000002</v>
      </c>
      <c r="AS127" s="192">
        <v>7</v>
      </c>
      <c r="AT127" s="192">
        <v>102641</v>
      </c>
      <c r="AU127" s="464">
        <f t="shared" si="52"/>
        <v>587866.06339999998</v>
      </c>
      <c r="AV127" s="467">
        <v>19</v>
      </c>
      <c r="AW127" s="203">
        <v>84068.1</v>
      </c>
      <c r="AX127" s="462">
        <f t="shared" si="53"/>
        <v>1306905.8689800003</v>
      </c>
      <c r="AY127" s="192">
        <v>16</v>
      </c>
      <c r="AZ127" s="192">
        <v>86527</v>
      </c>
      <c r="BA127" s="464">
        <f t="shared" si="54"/>
        <v>1132742.2624000001</v>
      </c>
      <c r="BB127" s="467">
        <v>10</v>
      </c>
      <c r="BC127" s="203">
        <v>56252</v>
      </c>
      <c r="BD127" s="462">
        <f t="shared" si="55"/>
        <v>460253.864</v>
      </c>
      <c r="BE127" s="192">
        <v>8</v>
      </c>
      <c r="BF127" s="192">
        <v>51903</v>
      </c>
      <c r="BG127" s="464">
        <f t="shared" si="56"/>
        <v>339736.27679999999</v>
      </c>
      <c r="BH127" s="467">
        <v>1</v>
      </c>
      <c r="BI127" s="203">
        <v>63000</v>
      </c>
      <c r="BJ127" s="462">
        <f t="shared" si="57"/>
        <v>51546.600000000006</v>
      </c>
      <c r="BK127" s="192"/>
      <c r="BL127" s="192"/>
      <c r="BM127" s="464">
        <f t="shared" si="58"/>
        <v>0</v>
      </c>
      <c r="BN127" s="467">
        <v>3</v>
      </c>
      <c r="BO127" s="203">
        <v>73627</v>
      </c>
      <c r="BP127" s="462">
        <f t="shared" si="59"/>
        <v>180724.83420000001</v>
      </c>
      <c r="BQ127" s="192">
        <v>3</v>
      </c>
      <c r="BR127" s="192">
        <v>73627</v>
      </c>
      <c r="BS127" s="464">
        <f t="shared" si="60"/>
        <v>180724.83420000001</v>
      </c>
      <c r="BT127" s="467"/>
      <c r="BU127" s="203"/>
      <c r="BV127" s="462">
        <f t="shared" si="61"/>
        <v>0</v>
      </c>
      <c r="BW127" s="192"/>
      <c r="BX127" s="192"/>
      <c r="BY127" s="463">
        <f t="shared" si="62"/>
        <v>0</v>
      </c>
    </row>
    <row r="128" spans="1:77" x14ac:dyDescent="0.2">
      <c r="A128" s="273" t="s">
        <v>112</v>
      </c>
      <c r="B128" s="274" t="s">
        <v>397</v>
      </c>
      <c r="C128" s="275"/>
      <c r="D128" s="273">
        <v>141334</v>
      </c>
      <c r="E128" s="276">
        <v>3</v>
      </c>
      <c r="F128" s="234">
        <v>81</v>
      </c>
      <c r="G128" s="208">
        <v>80572.44</v>
      </c>
      <c r="H128" s="461">
        <f t="shared" si="39"/>
        <v>6526367.6400000006</v>
      </c>
      <c r="I128" s="194">
        <v>81</v>
      </c>
      <c r="J128" s="194">
        <v>80572</v>
      </c>
      <c r="K128" s="464">
        <f t="shared" si="40"/>
        <v>6526332</v>
      </c>
      <c r="L128" s="467">
        <v>90</v>
      </c>
      <c r="M128" s="203">
        <v>60511.87</v>
      </c>
      <c r="N128" s="462">
        <f t="shared" si="41"/>
        <v>5446068.2999999998</v>
      </c>
      <c r="O128" s="192">
        <v>90</v>
      </c>
      <c r="P128" s="192">
        <v>60512</v>
      </c>
      <c r="Q128" s="464">
        <f t="shared" si="42"/>
        <v>5446080</v>
      </c>
      <c r="R128" s="467">
        <v>138</v>
      </c>
      <c r="S128" s="203">
        <v>51408.74</v>
      </c>
      <c r="T128" s="462">
        <f t="shared" si="43"/>
        <v>7094406.1200000001</v>
      </c>
      <c r="U128" s="192">
        <v>138</v>
      </c>
      <c r="V128" s="192">
        <v>51409</v>
      </c>
      <c r="W128" s="464">
        <f t="shared" si="44"/>
        <v>7094442</v>
      </c>
      <c r="X128" s="467">
        <v>63</v>
      </c>
      <c r="Y128" s="203">
        <v>37263.19</v>
      </c>
      <c r="Z128" s="462">
        <f t="shared" si="45"/>
        <v>2347580.9700000002</v>
      </c>
      <c r="AA128" s="192">
        <v>63</v>
      </c>
      <c r="AB128" s="192">
        <v>37263</v>
      </c>
      <c r="AC128" s="464">
        <f t="shared" si="46"/>
        <v>2347569</v>
      </c>
      <c r="AD128" s="467">
        <v>39</v>
      </c>
      <c r="AE128" s="203">
        <v>42749.279999999999</v>
      </c>
      <c r="AF128" s="462">
        <f t="shared" si="47"/>
        <v>1667221.92</v>
      </c>
      <c r="AG128" s="192">
        <v>39</v>
      </c>
      <c r="AH128" s="192">
        <v>42749</v>
      </c>
      <c r="AI128" s="464">
        <f t="shared" si="48"/>
        <v>1667211</v>
      </c>
      <c r="AJ128" s="467"/>
      <c r="AK128" s="203"/>
      <c r="AL128" s="462">
        <f t="shared" si="49"/>
        <v>0</v>
      </c>
      <c r="AM128" s="192"/>
      <c r="AN128" s="192"/>
      <c r="AO128" s="206">
        <f t="shared" si="50"/>
        <v>0</v>
      </c>
      <c r="AP128" s="203">
        <v>18</v>
      </c>
      <c r="AQ128" s="203">
        <v>110526</v>
      </c>
      <c r="AR128" s="462">
        <f t="shared" si="51"/>
        <v>1627782.7176000001</v>
      </c>
      <c r="AS128" s="192">
        <v>18</v>
      </c>
      <c r="AT128" s="192">
        <v>110526</v>
      </c>
      <c r="AU128" s="464">
        <f t="shared" si="52"/>
        <v>1627782.7176000001</v>
      </c>
      <c r="AV128" s="467">
        <v>8</v>
      </c>
      <c r="AW128" s="203">
        <v>95757</v>
      </c>
      <c r="AX128" s="462">
        <f t="shared" si="53"/>
        <v>626787.01919999998</v>
      </c>
      <c r="AY128" s="192">
        <v>8</v>
      </c>
      <c r="AZ128" s="192">
        <v>95757</v>
      </c>
      <c r="BA128" s="464">
        <f t="shared" si="54"/>
        <v>626787.01919999998</v>
      </c>
      <c r="BB128" s="467">
        <v>6</v>
      </c>
      <c r="BC128" s="203">
        <v>64660</v>
      </c>
      <c r="BD128" s="462">
        <f t="shared" si="55"/>
        <v>317428.87200000003</v>
      </c>
      <c r="BE128" s="192">
        <v>6</v>
      </c>
      <c r="BF128" s="192">
        <v>64660</v>
      </c>
      <c r="BG128" s="464">
        <f t="shared" si="56"/>
        <v>317428.87200000003</v>
      </c>
      <c r="BH128" s="467">
        <v>5</v>
      </c>
      <c r="BI128" s="203">
        <v>51600</v>
      </c>
      <c r="BJ128" s="462">
        <f t="shared" si="57"/>
        <v>211095.6</v>
      </c>
      <c r="BK128" s="192">
        <v>5</v>
      </c>
      <c r="BL128" s="192">
        <v>51600</v>
      </c>
      <c r="BM128" s="464">
        <f t="shared" si="58"/>
        <v>211095.6</v>
      </c>
      <c r="BN128" s="467"/>
      <c r="BO128" s="203"/>
      <c r="BP128" s="462">
        <f t="shared" si="59"/>
        <v>0</v>
      </c>
      <c r="BQ128" s="192"/>
      <c r="BR128" s="192"/>
      <c r="BS128" s="464">
        <f t="shared" si="60"/>
        <v>0</v>
      </c>
      <c r="BT128" s="467"/>
      <c r="BU128" s="203"/>
      <c r="BV128" s="462">
        <f t="shared" si="61"/>
        <v>0</v>
      </c>
      <c r="BW128" s="192"/>
      <c r="BX128" s="192"/>
      <c r="BY128" s="463">
        <f t="shared" si="62"/>
        <v>0</v>
      </c>
    </row>
    <row r="129" spans="1:77" x14ac:dyDescent="0.2">
      <c r="A129" s="273" t="s">
        <v>112</v>
      </c>
      <c r="B129" s="274" t="s">
        <v>398</v>
      </c>
      <c r="C129" s="275"/>
      <c r="D129" s="273">
        <v>141264</v>
      </c>
      <c r="E129" s="276">
        <v>3</v>
      </c>
      <c r="F129" s="234">
        <v>124</v>
      </c>
      <c r="G129" s="208">
        <v>74843.98</v>
      </c>
      <c r="H129" s="461">
        <f t="shared" si="39"/>
        <v>9280653.5199999996</v>
      </c>
      <c r="I129" s="194">
        <v>125</v>
      </c>
      <c r="J129" s="194">
        <v>73191</v>
      </c>
      <c r="K129" s="464">
        <f t="shared" si="40"/>
        <v>9148875</v>
      </c>
      <c r="L129" s="467">
        <v>99</v>
      </c>
      <c r="M129" s="203">
        <v>60337.04</v>
      </c>
      <c r="N129" s="462">
        <f t="shared" si="41"/>
        <v>5973366.96</v>
      </c>
      <c r="O129" s="192">
        <v>94</v>
      </c>
      <c r="P129" s="192">
        <v>60384</v>
      </c>
      <c r="Q129" s="464">
        <f t="shared" si="42"/>
        <v>5676096</v>
      </c>
      <c r="R129" s="467">
        <v>129</v>
      </c>
      <c r="S129" s="203">
        <v>53271.93</v>
      </c>
      <c r="T129" s="462">
        <f t="shared" si="43"/>
        <v>6872078.9699999997</v>
      </c>
      <c r="U129" s="191">
        <v>160</v>
      </c>
      <c r="V129" s="191">
        <v>53060</v>
      </c>
      <c r="W129" s="464">
        <f t="shared" si="44"/>
        <v>8489600</v>
      </c>
      <c r="X129" s="467">
        <v>25</v>
      </c>
      <c r="Y129" s="203">
        <v>40047</v>
      </c>
      <c r="Z129" s="462">
        <f t="shared" si="45"/>
        <v>1001175</v>
      </c>
      <c r="AA129" s="192">
        <v>46</v>
      </c>
      <c r="AB129" s="192">
        <v>41951</v>
      </c>
      <c r="AC129" s="464">
        <f t="shared" si="46"/>
        <v>1929746</v>
      </c>
      <c r="AD129" s="467">
        <v>0</v>
      </c>
      <c r="AE129" s="203">
        <v>0</v>
      </c>
      <c r="AF129" s="462">
        <f t="shared" si="47"/>
        <v>0</v>
      </c>
      <c r="AG129" s="192">
        <v>25</v>
      </c>
      <c r="AH129" s="192">
        <v>39987</v>
      </c>
      <c r="AI129" s="464">
        <f t="shared" si="48"/>
        <v>999675</v>
      </c>
      <c r="AJ129" s="467"/>
      <c r="AK129" s="203"/>
      <c r="AL129" s="462">
        <f t="shared" si="49"/>
        <v>0</v>
      </c>
      <c r="AM129" s="192"/>
      <c r="AN129" s="192"/>
      <c r="AO129" s="206">
        <f t="shared" si="50"/>
        <v>0</v>
      </c>
      <c r="AP129" s="203">
        <v>5</v>
      </c>
      <c r="AQ129" s="203">
        <v>78913.8</v>
      </c>
      <c r="AR129" s="462">
        <f t="shared" si="51"/>
        <v>322836.35580000002</v>
      </c>
      <c r="AS129" s="192">
        <v>7</v>
      </c>
      <c r="AT129" s="192">
        <v>79073</v>
      </c>
      <c r="AU129" s="464">
        <f t="shared" si="52"/>
        <v>452882.70020000002</v>
      </c>
      <c r="AV129" s="467">
        <v>10</v>
      </c>
      <c r="AW129" s="203">
        <v>64111.5</v>
      </c>
      <c r="AX129" s="462">
        <f t="shared" si="53"/>
        <v>524560.29300000006</v>
      </c>
      <c r="AY129" s="192">
        <v>3</v>
      </c>
      <c r="AZ129" s="192">
        <v>71384</v>
      </c>
      <c r="BA129" s="464">
        <f t="shared" si="54"/>
        <v>175219.16640000002</v>
      </c>
      <c r="BB129" s="467">
        <v>17</v>
      </c>
      <c r="BC129" s="203">
        <v>60877.5</v>
      </c>
      <c r="BD129" s="462">
        <f t="shared" si="55"/>
        <v>846769.49849999999</v>
      </c>
      <c r="BE129" s="192">
        <v>11</v>
      </c>
      <c r="BF129" s="192">
        <v>68648</v>
      </c>
      <c r="BG129" s="464">
        <f t="shared" si="56"/>
        <v>617845.72960000008</v>
      </c>
      <c r="BH129" s="467">
        <v>19</v>
      </c>
      <c r="BI129" s="203">
        <v>54855.5</v>
      </c>
      <c r="BJ129" s="462">
        <f t="shared" si="57"/>
        <v>852772.63190000004</v>
      </c>
      <c r="BK129" s="192">
        <v>18</v>
      </c>
      <c r="BL129" s="192">
        <v>55766</v>
      </c>
      <c r="BM129" s="464">
        <f t="shared" si="58"/>
        <v>821299.34160000004</v>
      </c>
      <c r="BN129" s="467"/>
      <c r="BO129" s="203"/>
      <c r="BP129" s="462">
        <f t="shared" si="59"/>
        <v>0</v>
      </c>
      <c r="BQ129" s="192"/>
      <c r="BR129" s="192"/>
      <c r="BS129" s="464">
        <f t="shared" si="60"/>
        <v>0</v>
      </c>
      <c r="BT129" s="467"/>
      <c r="BU129" s="203"/>
      <c r="BV129" s="462">
        <f t="shared" si="61"/>
        <v>0</v>
      </c>
      <c r="BW129" s="192"/>
      <c r="BX129" s="192"/>
      <c r="BY129" s="463">
        <f t="shared" si="62"/>
        <v>0</v>
      </c>
    </row>
    <row r="130" spans="1:77" x14ac:dyDescent="0.2">
      <c r="A130" s="273" t="s">
        <v>112</v>
      </c>
      <c r="B130" s="274" t="s">
        <v>399</v>
      </c>
      <c r="C130" s="275"/>
      <c r="D130" s="273">
        <v>138716</v>
      </c>
      <c r="E130" s="276">
        <v>4</v>
      </c>
      <c r="F130" s="234">
        <v>28</v>
      </c>
      <c r="G130" s="208">
        <v>69986</v>
      </c>
      <c r="H130" s="461">
        <f t="shared" si="39"/>
        <v>1959608</v>
      </c>
      <c r="I130" s="194">
        <v>25</v>
      </c>
      <c r="J130" s="194">
        <v>69893</v>
      </c>
      <c r="K130" s="464">
        <f t="shared" si="40"/>
        <v>1747325</v>
      </c>
      <c r="L130" s="467">
        <v>45</v>
      </c>
      <c r="M130" s="203">
        <v>57013</v>
      </c>
      <c r="N130" s="462">
        <f t="shared" si="41"/>
        <v>2565585</v>
      </c>
      <c r="O130" s="192">
        <v>44</v>
      </c>
      <c r="P130" s="192">
        <v>57627</v>
      </c>
      <c r="Q130" s="464">
        <f t="shared" si="42"/>
        <v>2535588</v>
      </c>
      <c r="R130" s="467">
        <v>56</v>
      </c>
      <c r="S130" s="203">
        <v>51397.77</v>
      </c>
      <c r="T130" s="462">
        <f t="shared" si="43"/>
        <v>2878275.1199999996</v>
      </c>
      <c r="U130" s="191">
        <v>73</v>
      </c>
      <c r="V130" s="191">
        <v>51270</v>
      </c>
      <c r="W130" s="464">
        <f t="shared" si="44"/>
        <v>3742710</v>
      </c>
      <c r="X130" s="467">
        <v>14</v>
      </c>
      <c r="Y130" s="203">
        <v>44748.79</v>
      </c>
      <c r="Z130" s="462">
        <f t="shared" si="45"/>
        <v>626483.06000000006</v>
      </c>
      <c r="AA130" s="192">
        <v>9</v>
      </c>
      <c r="AB130" s="192">
        <v>47444</v>
      </c>
      <c r="AC130" s="464">
        <f t="shared" si="46"/>
        <v>426996</v>
      </c>
      <c r="AD130" s="467">
        <v>0</v>
      </c>
      <c r="AE130" s="203">
        <v>0</v>
      </c>
      <c r="AF130" s="462">
        <f t="shared" si="47"/>
        <v>0</v>
      </c>
      <c r="AG130" s="192"/>
      <c r="AH130" s="192"/>
      <c r="AI130" s="464">
        <f t="shared" si="48"/>
        <v>0</v>
      </c>
      <c r="AJ130" s="467"/>
      <c r="AK130" s="203"/>
      <c r="AL130" s="462">
        <f t="shared" si="49"/>
        <v>0</v>
      </c>
      <c r="AM130" s="192"/>
      <c r="AN130" s="192"/>
      <c r="AO130" s="206">
        <f t="shared" si="50"/>
        <v>0</v>
      </c>
      <c r="AP130" s="203"/>
      <c r="AQ130" s="203"/>
      <c r="AR130" s="462">
        <f t="shared" si="51"/>
        <v>0</v>
      </c>
      <c r="AS130" s="192"/>
      <c r="AT130" s="192"/>
      <c r="AU130" s="464">
        <f t="shared" si="52"/>
        <v>0</v>
      </c>
      <c r="AV130" s="467"/>
      <c r="AW130" s="203"/>
      <c r="AX130" s="462">
        <f t="shared" si="53"/>
        <v>0</v>
      </c>
      <c r="AY130" s="192">
        <v>1</v>
      </c>
      <c r="AZ130" s="192">
        <v>58000</v>
      </c>
      <c r="BA130" s="464">
        <f t="shared" si="54"/>
        <v>47455.600000000006</v>
      </c>
      <c r="BB130" s="467">
        <v>2</v>
      </c>
      <c r="BC130" s="203">
        <v>56781.5</v>
      </c>
      <c r="BD130" s="462">
        <f t="shared" si="55"/>
        <v>92917.246599999999</v>
      </c>
      <c r="BE130" s="192"/>
      <c r="BF130" s="192"/>
      <c r="BG130" s="464">
        <f t="shared" si="56"/>
        <v>0</v>
      </c>
      <c r="BH130" s="467"/>
      <c r="BI130" s="203"/>
      <c r="BJ130" s="462">
        <f t="shared" si="57"/>
        <v>0</v>
      </c>
      <c r="BK130" s="192"/>
      <c r="BL130" s="192"/>
      <c r="BM130" s="464">
        <f t="shared" si="58"/>
        <v>0</v>
      </c>
      <c r="BN130" s="467"/>
      <c r="BO130" s="203"/>
      <c r="BP130" s="462">
        <f t="shared" si="59"/>
        <v>0</v>
      </c>
      <c r="BQ130" s="192"/>
      <c r="BR130" s="192"/>
      <c r="BS130" s="464">
        <f t="shared" si="60"/>
        <v>0</v>
      </c>
      <c r="BT130" s="467"/>
      <c r="BU130" s="203"/>
      <c r="BV130" s="462">
        <f t="shared" si="61"/>
        <v>0</v>
      </c>
      <c r="BW130" s="192"/>
      <c r="BX130" s="192"/>
      <c r="BY130" s="463">
        <f t="shared" si="62"/>
        <v>0</v>
      </c>
    </row>
    <row r="131" spans="1:77" x14ac:dyDescent="0.2">
      <c r="A131" s="273" t="s">
        <v>112</v>
      </c>
      <c r="B131" s="274" t="s">
        <v>400</v>
      </c>
      <c r="C131" s="275"/>
      <c r="D131" s="273">
        <v>138789</v>
      </c>
      <c r="E131" s="276">
        <v>4</v>
      </c>
      <c r="F131" s="234">
        <v>40</v>
      </c>
      <c r="G131" s="208">
        <v>74969</v>
      </c>
      <c r="H131" s="461">
        <f t="shared" si="39"/>
        <v>2998760</v>
      </c>
      <c r="I131" s="194">
        <v>43</v>
      </c>
      <c r="J131" s="194">
        <v>75251</v>
      </c>
      <c r="K131" s="464">
        <f t="shared" si="40"/>
        <v>3235793</v>
      </c>
      <c r="L131" s="467">
        <v>45</v>
      </c>
      <c r="M131" s="203">
        <v>63220</v>
      </c>
      <c r="N131" s="462">
        <f t="shared" si="41"/>
        <v>2844900</v>
      </c>
      <c r="O131" s="192">
        <v>50</v>
      </c>
      <c r="P131" s="192">
        <v>63491</v>
      </c>
      <c r="Q131" s="464">
        <f t="shared" si="42"/>
        <v>3174550</v>
      </c>
      <c r="R131" s="467">
        <v>85</v>
      </c>
      <c r="S131" s="203">
        <v>50388.29</v>
      </c>
      <c r="T131" s="462">
        <f t="shared" si="43"/>
        <v>4283004.6500000004</v>
      </c>
      <c r="U131" s="191">
        <v>83</v>
      </c>
      <c r="V131" s="191">
        <v>51254</v>
      </c>
      <c r="W131" s="464">
        <f t="shared" si="44"/>
        <v>4254082</v>
      </c>
      <c r="X131" s="467">
        <v>62</v>
      </c>
      <c r="Y131" s="203">
        <v>43925.21</v>
      </c>
      <c r="Z131" s="462">
        <f t="shared" si="45"/>
        <v>2723363.02</v>
      </c>
      <c r="AA131" s="192">
        <v>67</v>
      </c>
      <c r="AB131" s="192">
        <v>43890</v>
      </c>
      <c r="AC131" s="464">
        <f t="shared" si="46"/>
        <v>2940630</v>
      </c>
      <c r="AD131" s="467">
        <v>0</v>
      </c>
      <c r="AE131" s="203">
        <v>0</v>
      </c>
      <c r="AF131" s="462">
        <f t="shared" si="47"/>
        <v>0</v>
      </c>
      <c r="AG131" s="192"/>
      <c r="AH131" s="192"/>
      <c r="AI131" s="464">
        <f t="shared" si="48"/>
        <v>0</v>
      </c>
      <c r="AJ131" s="467"/>
      <c r="AK131" s="203"/>
      <c r="AL131" s="462">
        <f t="shared" si="49"/>
        <v>0</v>
      </c>
      <c r="AM131" s="192"/>
      <c r="AN131" s="192"/>
      <c r="AO131" s="206">
        <f t="shared" si="50"/>
        <v>0</v>
      </c>
      <c r="AP131" s="203">
        <v>1</v>
      </c>
      <c r="AQ131" s="203">
        <v>121936</v>
      </c>
      <c r="AR131" s="462">
        <f t="shared" si="51"/>
        <v>99768.035199999998</v>
      </c>
      <c r="AS131" s="192">
        <v>1</v>
      </c>
      <c r="AT131" s="192">
        <v>121936</v>
      </c>
      <c r="AU131" s="464">
        <f t="shared" si="52"/>
        <v>99768.035199999998</v>
      </c>
      <c r="AV131" s="467">
        <v>1</v>
      </c>
      <c r="AW131" s="203">
        <v>75326</v>
      </c>
      <c r="AX131" s="462">
        <f t="shared" si="53"/>
        <v>61631.733200000002</v>
      </c>
      <c r="AY131" s="192">
        <v>1</v>
      </c>
      <c r="AZ131" s="192">
        <v>78326</v>
      </c>
      <c r="BA131" s="464">
        <f t="shared" si="54"/>
        <v>64086.333200000001</v>
      </c>
      <c r="BB131" s="467">
        <v>13</v>
      </c>
      <c r="BC131" s="203">
        <v>62133.31</v>
      </c>
      <c r="BD131" s="462">
        <f t="shared" si="55"/>
        <v>660887.1651460001</v>
      </c>
      <c r="BE131" s="192">
        <v>6</v>
      </c>
      <c r="BF131" s="192">
        <v>66901</v>
      </c>
      <c r="BG131" s="464">
        <f t="shared" si="56"/>
        <v>328430.38920000003</v>
      </c>
      <c r="BH131" s="467">
        <v>7</v>
      </c>
      <c r="BI131" s="203">
        <v>53025</v>
      </c>
      <c r="BJ131" s="462">
        <f t="shared" si="57"/>
        <v>303695.38500000001</v>
      </c>
      <c r="BK131" s="192">
        <v>7</v>
      </c>
      <c r="BL131" s="192">
        <v>61538</v>
      </c>
      <c r="BM131" s="464">
        <f t="shared" si="58"/>
        <v>352452.74119999999</v>
      </c>
      <c r="BN131" s="467"/>
      <c r="BO131" s="203"/>
      <c r="BP131" s="462">
        <f t="shared" si="59"/>
        <v>0</v>
      </c>
      <c r="BQ131" s="192"/>
      <c r="BR131" s="192"/>
      <c r="BS131" s="464">
        <f t="shared" si="60"/>
        <v>0</v>
      </c>
      <c r="BT131" s="467"/>
      <c r="BU131" s="203"/>
      <c r="BV131" s="462">
        <f t="shared" si="61"/>
        <v>0</v>
      </c>
      <c r="BW131" s="192"/>
      <c r="BX131" s="192"/>
      <c r="BY131" s="463">
        <f t="shared" si="62"/>
        <v>0</v>
      </c>
    </row>
    <row r="132" spans="1:77" x14ac:dyDescent="0.2">
      <c r="A132" s="273" t="s">
        <v>112</v>
      </c>
      <c r="B132" s="274" t="s">
        <v>401</v>
      </c>
      <c r="C132" s="275"/>
      <c r="D132" s="273">
        <v>139366</v>
      </c>
      <c r="E132" s="276">
        <v>4</v>
      </c>
      <c r="F132" s="234">
        <v>46</v>
      </c>
      <c r="G132" s="208">
        <v>71059.960000000006</v>
      </c>
      <c r="H132" s="461">
        <f t="shared" si="39"/>
        <v>3268758.16</v>
      </c>
      <c r="I132" s="194">
        <v>52</v>
      </c>
      <c r="J132" s="194">
        <v>72540</v>
      </c>
      <c r="K132" s="464">
        <f t="shared" si="40"/>
        <v>3772080</v>
      </c>
      <c r="L132" s="467">
        <v>71</v>
      </c>
      <c r="M132" s="203">
        <v>62361.96</v>
      </c>
      <c r="N132" s="462">
        <f t="shared" si="41"/>
        <v>4427699.16</v>
      </c>
      <c r="O132" s="192">
        <v>72</v>
      </c>
      <c r="P132" s="192">
        <v>61111</v>
      </c>
      <c r="Q132" s="464">
        <f t="shared" si="42"/>
        <v>4399992</v>
      </c>
      <c r="R132" s="467">
        <v>104</v>
      </c>
      <c r="S132" s="203">
        <v>52692.5</v>
      </c>
      <c r="T132" s="462">
        <f t="shared" si="43"/>
        <v>5480020</v>
      </c>
      <c r="U132" s="191">
        <v>97</v>
      </c>
      <c r="V132" s="191">
        <v>54051</v>
      </c>
      <c r="W132" s="464">
        <f t="shared" si="44"/>
        <v>5242947</v>
      </c>
      <c r="X132" s="467">
        <v>3</v>
      </c>
      <c r="Y132" s="203">
        <v>51908.67</v>
      </c>
      <c r="Z132" s="462">
        <f t="shared" si="45"/>
        <v>155726.01</v>
      </c>
      <c r="AA132" s="192">
        <v>8</v>
      </c>
      <c r="AB132" s="192">
        <v>54141</v>
      </c>
      <c r="AC132" s="464">
        <f t="shared" si="46"/>
        <v>433128</v>
      </c>
      <c r="AD132" s="467">
        <v>13</v>
      </c>
      <c r="AE132" s="203">
        <v>40613.08</v>
      </c>
      <c r="AF132" s="462">
        <f t="shared" si="47"/>
        <v>527970.04</v>
      </c>
      <c r="AG132" s="192">
        <v>18</v>
      </c>
      <c r="AH132" s="192">
        <v>39915</v>
      </c>
      <c r="AI132" s="464">
        <f t="shared" si="48"/>
        <v>718470</v>
      </c>
      <c r="AJ132" s="467"/>
      <c r="AK132" s="203"/>
      <c r="AL132" s="462">
        <f t="shared" si="49"/>
        <v>0</v>
      </c>
      <c r="AM132" s="192"/>
      <c r="AN132" s="192"/>
      <c r="AO132" s="206">
        <f t="shared" si="50"/>
        <v>0</v>
      </c>
      <c r="AP132" s="203">
        <v>19</v>
      </c>
      <c r="AQ132" s="203">
        <v>96672.9</v>
      </c>
      <c r="AR132" s="462">
        <f t="shared" si="51"/>
        <v>1502857.5688199999</v>
      </c>
      <c r="AS132" s="192">
        <v>14</v>
      </c>
      <c r="AT132" s="192">
        <v>94668</v>
      </c>
      <c r="AU132" s="464">
        <f t="shared" si="52"/>
        <v>1084403.0064000001</v>
      </c>
      <c r="AV132" s="467">
        <v>5</v>
      </c>
      <c r="AW132" s="203">
        <v>80678</v>
      </c>
      <c r="AX132" s="462">
        <f t="shared" si="53"/>
        <v>330053.69800000003</v>
      </c>
      <c r="AY132" s="192">
        <v>6</v>
      </c>
      <c r="AZ132" s="192">
        <v>77943</v>
      </c>
      <c r="BA132" s="464">
        <f t="shared" si="54"/>
        <v>382637.77559999999</v>
      </c>
      <c r="BB132" s="467">
        <v>4</v>
      </c>
      <c r="BC132" s="203">
        <v>58901.8</v>
      </c>
      <c r="BD132" s="462">
        <f t="shared" si="55"/>
        <v>192773.81104000003</v>
      </c>
      <c r="BE132" s="192">
        <v>2</v>
      </c>
      <c r="BF132" s="192">
        <v>62750</v>
      </c>
      <c r="BG132" s="464">
        <f t="shared" si="56"/>
        <v>102684.1</v>
      </c>
      <c r="BH132" s="467"/>
      <c r="BI132" s="203"/>
      <c r="BJ132" s="462">
        <f t="shared" si="57"/>
        <v>0</v>
      </c>
      <c r="BK132" s="192"/>
      <c r="BL132" s="192"/>
      <c r="BM132" s="464">
        <f t="shared" si="58"/>
        <v>0</v>
      </c>
      <c r="BN132" s="467">
        <v>2</v>
      </c>
      <c r="BO132" s="203">
        <v>59000</v>
      </c>
      <c r="BP132" s="462">
        <f t="shared" si="59"/>
        <v>96547.6</v>
      </c>
      <c r="BQ132" s="192">
        <v>2</v>
      </c>
      <c r="BR132" s="192">
        <v>68500</v>
      </c>
      <c r="BS132" s="464">
        <f t="shared" si="60"/>
        <v>112093.40000000001</v>
      </c>
      <c r="BT132" s="467"/>
      <c r="BU132" s="203"/>
      <c r="BV132" s="462">
        <f t="shared" si="61"/>
        <v>0</v>
      </c>
      <c r="BW132" s="192"/>
      <c r="BX132" s="192"/>
      <c r="BY132" s="463">
        <f t="shared" si="62"/>
        <v>0</v>
      </c>
    </row>
    <row r="133" spans="1:77" x14ac:dyDescent="0.2">
      <c r="A133" s="273" t="s">
        <v>112</v>
      </c>
      <c r="B133" s="274" t="s">
        <v>402</v>
      </c>
      <c r="C133" s="275"/>
      <c r="D133" s="273">
        <v>139861</v>
      </c>
      <c r="E133" s="276">
        <v>4</v>
      </c>
      <c r="F133" s="234">
        <v>61</v>
      </c>
      <c r="G133" s="208">
        <v>68356.490000000005</v>
      </c>
      <c r="H133" s="461">
        <f t="shared" si="39"/>
        <v>4169745.89</v>
      </c>
      <c r="I133" s="194">
        <v>50</v>
      </c>
      <c r="J133" s="194">
        <v>72512</v>
      </c>
      <c r="K133" s="464">
        <f t="shared" si="40"/>
        <v>3625600</v>
      </c>
      <c r="L133" s="467">
        <v>64</v>
      </c>
      <c r="M133" s="203">
        <v>58628.03</v>
      </c>
      <c r="N133" s="462">
        <f t="shared" si="41"/>
        <v>3752193.92</v>
      </c>
      <c r="O133" s="192">
        <v>61</v>
      </c>
      <c r="P133" s="192">
        <v>62677</v>
      </c>
      <c r="Q133" s="464">
        <f t="shared" si="42"/>
        <v>3823297</v>
      </c>
      <c r="R133" s="467">
        <v>120</v>
      </c>
      <c r="S133" s="203">
        <v>52083.13</v>
      </c>
      <c r="T133" s="462">
        <f t="shared" si="43"/>
        <v>6249975.5999999996</v>
      </c>
      <c r="U133" s="191">
        <v>137</v>
      </c>
      <c r="V133" s="191">
        <v>50578</v>
      </c>
      <c r="W133" s="464">
        <f t="shared" si="44"/>
        <v>6929186</v>
      </c>
      <c r="X133" s="467">
        <v>16</v>
      </c>
      <c r="Y133" s="203">
        <v>37753.279999999999</v>
      </c>
      <c r="Z133" s="462">
        <f t="shared" si="45"/>
        <v>604052.47999999998</v>
      </c>
      <c r="AA133" s="192">
        <v>10</v>
      </c>
      <c r="AB133" s="192">
        <v>44700</v>
      </c>
      <c r="AC133" s="464">
        <f t="shared" si="46"/>
        <v>447000</v>
      </c>
      <c r="AD133" s="467">
        <v>20</v>
      </c>
      <c r="AE133" s="203">
        <v>44640.25</v>
      </c>
      <c r="AF133" s="462">
        <f t="shared" si="47"/>
        <v>892805</v>
      </c>
      <c r="AG133" s="192">
        <v>20</v>
      </c>
      <c r="AH133" s="192">
        <v>44973</v>
      </c>
      <c r="AI133" s="464">
        <f t="shared" si="48"/>
        <v>899460</v>
      </c>
      <c r="AJ133" s="467"/>
      <c r="AK133" s="203"/>
      <c r="AL133" s="462">
        <f t="shared" si="49"/>
        <v>0</v>
      </c>
      <c r="AM133" s="192"/>
      <c r="AN133" s="192"/>
      <c r="AO133" s="206">
        <f t="shared" si="50"/>
        <v>0</v>
      </c>
      <c r="AP133" s="203">
        <v>19</v>
      </c>
      <c r="AQ133" s="203">
        <v>93287.26</v>
      </c>
      <c r="AR133" s="462">
        <f t="shared" si="51"/>
        <v>1450225.086508</v>
      </c>
      <c r="AS133" s="192">
        <v>14</v>
      </c>
      <c r="AT133" s="192">
        <v>92570</v>
      </c>
      <c r="AU133" s="464">
        <f t="shared" si="52"/>
        <v>1060370.8360000001</v>
      </c>
      <c r="AV133" s="467">
        <v>11</v>
      </c>
      <c r="AW133" s="203">
        <v>81257.820000000007</v>
      </c>
      <c r="AX133" s="462">
        <f t="shared" si="53"/>
        <v>731336.63156400004</v>
      </c>
      <c r="AY133" s="192">
        <v>9</v>
      </c>
      <c r="AZ133" s="192">
        <v>85802</v>
      </c>
      <c r="BA133" s="464">
        <f t="shared" si="54"/>
        <v>631828.76760000002</v>
      </c>
      <c r="BB133" s="467">
        <v>3</v>
      </c>
      <c r="BC133" s="203">
        <v>65366</v>
      </c>
      <c r="BD133" s="462">
        <f t="shared" si="55"/>
        <v>160447.3836</v>
      </c>
      <c r="BE133" s="192">
        <v>3</v>
      </c>
      <c r="BF133" s="192">
        <v>78497</v>
      </c>
      <c r="BG133" s="464">
        <f t="shared" si="56"/>
        <v>192678.73620000001</v>
      </c>
      <c r="BH133" s="467">
        <v>1</v>
      </c>
      <c r="BI133" s="203">
        <v>44444</v>
      </c>
      <c r="BJ133" s="462">
        <f t="shared" si="57"/>
        <v>36364.080800000003</v>
      </c>
      <c r="BK133" s="192"/>
      <c r="BL133" s="192"/>
      <c r="BM133" s="464">
        <f t="shared" si="58"/>
        <v>0</v>
      </c>
      <c r="BN133" s="467">
        <v>1</v>
      </c>
      <c r="BO133" s="203">
        <v>56700</v>
      </c>
      <c r="BP133" s="462">
        <f t="shared" si="59"/>
        <v>46391.94</v>
      </c>
      <c r="BQ133" s="192">
        <v>1</v>
      </c>
      <c r="BR133" s="192">
        <v>56700</v>
      </c>
      <c r="BS133" s="464">
        <f t="shared" si="60"/>
        <v>46391.94</v>
      </c>
      <c r="BT133" s="467"/>
      <c r="BU133" s="203"/>
      <c r="BV133" s="462">
        <f t="shared" si="61"/>
        <v>0</v>
      </c>
      <c r="BW133" s="192"/>
      <c r="BX133" s="192"/>
      <c r="BY133" s="463">
        <f t="shared" si="62"/>
        <v>0</v>
      </c>
    </row>
    <row r="134" spans="1:77" x14ac:dyDescent="0.2">
      <c r="A134" s="273" t="s">
        <v>112</v>
      </c>
      <c r="B134" s="274" t="s">
        <v>403</v>
      </c>
      <c r="C134" s="275" t="s">
        <v>507</v>
      </c>
      <c r="D134" s="273">
        <v>140164</v>
      </c>
      <c r="E134" s="276">
        <v>4</v>
      </c>
      <c r="F134" s="234">
        <v>116</v>
      </c>
      <c r="G134" s="208">
        <v>85124.67</v>
      </c>
      <c r="H134" s="461">
        <f t="shared" si="39"/>
        <v>9874461.7200000007</v>
      </c>
      <c r="I134" s="194">
        <v>121</v>
      </c>
      <c r="J134" s="194">
        <v>83428</v>
      </c>
      <c r="K134" s="464">
        <f t="shared" si="40"/>
        <v>10094788</v>
      </c>
      <c r="L134" s="467">
        <v>153</v>
      </c>
      <c r="M134" s="203">
        <v>67266.06</v>
      </c>
      <c r="N134" s="462">
        <f t="shared" si="41"/>
        <v>10291707.18</v>
      </c>
      <c r="O134" s="192">
        <v>172</v>
      </c>
      <c r="P134" s="192">
        <v>66661</v>
      </c>
      <c r="Q134" s="464">
        <f t="shared" si="42"/>
        <v>11465692</v>
      </c>
      <c r="R134" s="467">
        <v>262</v>
      </c>
      <c r="S134" s="203">
        <v>56381.760000000002</v>
      </c>
      <c r="T134" s="462">
        <f t="shared" si="43"/>
        <v>14772021.120000001</v>
      </c>
      <c r="U134" s="191">
        <v>253</v>
      </c>
      <c r="V134" s="191">
        <v>56784</v>
      </c>
      <c r="W134" s="464">
        <f t="shared" si="44"/>
        <v>14366352</v>
      </c>
      <c r="X134" s="467">
        <v>50</v>
      </c>
      <c r="Y134" s="203">
        <v>43180</v>
      </c>
      <c r="Z134" s="462">
        <f t="shared" si="45"/>
        <v>2159000</v>
      </c>
      <c r="AA134" s="192">
        <v>34</v>
      </c>
      <c r="AB134" s="192">
        <v>43868</v>
      </c>
      <c r="AC134" s="464">
        <f t="shared" si="46"/>
        <v>1491512</v>
      </c>
      <c r="AD134" s="467">
        <v>92</v>
      </c>
      <c r="AE134" s="203">
        <v>46817.13</v>
      </c>
      <c r="AF134" s="462">
        <f t="shared" si="47"/>
        <v>4307175.96</v>
      </c>
      <c r="AG134" s="192">
        <v>111</v>
      </c>
      <c r="AH134" s="192">
        <v>46917</v>
      </c>
      <c r="AI134" s="464">
        <f t="shared" si="48"/>
        <v>5207787</v>
      </c>
      <c r="AJ134" s="467"/>
      <c r="AK134" s="203"/>
      <c r="AL134" s="462">
        <f t="shared" si="49"/>
        <v>0</v>
      </c>
      <c r="AM134" s="192"/>
      <c r="AN134" s="192"/>
      <c r="AO134" s="206">
        <f t="shared" si="50"/>
        <v>0</v>
      </c>
      <c r="AP134" s="203">
        <v>20</v>
      </c>
      <c r="AQ134" s="203">
        <v>110771.4</v>
      </c>
      <c r="AR134" s="462">
        <f t="shared" si="51"/>
        <v>1812663.1896000002</v>
      </c>
      <c r="AS134" s="192">
        <v>12</v>
      </c>
      <c r="AT134" s="192">
        <v>111616</v>
      </c>
      <c r="AU134" s="464">
        <f t="shared" si="52"/>
        <v>1095890.5344</v>
      </c>
      <c r="AV134" s="467">
        <v>8</v>
      </c>
      <c r="AW134" s="203">
        <v>95340.88</v>
      </c>
      <c r="AX134" s="462">
        <f t="shared" si="53"/>
        <v>624063.26412800001</v>
      </c>
      <c r="AY134" s="192">
        <v>7</v>
      </c>
      <c r="AZ134" s="192">
        <v>94004</v>
      </c>
      <c r="BA134" s="464">
        <f t="shared" si="54"/>
        <v>538398.50959999999</v>
      </c>
      <c r="BB134" s="467">
        <v>11</v>
      </c>
      <c r="BC134" s="203">
        <v>82994</v>
      </c>
      <c r="BD134" s="462">
        <f t="shared" si="55"/>
        <v>746962.59880000004</v>
      </c>
      <c r="BE134" s="192">
        <v>12</v>
      </c>
      <c r="BF134" s="192">
        <v>83747</v>
      </c>
      <c r="BG134" s="464">
        <f t="shared" si="56"/>
        <v>822261.54480000003</v>
      </c>
      <c r="BH134" s="467">
        <v>5</v>
      </c>
      <c r="BI134" s="203">
        <v>52482.6</v>
      </c>
      <c r="BJ134" s="462">
        <f t="shared" si="57"/>
        <v>214706.31660000002</v>
      </c>
      <c r="BK134" s="192">
        <v>1</v>
      </c>
      <c r="BL134" s="192">
        <v>85000</v>
      </c>
      <c r="BM134" s="464">
        <f t="shared" si="58"/>
        <v>69547</v>
      </c>
      <c r="BN134" s="467">
        <v>13</v>
      </c>
      <c r="BO134" s="203">
        <v>79171.62</v>
      </c>
      <c r="BP134" s="462">
        <f t="shared" si="59"/>
        <v>842116.85329200001</v>
      </c>
      <c r="BQ134" s="192">
        <v>12</v>
      </c>
      <c r="BR134" s="192">
        <v>77294</v>
      </c>
      <c r="BS134" s="464">
        <f t="shared" si="60"/>
        <v>758903.40960000001</v>
      </c>
      <c r="BT134" s="467"/>
      <c r="BU134" s="203"/>
      <c r="BV134" s="462">
        <f t="shared" si="61"/>
        <v>0</v>
      </c>
      <c r="BW134" s="192"/>
      <c r="BX134" s="192"/>
      <c r="BY134" s="463">
        <f t="shared" si="62"/>
        <v>0</v>
      </c>
    </row>
    <row r="135" spans="1:77" x14ac:dyDescent="0.2">
      <c r="A135" s="273" t="s">
        <v>112</v>
      </c>
      <c r="B135" s="274" t="s">
        <v>404</v>
      </c>
      <c r="C135" s="275" t="s">
        <v>508</v>
      </c>
      <c r="D135" s="273">
        <v>138983</v>
      </c>
      <c r="E135" s="276">
        <v>5</v>
      </c>
      <c r="F135" s="234">
        <v>59</v>
      </c>
      <c r="G135" s="208">
        <v>78371.08</v>
      </c>
      <c r="H135" s="461">
        <f t="shared" si="39"/>
        <v>4623893.72</v>
      </c>
      <c r="I135" s="194">
        <v>49</v>
      </c>
      <c r="J135" s="194">
        <v>75297</v>
      </c>
      <c r="K135" s="464">
        <f t="shared" si="40"/>
        <v>3689553</v>
      </c>
      <c r="L135" s="467">
        <v>46</v>
      </c>
      <c r="M135" s="203">
        <v>56167.15</v>
      </c>
      <c r="N135" s="462">
        <f t="shared" si="41"/>
        <v>2583688.9</v>
      </c>
      <c r="O135" s="192">
        <v>46</v>
      </c>
      <c r="P135" s="192">
        <v>56930</v>
      </c>
      <c r="Q135" s="464">
        <f t="shared" si="42"/>
        <v>2618780</v>
      </c>
      <c r="R135" s="467">
        <v>86</v>
      </c>
      <c r="S135" s="203">
        <v>54223.53</v>
      </c>
      <c r="T135" s="462">
        <f t="shared" si="43"/>
        <v>4663223.58</v>
      </c>
      <c r="U135" s="191">
        <v>83</v>
      </c>
      <c r="V135" s="191">
        <v>53343</v>
      </c>
      <c r="W135" s="464">
        <f t="shared" si="44"/>
        <v>4427469</v>
      </c>
      <c r="X135" s="467">
        <v>42</v>
      </c>
      <c r="Y135" s="203">
        <v>41273</v>
      </c>
      <c r="Z135" s="462">
        <f t="shared" si="45"/>
        <v>1733466</v>
      </c>
      <c r="AA135" s="192">
        <v>40</v>
      </c>
      <c r="AB135" s="192">
        <v>40149</v>
      </c>
      <c r="AC135" s="464">
        <f t="shared" si="46"/>
        <v>1605960</v>
      </c>
      <c r="AD135" s="467">
        <v>19</v>
      </c>
      <c r="AE135" s="203">
        <v>45017</v>
      </c>
      <c r="AF135" s="462">
        <f t="shared" si="47"/>
        <v>855323</v>
      </c>
      <c r="AG135" s="192">
        <v>20</v>
      </c>
      <c r="AH135" s="192">
        <v>44700</v>
      </c>
      <c r="AI135" s="464">
        <f t="shared" si="48"/>
        <v>894000</v>
      </c>
      <c r="AJ135" s="467"/>
      <c r="AK135" s="203"/>
      <c r="AL135" s="462">
        <f t="shared" si="49"/>
        <v>0</v>
      </c>
      <c r="AM135" s="192"/>
      <c r="AN135" s="192"/>
      <c r="AO135" s="206">
        <f t="shared" si="50"/>
        <v>0</v>
      </c>
      <c r="AP135" s="203">
        <v>2</v>
      </c>
      <c r="AQ135" s="203">
        <v>85989</v>
      </c>
      <c r="AR135" s="462">
        <f t="shared" si="51"/>
        <v>140712.3996</v>
      </c>
      <c r="AS135" s="192">
        <v>1</v>
      </c>
      <c r="AT135" s="192">
        <v>83013</v>
      </c>
      <c r="AU135" s="464">
        <f t="shared" si="52"/>
        <v>67921.236600000004</v>
      </c>
      <c r="AV135" s="467"/>
      <c r="AW135" s="203"/>
      <c r="AX135" s="462">
        <f t="shared" si="53"/>
        <v>0</v>
      </c>
      <c r="AY135" s="192">
        <v>1</v>
      </c>
      <c r="AZ135" s="192">
        <v>68953</v>
      </c>
      <c r="BA135" s="464">
        <f t="shared" si="54"/>
        <v>56417.344600000004</v>
      </c>
      <c r="BB135" s="467"/>
      <c r="BC135" s="203"/>
      <c r="BD135" s="462">
        <f t="shared" si="55"/>
        <v>0</v>
      </c>
      <c r="BE135" s="192"/>
      <c r="BF135" s="192"/>
      <c r="BG135" s="464">
        <f t="shared" si="56"/>
        <v>0</v>
      </c>
      <c r="BH135" s="467">
        <v>1</v>
      </c>
      <c r="BI135" s="203">
        <v>68562</v>
      </c>
      <c r="BJ135" s="462">
        <f t="shared" si="57"/>
        <v>56097.428400000004</v>
      </c>
      <c r="BK135" s="192">
        <v>1</v>
      </c>
      <c r="BL135" s="192">
        <v>68562</v>
      </c>
      <c r="BM135" s="464">
        <f t="shared" si="58"/>
        <v>56097.428400000004</v>
      </c>
      <c r="BN135" s="467"/>
      <c r="BO135" s="203"/>
      <c r="BP135" s="462">
        <f t="shared" si="59"/>
        <v>0</v>
      </c>
      <c r="BQ135" s="192"/>
      <c r="BR135" s="192"/>
      <c r="BS135" s="464">
        <f t="shared" si="60"/>
        <v>0</v>
      </c>
      <c r="BT135" s="467"/>
      <c r="BU135" s="203"/>
      <c r="BV135" s="462">
        <f t="shared" si="61"/>
        <v>0</v>
      </c>
      <c r="BW135" s="192"/>
      <c r="BX135" s="192"/>
      <c r="BY135" s="463">
        <f t="shared" si="62"/>
        <v>0</v>
      </c>
    </row>
    <row r="136" spans="1:77" x14ac:dyDescent="0.2">
      <c r="A136" s="273" t="s">
        <v>112</v>
      </c>
      <c r="B136" s="274" t="s">
        <v>409</v>
      </c>
      <c r="C136" s="337" t="s">
        <v>509</v>
      </c>
      <c r="D136" s="273">
        <v>139311</v>
      </c>
      <c r="E136" s="338">
        <v>5</v>
      </c>
      <c r="F136" s="234">
        <v>22</v>
      </c>
      <c r="G136" s="208">
        <v>78552.45</v>
      </c>
      <c r="H136" s="461">
        <f t="shared" si="39"/>
        <v>1728153.9</v>
      </c>
      <c r="I136" s="194">
        <v>19</v>
      </c>
      <c r="J136" s="194">
        <v>81774</v>
      </c>
      <c r="K136" s="464">
        <f t="shared" si="40"/>
        <v>1553706</v>
      </c>
      <c r="L136" s="467">
        <v>64</v>
      </c>
      <c r="M136" s="203">
        <v>61469.09</v>
      </c>
      <c r="N136" s="462">
        <f t="shared" si="41"/>
        <v>3934021.76</v>
      </c>
      <c r="O136" s="192">
        <v>68</v>
      </c>
      <c r="P136" s="192">
        <v>61636</v>
      </c>
      <c r="Q136" s="464">
        <f t="shared" si="42"/>
        <v>4191248</v>
      </c>
      <c r="R136" s="467">
        <v>67</v>
      </c>
      <c r="S136" s="203">
        <v>55015.03</v>
      </c>
      <c r="T136" s="462">
        <f t="shared" si="43"/>
        <v>3686007.01</v>
      </c>
      <c r="U136" s="191">
        <v>69</v>
      </c>
      <c r="V136" s="191">
        <v>55482</v>
      </c>
      <c r="W136" s="464">
        <f t="shared" si="44"/>
        <v>3828258</v>
      </c>
      <c r="X136" s="467">
        <v>7</v>
      </c>
      <c r="Y136" s="203">
        <v>50128.29</v>
      </c>
      <c r="Z136" s="462">
        <f t="shared" si="45"/>
        <v>350898.03</v>
      </c>
      <c r="AA136" s="192">
        <v>8</v>
      </c>
      <c r="AB136" s="192">
        <v>51375</v>
      </c>
      <c r="AC136" s="464">
        <f t="shared" si="46"/>
        <v>411000</v>
      </c>
      <c r="AD136" s="467">
        <v>23</v>
      </c>
      <c r="AE136" s="203">
        <v>50707.09</v>
      </c>
      <c r="AF136" s="462">
        <f t="shared" si="47"/>
        <v>1166263.0699999998</v>
      </c>
      <c r="AG136" s="192">
        <v>31</v>
      </c>
      <c r="AH136" s="192">
        <v>49962</v>
      </c>
      <c r="AI136" s="464">
        <f t="shared" si="48"/>
        <v>1548822</v>
      </c>
      <c r="AJ136" s="467"/>
      <c r="AK136" s="203"/>
      <c r="AL136" s="462">
        <f t="shared" si="49"/>
        <v>0</v>
      </c>
      <c r="AM136" s="192"/>
      <c r="AN136" s="192"/>
      <c r="AO136" s="206">
        <f t="shared" si="50"/>
        <v>0</v>
      </c>
      <c r="AP136" s="203">
        <v>15</v>
      </c>
      <c r="AQ136" s="203">
        <v>109044.2</v>
      </c>
      <c r="AR136" s="462">
        <f t="shared" si="51"/>
        <v>1338299.4666000002</v>
      </c>
      <c r="AS136" s="192">
        <v>15</v>
      </c>
      <c r="AT136" s="192">
        <v>107307</v>
      </c>
      <c r="AU136" s="464">
        <f t="shared" si="52"/>
        <v>1316978.811</v>
      </c>
      <c r="AV136" s="467">
        <v>11</v>
      </c>
      <c r="AW136" s="203">
        <v>82956.45</v>
      </c>
      <c r="AX136" s="462">
        <f t="shared" si="53"/>
        <v>746624.64128999994</v>
      </c>
      <c r="AY136" s="192">
        <v>8</v>
      </c>
      <c r="AZ136" s="192">
        <v>91174</v>
      </c>
      <c r="BA136" s="464">
        <f t="shared" si="54"/>
        <v>596788.5344</v>
      </c>
      <c r="BB136" s="467">
        <v>4</v>
      </c>
      <c r="BC136" s="203">
        <v>79304.25</v>
      </c>
      <c r="BD136" s="462">
        <f t="shared" si="55"/>
        <v>259546.94940000001</v>
      </c>
      <c r="BE136" s="192">
        <v>5</v>
      </c>
      <c r="BF136" s="192">
        <v>72755</v>
      </c>
      <c r="BG136" s="464">
        <f t="shared" si="56"/>
        <v>297640.70500000002</v>
      </c>
      <c r="BH136" s="467"/>
      <c r="BI136" s="203"/>
      <c r="BJ136" s="462">
        <f t="shared" si="57"/>
        <v>0</v>
      </c>
      <c r="BK136" s="192"/>
      <c r="BL136" s="192"/>
      <c r="BM136" s="464">
        <f t="shared" si="58"/>
        <v>0</v>
      </c>
      <c r="BN136" s="467"/>
      <c r="BO136" s="203"/>
      <c r="BP136" s="462">
        <f t="shared" si="59"/>
        <v>0</v>
      </c>
      <c r="BQ136" s="192"/>
      <c r="BR136" s="192"/>
      <c r="BS136" s="464">
        <f t="shared" si="60"/>
        <v>0</v>
      </c>
      <c r="BT136" s="467"/>
      <c r="BU136" s="203"/>
      <c r="BV136" s="462">
        <f t="shared" si="61"/>
        <v>0</v>
      </c>
      <c r="BW136" s="192"/>
      <c r="BX136" s="192"/>
      <c r="BY136" s="463">
        <f t="shared" si="62"/>
        <v>0</v>
      </c>
    </row>
    <row r="137" spans="1:77" x14ac:dyDescent="0.2">
      <c r="A137" s="273" t="s">
        <v>112</v>
      </c>
      <c r="B137" s="274" t="s">
        <v>405</v>
      </c>
      <c r="C137" s="275"/>
      <c r="D137" s="273">
        <v>139719</v>
      </c>
      <c r="E137" s="276">
        <v>5</v>
      </c>
      <c r="F137" s="234">
        <v>20</v>
      </c>
      <c r="G137" s="208">
        <v>75069.600000000006</v>
      </c>
      <c r="H137" s="461">
        <f t="shared" ref="H137:H200" si="63">F137*G137</f>
        <v>1501392</v>
      </c>
      <c r="I137" s="194">
        <v>19</v>
      </c>
      <c r="J137" s="194">
        <v>74120</v>
      </c>
      <c r="K137" s="464">
        <f t="shared" ref="K137:K200" si="64">I137*J137</f>
        <v>1408280</v>
      </c>
      <c r="L137" s="467">
        <v>24</v>
      </c>
      <c r="M137" s="203">
        <v>57973.63</v>
      </c>
      <c r="N137" s="462">
        <f t="shared" ref="N137:N200" si="65">L137*M137</f>
        <v>1391367.1199999999</v>
      </c>
      <c r="O137" s="192">
        <v>28</v>
      </c>
      <c r="P137" s="192">
        <v>57722</v>
      </c>
      <c r="Q137" s="464">
        <f t="shared" ref="Q137:Q200" si="66">O137*P137</f>
        <v>1616216</v>
      </c>
      <c r="R137" s="467">
        <v>55</v>
      </c>
      <c r="S137" s="203">
        <v>50428.639999999999</v>
      </c>
      <c r="T137" s="462">
        <f t="shared" ref="T137:T200" si="67">R137*S137</f>
        <v>2773575.2</v>
      </c>
      <c r="U137" s="191">
        <v>52</v>
      </c>
      <c r="V137" s="191">
        <v>50316</v>
      </c>
      <c r="W137" s="464">
        <f t="shared" ref="W137:W200" si="68">U137*V137</f>
        <v>2616432</v>
      </c>
      <c r="X137" s="467">
        <v>6</v>
      </c>
      <c r="Y137" s="203">
        <v>43571.67</v>
      </c>
      <c r="Z137" s="462">
        <f t="shared" ref="Z137:Z200" si="69">X137*Y137</f>
        <v>261430.02</v>
      </c>
      <c r="AA137" s="192">
        <v>5</v>
      </c>
      <c r="AB137" s="192">
        <v>43587</v>
      </c>
      <c r="AC137" s="464">
        <f t="shared" ref="AC137:AC200" si="70">AA137*AB137</f>
        <v>217935</v>
      </c>
      <c r="AD137" s="467">
        <v>0</v>
      </c>
      <c r="AE137" s="203">
        <v>0</v>
      </c>
      <c r="AF137" s="462">
        <f t="shared" ref="AF137:AF200" si="71">AD137*AE137</f>
        <v>0</v>
      </c>
      <c r="AG137" s="192"/>
      <c r="AH137" s="192"/>
      <c r="AI137" s="464">
        <f t="shared" ref="AI137:AI200" si="72">AG137*AH137</f>
        <v>0</v>
      </c>
      <c r="AJ137" s="467"/>
      <c r="AK137" s="203"/>
      <c r="AL137" s="462">
        <f t="shared" ref="AL137:AL200" si="73">AJ137*AK137</f>
        <v>0</v>
      </c>
      <c r="AM137" s="192"/>
      <c r="AN137" s="192"/>
      <c r="AO137" s="206">
        <f t="shared" ref="AO137:AO200" si="74">AM137*AN137</f>
        <v>0</v>
      </c>
      <c r="AP137" s="203">
        <v>26</v>
      </c>
      <c r="AQ137" s="203">
        <v>89467.19</v>
      </c>
      <c r="AR137" s="462">
        <f t="shared" ref="AR137:AR200" si="75">(AP137*AQ137)*0.8182</f>
        <v>1903253.426308</v>
      </c>
      <c r="AS137" s="192">
        <v>28</v>
      </c>
      <c r="AT137" s="192">
        <v>89364</v>
      </c>
      <c r="AU137" s="464">
        <f t="shared" ref="AU137:AU200" si="76">(AS137*AT137)*0.8182</f>
        <v>2047293.4944000002</v>
      </c>
      <c r="AV137" s="467">
        <v>2</v>
      </c>
      <c r="AW137" s="203">
        <v>32126</v>
      </c>
      <c r="AX137" s="462">
        <f t="shared" ref="AX137:AX200" si="77">(AV137*AW137)*0.8182</f>
        <v>52570.986400000002</v>
      </c>
      <c r="AY137" s="192"/>
      <c r="AZ137" s="192"/>
      <c r="BA137" s="464">
        <f t="shared" ref="BA137:BA200" si="78">(AY137*AZ137)*0.8182</f>
        <v>0</v>
      </c>
      <c r="BB137" s="467">
        <v>4</v>
      </c>
      <c r="BC137" s="203">
        <v>61585</v>
      </c>
      <c r="BD137" s="462">
        <f t="shared" ref="BD137:BD200" si="79">(BB137*BC137)*0.8182</f>
        <v>201555.38800000001</v>
      </c>
      <c r="BE137" s="192">
        <v>11</v>
      </c>
      <c r="BF137" s="192">
        <v>61881</v>
      </c>
      <c r="BG137" s="464">
        <f t="shared" ref="BG137:BG200" si="80">(BE137*BF137)*0.8182</f>
        <v>556941.37620000006</v>
      </c>
      <c r="BH137" s="467"/>
      <c r="BI137" s="203"/>
      <c r="BJ137" s="462">
        <f t="shared" ref="BJ137:BJ200" si="81">(BH137*BI137)*0.8182</f>
        <v>0</v>
      </c>
      <c r="BK137" s="192"/>
      <c r="BL137" s="192"/>
      <c r="BM137" s="464">
        <f t="shared" ref="BM137:BM200" si="82">(BK137*BL137)*0.8182</f>
        <v>0</v>
      </c>
      <c r="BN137" s="467"/>
      <c r="BO137" s="203"/>
      <c r="BP137" s="462">
        <f t="shared" ref="BP137:BP200" si="83">(BN137*BO137)*0.8182</f>
        <v>0</v>
      </c>
      <c r="BQ137" s="192"/>
      <c r="BR137" s="192"/>
      <c r="BS137" s="464">
        <f t="shared" ref="BS137:BS200" si="84">(BQ137*BR137)*0.8182</f>
        <v>0</v>
      </c>
      <c r="BT137" s="467"/>
      <c r="BU137" s="203"/>
      <c r="BV137" s="462">
        <f t="shared" ref="BV137:BV200" si="85">(BT137*BU137)*0.8182</f>
        <v>0</v>
      </c>
      <c r="BW137" s="192"/>
      <c r="BX137" s="192"/>
      <c r="BY137" s="463">
        <f t="shared" ref="BY137:BY200" si="86">(BW137*BX137)*0.8182</f>
        <v>0</v>
      </c>
    </row>
    <row r="138" spans="1:77" x14ac:dyDescent="0.2">
      <c r="A138" s="273" t="s">
        <v>112</v>
      </c>
      <c r="B138" s="274" t="s">
        <v>406</v>
      </c>
      <c r="C138" s="275"/>
      <c r="D138" s="273">
        <v>139764</v>
      </c>
      <c r="E138" s="276">
        <v>5</v>
      </c>
      <c r="F138" s="234">
        <v>18</v>
      </c>
      <c r="G138" s="208">
        <v>71464</v>
      </c>
      <c r="H138" s="461">
        <f t="shared" si="63"/>
        <v>1286352</v>
      </c>
      <c r="I138" s="194">
        <v>21</v>
      </c>
      <c r="J138" s="194">
        <v>67714</v>
      </c>
      <c r="K138" s="464">
        <f t="shared" si="64"/>
        <v>1421994</v>
      </c>
      <c r="L138" s="467">
        <v>27</v>
      </c>
      <c r="M138" s="203">
        <v>60662.78</v>
      </c>
      <c r="N138" s="462">
        <f t="shared" si="65"/>
        <v>1637895.06</v>
      </c>
      <c r="O138" s="192">
        <v>28</v>
      </c>
      <c r="P138" s="192">
        <v>60609</v>
      </c>
      <c r="Q138" s="464">
        <f t="shared" si="66"/>
        <v>1697052</v>
      </c>
      <c r="R138" s="467">
        <v>38</v>
      </c>
      <c r="S138" s="203">
        <v>50241.05</v>
      </c>
      <c r="T138" s="462">
        <f t="shared" si="67"/>
        <v>1909159.9000000001</v>
      </c>
      <c r="U138" s="191">
        <v>34</v>
      </c>
      <c r="V138" s="191">
        <v>49877</v>
      </c>
      <c r="W138" s="464">
        <f t="shared" si="68"/>
        <v>1695818</v>
      </c>
      <c r="X138" s="467">
        <v>8</v>
      </c>
      <c r="Y138" s="203">
        <v>48118</v>
      </c>
      <c r="Z138" s="462">
        <f t="shared" si="69"/>
        <v>384944</v>
      </c>
      <c r="AA138" s="192">
        <v>8</v>
      </c>
      <c r="AB138" s="192">
        <v>48775</v>
      </c>
      <c r="AC138" s="464">
        <f t="shared" si="70"/>
        <v>390200</v>
      </c>
      <c r="AD138" s="467">
        <v>10</v>
      </c>
      <c r="AE138" s="203">
        <v>42611.6</v>
      </c>
      <c r="AF138" s="462">
        <f t="shared" si="71"/>
        <v>426116</v>
      </c>
      <c r="AG138" s="192">
        <v>16</v>
      </c>
      <c r="AH138" s="192">
        <v>44447</v>
      </c>
      <c r="AI138" s="464">
        <f t="shared" si="72"/>
        <v>711152</v>
      </c>
      <c r="AJ138" s="467"/>
      <c r="AK138" s="203"/>
      <c r="AL138" s="462">
        <f t="shared" si="73"/>
        <v>0</v>
      </c>
      <c r="AM138" s="192"/>
      <c r="AN138" s="192"/>
      <c r="AO138" s="206">
        <f t="shared" si="74"/>
        <v>0</v>
      </c>
      <c r="AP138" s="203">
        <v>1</v>
      </c>
      <c r="AQ138" s="203">
        <v>89742</v>
      </c>
      <c r="AR138" s="462">
        <f t="shared" si="75"/>
        <v>73426.904399999999</v>
      </c>
      <c r="AS138" s="192"/>
      <c r="AT138" s="192"/>
      <c r="AU138" s="464">
        <f t="shared" si="76"/>
        <v>0</v>
      </c>
      <c r="AV138" s="467"/>
      <c r="AW138" s="203"/>
      <c r="AX138" s="462">
        <f t="shared" si="77"/>
        <v>0</v>
      </c>
      <c r="AY138" s="192"/>
      <c r="AZ138" s="192"/>
      <c r="BA138" s="464">
        <f t="shared" si="78"/>
        <v>0</v>
      </c>
      <c r="BB138" s="467"/>
      <c r="BC138" s="203"/>
      <c r="BD138" s="462">
        <f t="shared" si="79"/>
        <v>0</v>
      </c>
      <c r="BE138" s="192"/>
      <c r="BF138" s="192"/>
      <c r="BG138" s="464">
        <f t="shared" si="80"/>
        <v>0</v>
      </c>
      <c r="BH138" s="467"/>
      <c r="BI138" s="203"/>
      <c r="BJ138" s="462">
        <f t="shared" si="81"/>
        <v>0</v>
      </c>
      <c r="BK138" s="192"/>
      <c r="BL138" s="192"/>
      <c r="BM138" s="464">
        <f t="shared" si="82"/>
        <v>0</v>
      </c>
      <c r="BN138" s="467"/>
      <c r="BO138" s="203"/>
      <c r="BP138" s="462">
        <f t="shared" si="83"/>
        <v>0</v>
      </c>
      <c r="BQ138" s="192"/>
      <c r="BR138" s="192"/>
      <c r="BS138" s="464">
        <f t="shared" si="84"/>
        <v>0</v>
      </c>
      <c r="BT138" s="467"/>
      <c r="BU138" s="203"/>
      <c r="BV138" s="462">
        <f t="shared" si="85"/>
        <v>0</v>
      </c>
      <c r="BW138" s="192"/>
      <c r="BX138" s="192"/>
      <c r="BY138" s="463">
        <f t="shared" si="86"/>
        <v>0</v>
      </c>
    </row>
    <row r="139" spans="1:77" x14ac:dyDescent="0.2">
      <c r="A139" s="273" t="s">
        <v>112</v>
      </c>
      <c r="B139" s="274" t="s">
        <v>407</v>
      </c>
      <c r="C139" s="275" t="s">
        <v>508</v>
      </c>
      <c r="D139" s="273">
        <v>140669</v>
      </c>
      <c r="E139" s="276">
        <v>5</v>
      </c>
      <c r="F139" s="234">
        <v>32</v>
      </c>
      <c r="G139" s="208">
        <v>72280.63</v>
      </c>
      <c r="H139" s="461">
        <f t="shared" si="63"/>
        <v>2312980.16</v>
      </c>
      <c r="I139" s="194">
        <v>34</v>
      </c>
      <c r="J139" s="194">
        <v>72058</v>
      </c>
      <c r="K139" s="464">
        <f t="shared" si="64"/>
        <v>2449972</v>
      </c>
      <c r="L139" s="467">
        <v>61</v>
      </c>
      <c r="M139" s="203">
        <v>63312.33</v>
      </c>
      <c r="N139" s="462">
        <f t="shared" si="65"/>
        <v>3862052.13</v>
      </c>
      <c r="O139" s="192">
        <v>67</v>
      </c>
      <c r="P139" s="192">
        <v>64255</v>
      </c>
      <c r="Q139" s="464">
        <f t="shared" si="66"/>
        <v>4305085</v>
      </c>
      <c r="R139" s="467">
        <v>86</v>
      </c>
      <c r="S139" s="203">
        <v>52350.09</v>
      </c>
      <c r="T139" s="462">
        <f t="shared" si="67"/>
        <v>4502107.7399999993</v>
      </c>
      <c r="U139" s="191">
        <v>82</v>
      </c>
      <c r="V139" s="191">
        <v>51230</v>
      </c>
      <c r="W139" s="464">
        <f t="shared" si="68"/>
        <v>4200860</v>
      </c>
      <c r="X139" s="467">
        <v>30</v>
      </c>
      <c r="Y139" s="203">
        <v>42942.6</v>
      </c>
      <c r="Z139" s="462">
        <f t="shared" si="69"/>
        <v>1288278</v>
      </c>
      <c r="AA139" s="192">
        <v>31</v>
      </c>
      <c r="AB139" s="192">
        <v>43300</v>
      </c>
      <c r="AC139" s="464">
        <f t="shared" si="70"/>
        <v>1342300</v>
      </c>
      <c r="AD139" s="467">
        <v>5</v>
      </c>
      <c r="AE139" s="203">
        <v>39678.199999999997</v>
      </c>
      <c r="AF139" s="462">
        <f t="shared" si="71"/>
        <v>198391</v>
      </c>
      <c r="AG139" s="192">
        <v>11</v>
      </c>
      <c r="AH139" s="192">
        <v>40712</v>
      </c>
      <c r="AI139" s="464">
        <f t="shared" si="72"/>
        <v>447832</v>
      </c>
      <c r="AJ139" s="467"/>
      <c r="AK139" s="203"/>
      <c r="AL139" s="462">
        <f t="shared" si="73"/>
        <v>0</v>
      </c>
      <c r="AM139" s="192"/>
      <c r="AN139" s="192"/>
      <c r="AO139" s="206">
        <f t="shared" si="74"/>
        <v>0</v>
      </c>
      <c r="AP139" s="203">
        <v>12</v>
      </c>
      <c r="AQ139" s="203">
        <v>97398.42</v>
      </c>
      <c r="AR139" s="462">
        <f t="shared" si="75"/>
        <v>956296.64692800003</v>
      </c>
      <c r="AS139" s="192">
        <v>10</v>
      </c>
      <c r="AT139" s="192">
        <v>100560</v>
      </c>
      <c r="AU139" s="464">
        <f t="shared" si="76"/>
        <v>822781.92</v>
      </c>
      <c r="AV139" s="467">
        <v>4</v>
      </c>
      <c r="AW139" s="203">
        <v>87448.5</v>
      </c>
      <c r="AX139" s="462">
        <f t="shared" si="77"/>
        <v>286201.45079999999</v>
      </c>
      <c r="AY139" s="192">
        <v>5</v>
      </c>
      <c r="AZ139" s="192">
        <v>84731</v>
      </c>
      <c r="BA139" s="464">
        <f t="shared" si="78"/>
        <v>346634.52100000001</v>
      </c>
      <c r="BB139" s="467">
        <v>5</v>
      </c>
      <c r="BC139" s="203">
        <v>74292.2</v>
      </c>
      <c r="BD139" s="462">
        <f t="shared" si="79"/>
        <v>303929.39020000002</v>
      </c>
      <c r="BE139" s="192">
        <v>6</v>
      </c>
      <c r="BF139" s="192">
        <v>63768</v>
      </c>
      <c r="BG139" s="464">
        <f t="shared" si="80"/>
        <v>313049.86560000002</v>
      </c>
      <c r="BH139" s="467">
        <v>3</v>
      </c>
      <c r="BI139" s="203">
        <v>66667</v>
      </c>
      <c r="BJ139" s="462">
        <f t="shared" si="81"/>
        <v>163640.81820000001</v>
      </c>
      <c r="BK139" s="192">
        <v>2</v>
      </c>
      <c r="BL139" s="192">
        <v>82500</v>
      </c>
      <c r="BM139" s="464">
        <f t="shared" si="82"/>
        <v>135003</v>
      </c>
      <c r="BN139" s="467"/>
      <c r="BO139" s="203"/>
      <c r="BP139" s="462">
        <f t="shared" si="83"/>
        <v>0</v>
      </c>
      <c r="BQ139" s="192"/>
      <c r="BR139" s="192"/>
      <c r="BS139" s="464">
        <f t="shared" si="84"/>
        <v>0</v>
      </c>
      <c r="BT139" s="467"/>
      <c r="BU139" s="203"/>
      <c r="BV139" s="462">
        <f t="shared" si="85"/>
        <v>0</v>
      </c>
      <c r="BW139" s="192"/>
      <c r="BX139" s="192"/>
      <c r="BY139" s="463">
        <f t="shared" si="86"/>
        <v>0</v>
      </c>
    </row>
    <row r="140" spans="1:77" x14ac:dyDescent="0.2">
      <c r="A140" s="273" t="s">
        <v>112</v>
      </c>
      <c r="B140" s="274" t="s">
        <v>408</v>
      </c>
      <c r="C140" s="275"/>
      <c r="D140" s="273">
        <v>140960</v>
      </c>
      <c r="E140" s="276">
        <v>5</v>
      </c>
      <c r="F140" s="234">
        <v>28</v>
      </c>
      <c r="G140" s="208">
        <v>72334.789999999994</v>
      </c>
      <c r="H140" s="461">
        <f t="shared" si="63"/>
        <v>2025374.1199999999</v>
      </c>
      <c r="I140" s="194">
        <v>18</v>
      </c>
      <c r="J140" s="194">
        <v>72379</v>
      </c>
      <c r="K140" s="464">
        <f t="shared" si="64"/>
        <v>1302822</v>
      </c>
      <c r="L140" s="467">
        <v>35</v>
      </c>
      <c r="M140" s="203">
        <v>62297.51</v>
      </c>
      <c r="N140" s="462">
        <f t="shared" si="65"/>
        <v>2180412.85</v>
      </c>
      <c r="O140" s="192">
        <v>30</v>
      </c>
      <c r="P140" s="192">
        <v>63950</v>
      </c>
      <c r="Q140" s="464">
        <f t="shared" si="66"/>
        <v>1918500</v>
      </c>
      <c r="R140" s="467">
        <v>48</v>
      </c>
      <c r="S140" s="203">
        <v>53015.75</v>
      </c>
      <c r="T140" s="462">
        <f t="shared" si="67"/>
        <v>2544756</v>
      </c>
      <c r="U140" s="191">
        <v>62</v>
      </c>
      <c r="V140" s="191">
        <v>53674</v>
      </c>
      <c r="W140" s="464">
        <f t="shared" si="68"/>
        <v>3327788</v>
      </c>
      <c r="X140" s="467">
        <v>23</v>
      </c>
      <c r="Y140" s="203">
        <v>39164.300000000003</v>
      </c>
      <c r="Z140" s="462">
        <f t="shared" si="69"/>
        <v>900778.9</v>
      </c>
      <c r="AA140" s="192">
        <v>25</v>
      </c>
      <c r="AB140" s="192">
        <v>40076</v>
      </c>
      <c r="AC140" s="464">
        <f t="shared" si="70"/>
        <v>1001900</v>
      </c>
      <c r="AD140" s="467">
        <v>15</v>
      </c>
      <c r="AE140" s="203">
        <v>40085.730000000003</v>
      </c>
      <c r="AF140" s="462">
        <f t="shared" si="71"/>
        <v>601285.95000000007</v>
      </c>
      <c r="AG140" s="192">
        <v>17</v>
      </c>
      <c r="AH140" s="192">
        <v>42028</v>
      </c>
      <c r="AI140" s="464">
        <f t="shared" si="72"/>
        <v>714476</v>
      </c>
      <c r="AJ140" s="467"/>
      <c r="AK140" s="203"/>
      <c r="AL140" s="462">
        <f t="shared" si="73"/>
        <v>0</v>
      </c>
      <c r="AM140" s="192"/>
      <c r="AN140" s="192"/>
      <c r="AO140" s="206">
        <f t="shared" si="74"/>
        <v>0</v>
      </c>
      <c r="AP140" s="203"/>
      <c r="AQ140" s="203"/>
      <c r="AR140" s="462">
        <f t="shared" si="75"/>
        <v>0</v>
      </c>
      <c r="AS140" s="192"/>
      <c r="AT140" s="192"/>
      <c r="AU140" s="464">
        <f t="shared" si="76"/>
        <v>0</v>
      </c>
      <c r="AV140" s="467">
        <v>2</v>
      </c>
      <c r="AW140" s="203">
        <v>65442</v>
      </c>
      <c r="AX140" s="462">
        <f t="shared" si="77"/>
        <v>107089.28880000001</v>
      </c>
      <c r="AY140" s="192">
        <v>2</v>
      </c>
      <c r="AZ140" s="192">
        <v>66442</v>
      </c>
      <c r="BA140" s="464">
        <f t="shared" si="78"/>
        <v>108725.6888</v>
      </c>
      <c r="BB140" s="467">
        <v>5</v>
      </c>
      <c r="BC140" s="203">
        <v>57596.800000000003</v>
      </c>
      <c r="BD140" s="462">
        <f t="shared" si="79"/>
        <v>235628.50880000001</v>
      </c>
      <c r="BE140" s="192">
        <v>5</v>
      </c>
      <c r="BF140" s="192">
        <v>52408</v>
      </c>
      <c r="BG140" s="464">
        <f t="shared" si="80"/>
        <v>214401.128</v>
      </c>
      <c r="BH140" s="467">
        <v>1</v>
      </c>
      <c r="BI140" s="203">
        <v>48000</v>
      </c>
      <c r="BJ140" s="462">
        <f t="shared" si="81"/>
        <v>39273.599999999999</v>
      </c>
      <c r="BK140" s="192">
        <v>2</v>
      </c>
      <c r="BL140" s="192">
        <v>40000</v>
      </c>
      <c r="BM140" s="464">
        <f t="shared" si="82"/>
        <v>65456</v>
      </c>
      <c r="BN140" s="467"/>
      <c r="BO140" s="203"/>
      <c r="BP140" s="462">
        <f t="shared" si="83"/>
        <v>0</v>
      </c>
      <c r="BQ140" s="192">
        <v>1</v>
      </c>
      <c r="BR140" s="192">
        <v>50000</v>
      </c>
      <c r="BS140" s="464">
        <f t="shared" si="84"/>
        <v>40910</v>
      </c>
      <c r="BT140" s="467"/>
      <c r="BU140" s="203"/>
      <c r="BV140" s="462">
        <f t="shared" si="85"/>
        <v>0</v>
      </c>
      <c r="BW140" s="192"/>
      <c r="BX140" s="192"/>
      <c r="BY140" s="463">
        <f t="shared" si="86"/>
        <v>0</v>
      </c>
    </row>
    <row r="141" spans="1:77" x14ac:dyDescent="0.2">
      <c r="A141" s="273" t="s">
        <v>112</v>
      </c>
      <c r="B141" s="274" t="s">
        <v>425</v>
      </c>
      <c r="C141" s="337" t="s">
        <v>510</v>
      </c>
      <c r="D141" s="273">
        <v>447689</v>
      </c>
      <c r="E141" s="338">
        <v>6</v>
      </c>
      <c r="F141" s="234">
        <v>11</v>
      </c>
      <c r="G141" s="208">
        <v>107083</v>
      </c>
      <c r="H141" s="461">
        <f t="shared" si="63"/>
        <v>1177913</v>
      </c>
      <c r="I141" s="194">
        <v>15</v>
      </c>
      <c r="J141" s="194">
        <v>103705</v>
      </c>
      <c r="K141" s="464">
        <f t="shared" si="64"/>
        <v>1555575</v>
      </c>
      <c r="L141" s="467">
        <v>30</v>
      </c>
      <c r="M141" s="203">
        <v>77710.399999999994</v>
      </c>
      <c r="N141" s="462">
        <f t="shared" si="65"/>
        <v>2331312</v>
      </c>
      <c r="O141" s="192">
        <v>55</v>
      </c>
      <c r="P141" s="192">
        <v>72764</v>
      </c>
      <c r="Q141" s="464">
        <f t="shared" si="66"/>
        <v>4002020</v>
      </c>
      <c r="R141" s="467">
        <v>142</v>
      </c>
      <c r="S141" s="203">
        <v>60739.5</v>
      </c>
      <c r="T141" s="462">
        <f t="shared" si="67"/>
        <v>8625009</v>
      </c>
      <c r="U141" s="191">
        <v>214</v>
      </c>
      <c r="V141" s="191">
        <v>61220</v>
      </c>
      <c r="W141" s="464">
        <f t="shared" si="68"/>
        <v>13101080</v>
      </c>
      <c r="X141" s="467">
        <v>10</v>
      </c>
      <c r="Y141" s="203">
        <v>47403.199999999997</v>
      </c>
      <c r="Z141" s="462">
        <f t="shared" si="69"/>
        <v>474032</v>
      </c>
      <c r="AA141" s="192">
        <v>16</v>
      </c>
      <c r="AB141" s="192">
        <v>50465</v>
      </c>
      <c r="AC141" s="464">
        <f t="shared" si="70"/>
        <v>807440</v>
      </c>
      <c r="AD141" s="467"/>
      <c r="AE141" s="203"/>
      <c r="AF141" s="462">
        <f t="shared" si="71"/>
        <v>0</v>
      </c>
      <c r="AG141" s="192"/>
      <c r="AH141" s="192"/>
      <c r="AI141" s="464">
        <f t="shared" si="72"/>
        <v>0</v>
      </c>
      <c r="AJ141" s="467"/>
      <c r="AK141" s="203"/>
      <c r="AL141" s="462">
        <f t="shared" si="73"/>
        <v>0</v>
      </c>
      <c r="AM141" s="192"/>
      <c r="AN141" s="192"/>
      <c r="AO141" s="206">
        <f t="shared" si="74"/>
        <v>0</v>
      </c>
      <c r="AP141" s="203"/>
      <c r="AQ141" s="203"/>
      <c r="AR141" s="462">
        <f t="shared" si="75"/>
        <v>0</v>
      </c>
      <c r="AS141" s="192"/>
      <c r="AT141" s="192"/>
      <c r="AU141" s="464">
        <f t="shared" si="76"/>
        <v>0</v>
      </c>
      <c r="AV141" s="467"/>
      <c r="AW141" s="203"/>
      <c r="AX141" s="462">
        <f t="shared" si="77"/>
        <v>0</v>
      </c>
      <c r="AY141" s="192"/>
      <c r="AZ141" s="192"/>
      <c r="BA141" s="464">
        <f t="shared" si="78"/>
        <v>0</v>
      </c>
      <c r="BB141" s="467">
        <v>6</v>
      </c>
      <c r="BC141" s="203">
        <v>53881.5</v>
      </c>
      <c r="BD141" s="462">
        <f t="shared" si="79"/>
        <v>264515.05979999999</v>
      </c>
      <c r="BE141" s="192">
        <v>6</v>
      </c>
      <c r="BF141" s="192">
        <v>53882</v>
      </c>
      <c r="BG141" s="464">
        <f t="shared" si="80"/>
        <v>264517.51439999999</v>
      </c>
      <c r="BH141" s="467">
        <v>3</v>
      </c>
      <c r="BI141" s="203">
        <v>43237</v>
      </c>
      <c r="BJ141" s="462">
        <f t="shared" si="81"/>
        <v>106129.5402</v>
      </c>
      <c r="BK141" s="192">
        <v>2</v>
      </c>
      <c r="BL141" s="192">
        <v>42025</v>
      </c>
      <c r="BM141" s="464">
        <f t="shared" si="82"/>
        <v>68769.710000000006</v>
      </c>
      <c r="BN141" s="467"/>
      <c r="BO141" s="203"/>
      <c r="BP141" s="462">
        <f t="shared" si="83"/>
        <v>0</v>
      </c>
      <c r="BQ141" s="192"/>
      <c r="BR141" s="192"/>
      <c r="BS141" s="464">
        <f t="shared" si="84"/>
        <v>0</v>
      </c>
      <c r="BT141" s="467"/>
      <c r="BU141" s="203"/>
      <c r="BV141" s="462">
        <f t="shared" si="85"/>
        <v>0</v>
      </c>
      <c r="BW141" s="192"/>
      <c r="BX141" s="192"/>
      <c r="BY141" s="463">
        <f t="shared" si="86"/>
        <v>0</v>
      </c>
    </row>
    <row r="142" spans="1:77" x14ac:dyDescent="0.2">
      <c r="A142" s="273" t="s">
        <v>112</v>
      </c>
      <c r="B142" s="274" t="s">
        <v>410</v>
      </c>
      <c r="C142" s="275"/>
      <c r="D142" s="273">
        <v>140322</v>
      </c>
      <c r="E142" s="276">
        <v>6</v>
      </c>
      <c r="F142" s="234">
        <v>16</v>
      </c>
      <c r="G142" s="208">
        <v>75047</v>
      </c>
      <c r="H142" s="461">
        <f t="shared" si="63"/>
        <v>1200752</v>
      </c>
      <c r="I142" s="194">
        <v>16</v>
      </c>
      <c r="J142" s="194">
        <v>73017</v>
      </c>
      <c r="K142" s="464">
        <f t="shared" si="64"/>
        <v>1168272</v>
      </c>
      <c r="L142" s="467">
        <v>49</v>
      </c>
      <c r="M142" s="203">
        <v>57875.8</v>
      </c>
      <c r="N142" s="462">
        <f t="shared" si="65"/>
        <v>2835914.2</v>
      </c>
      <c r="O142" s="192">
        <v>52</v>
      </c>
      <c r="P142" s="192">
        <v>55260</v>
      </c>
      <c r="Q142" s="464">
        <f t="shared" si="66"/>
        <v>2873520</v>
      </c>
      <c r="R142" s="467">
        <v>89</v>
      </c>
      <c r="S142" s="203">
        <v>46705.7</v>
      </c>
      <c r="T142" s="462">
        <f t="shared" si="67"/>
        <v>4156807.3</v>
      </c>
      <c r="U142" s="191">
        <v>78</v>
      </c>
      <c r="V142" s="191">
        <v>47325</v>
      </c>
      <c r="W142" s="464">
        <f t="shared" si="68"/>
        <v>3691350</v>
      </c>
      <c r="X142" s="467"/>
      <c r="Y142" s="203"/>
      <c r="Z142" s="462">
        <f t="shared" si="69"/>
        <v>0</v>
      </c>
      <c r="AA142" s="192"/>
      <c r="AB142" s="192"/>
      <c r="AC142" s="464">
        <f t="shared" si="70"/>
        <v>0</v>
      </c>
      <c r="AD142" s="467">
        <v>14</v>
      </c>
      <c r="AE142" s="203">
        <v>43400.1</v>
      </c>
      <c r="AF142" s="462">
        <f t="shared" si="71"/>
        <v>607601.4</v>
      </c>
      <c r="AG142" s="192">
        <v>16</v>
      </c>
      <c r="AH142" s="192">
        <v>44824</v>
      </c>
      <c r="AI142" s="464">
        <f t="shared" si="72"/>
        <v>717184</v>
      </c>
      <c r="AJ142" s="467"/>
      <c r="AK142" s="203"/>
      <c r="AL142" s="462">
        <f t="shared" si="73"/>
        <v>0</v>
      </c>
      <c r="AM142" s="192"/>
      <c r="AN142" s="192"/>
      <c r="AO142" s="206">
        <f t="shared" si="74"/>
        <v>0</v>
      </c>
      <c r="AP142" s="203">
        <v>0</v>
      </c>
      <c r="AQ142" s="203"/>
      <c r="AR142" s="462">
        <f t="shared" si="75"/>
        <v>0</v>
      </c>
      <c r="AS142" s="192"/>
      <c r="AT142" s="192"/>
      <c r="AU142" s="464">
        <f t="shared" si="76"/>
        <v>0</v>
      </c>
      <c r="AV142" s="467"/>
      <c r="AW142" s="203"/>
      <c r="AX142" s="462">
        <f t="shared" si="77"/>
        <v>0</v>
      </c>
      <c r="AY142" s="192"/>
      <c r="AZ142" s="192"/>
      <c r="BA142" s="464">
        <f t="shared" si="78"/>
        <v>0</v>
      </c>
      <c r="BB142" s="467"/>
      <c r="BC142" s="203"/>
      <c r="BD142" s="462">
        <f t="shared" si="79"/>
        <v>0</v>
      </c>
      <c r="BE142" s="192">
        <v>1</v>
      </c>
      <c r="BF142" s="192">
        <v>95000</v>
      </c>
      <c r="BG142" s="464">
        <f t="shared" si="80"/>
        <v>77729</v>
      </c>
      <c r="BH142" s="467"/>
      <c r="BI142" s="203"/>
      <c r="BJ142" s="462">
        <f t="shared" si="81"/>
        <v>0</v>
      </c>
      <c r="BK142" s="192"/>
      <c r="BL142" s="192"/>
      <c r="BM142" s="464">
        <f t="shared" si="82"/>
        <v>0</v>
      </c>
      <c r="BN142" s="467"/>
      <c r="BO142" s="203"/>
      <c r="BP142" s="462">
        <f t="shared" si="83"/>
        <v>0</v>
      </c>
      <c r="BQ142" s="192"/>
      <c r="BR142" s="192"/>
      <c r="BS142" s="464">
        <f t="shared" si="84"/>
        <v>0</v>
      </c>
      <c r="BT142" s="467"/>
      <c r="BU142" s="203"/>
      <c r="BV142" s="462">
        <f t="shared" si="85"/>
        <v>0</v>
      </c>
      <c r="BW142" s="192"/>
      <c r="BX142" s="192"/>
      <c r="BY142" s="463">
        <f t="shared" si="86"/>
        <v>0</v>
      </c>
    </row>
    <row r="143" spans="1:77" x14ac:dyDescent="0.2">
      <c r="A143" s="273" t="s">
        <v>112</v>
      </c>
      <c r="B143" s="274" t="s">
        <v>411</v>
      </c>
      <c r="C143" s="275"/>
      <c r="D143" s="273">
        <v>139463</v>
      </c>
      <c r="E143" s="276">
        <v>7</v>
      </c>
      <c r="F143" s="234">
        <v>16</v>
      </c>
      <c r="G143" s="208">
        <v>76959.3</v>
      </c>
      <c r="H143" s="461">
        <f t="shared" si="63"/>
        <v>1231348.8</v>
      </c>
      <c r="I143" s="194">
        <v>14</v>
      </c>
      <c r="J143" s="194">
        <v>72726</v>
      </c>
      <c r="K143" s="464">
        <f t="shared" si="64"/>
        <v>1018164</v>
      </c>
      <c r="L143" s="467">
        <v>46</v>
      </c>
      <c r="M143" s="203">
        <v>57057.5</v>
      </c>
      <c r="N143" s="462">
        <f t="shared" si="65"/>
        <v>2624645</v>
      </c>
      <c r="O143" s="192">
        <v>55</v>
      </c>
      <c r="P143" s="192">
        <v>56105</v>
      </c>
      <c r="Q143" s="464">
        <f t="shared" si="66"/>
        <v>3085775</v>
      </c>
      <c r="R143" s="467">
        <v>65</v>
      </c>
      <c r="S143" s="203">
        <v>47361</v>
      </c>
      <c r="T143" s="462">
        <f t="shared" si="67"/>
        <v>3078465</v>
      </c>
      <c r="U143" s="191">
        <v>56</v>
      </c>
      <c r="V143" s="191">
        <v>48328</v>
      </c>
      <c r="W143" s="464">
        <f t="shared" si="68"/>
        <v>2706368</v>
      </c>
      <c r="X143" s="467">
        <v>7</v>
      </c>
      <c r="Y143" s="203">
        <v>42013.4</v>
      </c>
      <c r="Z143" s="462">
        <f t="shared" si="69"/>
        <v>294093.8</v>
      </c>
      <c r="AA143" s="192">
        <v>15</v>
      </c>
      <c r="AB143" s="192">
        <v>42659</v>
      </c>
      <c r="AC143" s="464">
        <f t="shared" si="70"/>
        <v>639885</v>
      </c>
      <c r="AD143" s="467">
        <v>5</v>
      </c>
      <c r="AE143" s="203">
        <v>34200.199999999997</v>
      </c>
      <c r="AF143" s="462">
        <f t="shared" si="71"/>
        <v>171001</v>
      </c>
      <c r="AG143" s="192">
        <v>9</v>
      </c>
      <c r="AH143" s="192">
        <v>28889</v>
      </c>
      <c r="AI143" s="464">
        <f t="shared" si="72"/>
        <v>260001</v>
      </c>
      <c r="AJ143" s="467"/>
      <c r="AK143" s="203"/>
      <c r="AL143" s="462">
        <f t="shared" si="73"/>
        <v>0</v>
      </c>
      <c r="AM143" s="192"/>
      <c r="AN143" s="192"/>
      <c r="AO143" s="206">
        <f t="shared" si="74"/>
        <v>0</v>
      </c>
      <c r="AP143" s="203">
        <v>1</v>
      </c>
      <c r="AQ143" s="203">
        <v>120000</v>
      </c>
      <c r="AR143" s="462">
        <f t="shared" si="75"/>
        <v>98184</v>
      </c>
      <c r="AS143" s="192">
        <v>1</v>
      </c>
      <c r="AT143" s="192">
        <v>120000</v>
      </c>
      <c r="AU143" s="464">
        <f t="shared" si="76"/>
        <v>98184</v>
      </c>
      <c r="AV143" s="467">
        <v>1</v>
      </c>
      <c r="AW143" s="203">
        <v>57500</v>
      </c>
      <c r="AX143" s="462">
        <f t="shared" si="77"/>
        <v>47046.5</v>
      </c>
      <c r="AY143" s="192"/>
      <c r="AZ143" s="192"/>
      <c r="BA143" s="464">
        <f t="shared" si="78"/>
        <v>0</v>
      </c>
      <c r="BB143" s="467"/>
      <c r="BC143" s="203"/>
      <c r="BD143" s="462">
        <f t="shared" si="79"/>
        <v>0</v>
      </c>
      <c r="BE143" s="192"/>
      <c r="BF143" s="192"/>
      <c r="BG143" s="464">
        <f t="shared" si="80"/>
        <v>0</v>
      </c>
      <c r="BH143" s="467"/>
      <c r="BI143" s="203"/>
      <c r="BJ143" s="462">
        <f t="shared" si="81"/>
        <v>0</v>
      </c>
      <c r="BK143" s="192"/>
      <c r="BL143" s="192"/>
      <c r="BM143" s="464">
        <f t="shared" si="82"/>
        <v>0</v>
      </c>
      <c r="BN143" s="467"/>
      <c r="BO143" s="203"/>
      <c r="BP143" s="462">
        <f t="shared" si="83"/>
        <v>0</v>
      </c>
      <c r="BQ143" s="192"/>
      <c r="BR143" s="192"/>
      <c r="BS143" s="464">
        <f t="shared" si="84"/>
        <v>0</v>
      </c>
      <c r="BT143" s="467"/>
      <c r="BU143" s="203"/>
      <c r="BV143" s="462">
        <f t="shared" si="85"/>
        <v>0</v>
      </c>
      <c r="BW143" s="192"/>
      <c r="BX143" s="192"/>
      <c r="BY143" s="463">
        <f t="shared" si="86"/>
        <v>0</v>
      </c>
    </row>
    <row r="144" spans="1:77" x14ac:dyDescent="0.2">
      <c r="A144" s="277" t="s">
        <v>112</v>
      </c>
      <c r="B144" s="278" t="s">
        <v>412</v>
      </c>
      <c r="C144" s="279"/>
      <c r="D144" s="277">
        <v>139773</v>
      </c>
      <c r="E144" s="280">
        <v>7</v>
      </c>
      <c r="F144" s="234">
        <v>36</v>
      </c>
      <c r="G144" s="208">
        <v>61450.5</v>
      </c>
      <c r="H144" s="461">
        <f t="shared" si="63"/>
        <v>2212218</v>
      </c>
      <c r="I144" s="194">
        <v>40</v>
      </c>
      <c r="J144" s="194">
        <v>63380</v>
      </c>
      <c r="K144" s="464">
        <f t="shared" si="64"/>
        <v>2535200</v>
      </c>
      <c r="L144" s="467">
        <v>35</v>
      </c>
      <c r="M144" s="203">
        <v>48810</v>
      </c>
      <c r="N144" s="462">
        <f t="shared" si="65"/>
        <v>1708350</v>
      </c>
      <c r="O144" s="192">
        <v>33</v>
      </c>
      <c r="P144" s="192">
        <v>49438</v>
      </c>
      <c r="Q144" s="464">
        <f t="shared" si="66"/>
        <v>1631454</v>
      </c>
      <c r="R144" s="467">
        <v>84</v>
      </c>
      <c r="S144" s="203">
        <v>41739</v>
      </c>
      <c r="T144" s="462">
        <f t="shared" si="67"/>
        <v>3506076</v>
      </c>
      <c r="U144" s="191">
        <v>84</v>
      </c>
      <c r="V144" s="191">
        <v>43045</v>
      </c>
      <c r="W144" s="464">
        <f t="shared" si="68"/>
        <v>3615780</v>
      </c>
      <c r="X144" s="467">
        <v>13</v>
      </c>
      <c r="Y144" s="203">
        <v>39885.300000000003</v>
      </c>
      <c r="Z144" s="462">
        <f t="shared" si="69"/>
        <v>518508.9</v>
      </c>
      <c r="AA144" s="192">
        <v>8</v>
      </c>
      <c r="AB144" s="192">
        <v>39951</v>
      </c>
      <c r="AC144" s="464">
        <f t="shared" si="70"/>
        <v>319608</v>
      </c>
      <c r="AD144" s="467">
        <v>25</v>
      </c>
      <c r="AE144" s="203">
        <v>37494.9</v>
      </c>
      <c r="AF144" s="462">
        <f t="shared" si="71"/>
        <v>937372.5</v>
      </c>
      <c r="AG144" s="192">
        <v>25</v>
      </c>
      <c r="AH144" s="192">
        <v>37646</v>
      </c>
      <c r="AI144" s="464">
        <f t="shared" si="72"/>
        <v>941150</v>
      </c>
      <c r="AJ144" s="467"/>
      <c r="AK144" s="203"/>
      <c r="AL144" s="462">
        <f t="shared" si="73"/>
        <v>0</v>
      </c>
      <c r="AM144" s="192"/>
      <c r="AN144" s="192"/>
      <c r="AO144" s="206">
        <f t="shared" si="74"/>
        <v>0</v>
      </c>
      <c r="AP144" s="203">
        <v>1</v>
      </c>
      <c r="AQ144" s="203">
        <v>103761</v>
      </c>
      <c r="AR144" s="462">
        <f t="shared" si="75"/>
        <v>84897.250200000009</v>
      </c>
      <c r="AS144" s="192">
        <v>1</v>
      </c>
      <c r="AT144" s="192">
        <v>107762</v>
      </c>
      <c r="AU144" s="464">
        <f t="shared" si="76"/>
        <v>88170.868400000007</v>
      </c>
      <c r="AV144" s="467">
        <v>5</v>
      </c>
      <c r="AW144" s="203">
        <v>57118.2</v>
      </c>
      <c r="AX144" s="462">
        <f t="shared" si="77"/>
        <v>233670.55620000002</v>
      </c>
      <c r="AY144" s="192">
        <v>6</v>
      </c>
      <c r="AZ144" s="192">
        <v>60657</v>
      </c>
      <c r="BA144" s="464">
        <f t="shared" si="78"/>
        <v>297777.3444</v>
      </c>
      <c r="BB144" s="467">
        <v>5</v>
      </c>
      <c r="BC144" s="203">
        <v>50633.599999999999</v>
      </c>
      <c r="BD144" s="462">
        <f t="shared" si="79"/>
        <v>207142.0576</v>
      </c>
      <c r="BE144" s="192">
        <v>5</v>
      </c>
      <c r="BF144" s="192">
        <v>51294</v>
      </c>
      <c r="BG144" s="464">
        <f t="shared" si="80"/>
        <v>209843.75400000002</v>
      </c>
      <c r="BH144" s="467">
        <v>1</v>
      </c>
      <c r="BI144" s="203">
        <v>49000</v>
      </c>
      <c r="BJ144" s="462">
        <f t="shared" si="81"/>
        <v>40091.800000000003</v>
      </c>
      <c r="BK144" s="192"/>
      <c r="BL144" s="192"/>
      <c r="BM144" s="464">
        <f t="shared" si="82"/>
        <v>0</v>
      </c>
      <c r="BN144" s="467"/>
      <c r="BO144" s="203"/>
      <c r="BP144" s="462">
        <f t="shared" si="83"/>
        <v>0</v>
      </c>
      <c r="BQ144" s="192"/>
      <c r="BR144" s="192"/>
      <c r="BS144" s="464">
        <f t="shared" si="84"/>
        <v>0</v>
      </c>
      <c r="BT144" s="467"/>
      <c r="BU144" s="203"/>
      <c r="BV144" s="462">
        <f t="shared" si="85"/>
        <v>0</v>
      </c>
      <c r="BW144" s="192"/>
      <c r="BX144" s="192"/>
      <c r="BY144" s="463">
        <f t="shared" si="86"/>
        <v>0</v>
      </c>
    </row>
    <row r="145" spans="1:77" x14ac:dyDescent="0.2">
      <c r="A145" s="273" t="s">
        <v>112</v>
      </c>
      <c r="B145" s="274" t="s">
        <v>419</v>
      </c>
      <c r="C145" s="337" t="s">
        <v>512</v>
      </c>
      <c r="D145" s="273">
        <v>139968</v>
      </c>
      <c r="E145" s="339">
        <v>7</v>
      </c>
      <c r="F145" s="234">
        <v>24</v>
      </c>
      <c r="G145" s="208">
        <v>65168.3</v>
      </c>
      <c r="H145" s="461">
        <f t="shared" si="63"/>
        <v>1564039.2000000002</v>
      </c>
      <c r="I145" s="194">
        <v>26</v>
      </c>
      <c r="J145" s="194">
        <v>63743</v>
      </c>
      <c r="K145" s="464">
        <f t="shared" si="64"/>
        <v>1657318</v>
      </c>
      <c r="L145" s="467">
        <v>39</v>
      </c>
      <c r="M145" s="203">
        <v>53601.2</v>
      </c>
      <c r="N145" s="462">
        <f t="shared" si="65"/>
        <v>2090446.7999999998</v>
      </c>
      <c r="O145" s="192">
        <v>39</v>
      </c>
      <c r="P145" s="192">
        <v>52769</v>
      </c>
      <c r="Q145" s="464">
        <f t="shared" si="66"/>
        <v>2057991</v>
      </c>
      <c r="R145" s="467">
        <v>35</v>
      </c>
      <c r="S145" s="203">
        <v>47449.5</v>
      </c>
      <c r="T145" s="462">
        <f t="shared" si="67"/>
        <v>1660732.5</v>
      </c>
      <c r="U145" s="191">
        <v>39</v>
      </c>
      <c r="V145" s="191">
        <v>46611</v>
      </c>
      <c r="W145" s="464">
        <f t="shared" si="68"/>
        <v>1817829</v>
      </c>
      <c r="X145" s="467">
        <v>17</v>
      </c>
      <c r="Y145" s="203">
        <v>40864.199999999997</v>
      </c>
      <c r="Z145" s="462">
        <f t="shared" si="69"/>
        <v>694691.39999999991</v>
      </c>
      <c r="AA145" s="192">
        <v>11</v>
      </c>
      <c r="AB145" s="192">
        <v>39606</v>
      </c>
      <c r="AC145" s="464">
        <f t="shared" si="70"/>
        <v>435666</v>
      </c>
      <c r="AD145" s="467"/>
      <c r="AE145" s="203"/>
      <c r="AF145" s="462">
        <f t="shared" si="71"/>
        <v>0</v>
      </c>
      <c r="AG145" s="192"/>
      <c r="AH145" s="192"/>
      <c r="AI145" s="464">
        <f t="shared" si="72"/>
        <v>0</v>
      </c>
      <c r="AJ145" s="467"/>
      <c r="AK145" s="203"/>
      <c r="AL145" s="462">
        <f t="shared" si="73"/>
        <v>0</v>
      </c>
      <c r="AM145" s="192"/>
      <c r="AN145" s="192"/>
      <c r="AO145" s="206">
        <f t="shared" si="74"/>
        <v>0</v>
      </c>
      <c r="AP145" s="203">
        <v>0</v>
      </c>
      <c r="AQ145" s="203"/>
      <c r="AR145" s="462">
        <f t="shared" si="75"/>
        <v>0</v>
      </c>
      <c r="AS145" s="192"/>
      <c r="AT145" s="192"/>
      <c r="AU145" s="464">
        <f t="shared" si="76"/>
        <v>0</v>
      </c>
      <c r="AV145" s="467"/>
      <c r="AW145" s="203"/>
      <c r="AX145" s="462">
        <f t="shared" si="77"/>
        <v>0</v>
      </c>
      <c r="AY145" s="192"/>
      <c r="AZ145" s="192"/>
      <c r="BA145" s="464">
        <f t="shared" si="78"/>
        <v>0</v>
      </c>
      <c r="BB145" s="467"/>
      <c r="BC145" s="203"/>
      <c r="BD145" s="462">
        <f t="shared" si="79"/>
        <v>0</v>
      </c>
      <c r="BE145" s="192"/>
      <c r="BF145" s="192"/>
      <c r="BG145" s="464">
        <f t="shared" si="80"/>
        <v>0</v>
      </c>
      <c r="BH145" s="467"/>
      <c r="BI145" s="203"/>
      <c r="BJ145" s="462">
        <f t="shared" si="81"/>
        <v>0</v>
      </c>
      <c r="BK145" s="192"/>
      <c r="BL145" s="192"/>
      <c r="BM145" s="464">
        <f t="shared" si="82"/>
        <v>0</v>
      </c>
      <c r="BN145" s="467"/>
      <c r="BO145" s="203"/>
      <c r="BP145" s="462">
        <f t="shared" si="83"/>
        <v>0</v>
      </c>
      <c r="BQ145" s="192"/>
      <c r="BR145" s="192"/>
      <c r="BS145" s="464">
        <f t="shared" si="84"/>
        <v>0</v>
      </c>
      <c r="BT145" s="467"/>
      <c r="BU145" s="203"/>
      <c r="BV145" s="462">
        <f t="shared" si="85"/>
        <v>0</v>
      </c>
      <c r="BW145" s="192"/>
      <c r="BX145" s="192"/>
      <c r="BY145" s="463">
        <f t="shared" si="86"/>
        <v>0</v>
      </c>
    </row>
    <row r="146" spans="1:77" x14ac:dyDescent="0.2">
      <c r="A146" s="273" t="s">
        <v>112</v>
      </c>
      <c r="B146" s="274" t="s">
        <v>413</v>
      </c>
      <c r="C146" s="275"/>
      <c r="D146" s="273">
        <v>244437</v>
      </c>
      <c r="E146" s="276">
        <v>8</v>
      </c>
      <c r="F146" s="234">
        <v>34</v>
      </c>
      <c r="G146" s="208">
        <v>63335.7</v>
      </c>
      <c r="H146" s="461">
        <f t="shared" si="63"/>
        <v>2153413.7999999998</v>
      </c>
      <c r="I146" s="194">
        <v>30</v>
      </c>
      <c r="J146" s="194">
        <v>62610</v>
      </c>
      <c r="K146" s="464">
        <f t="shared" si="64"/>
        <v>1878300</v>
      </c>
      <c r="L146" s="467">
        <v>133</v>
      </c>
      <c r="M146" s="203">
        <v>55329.5</v>
      </c>
      <c r="N146" s="462">
        <f t="shared" si="65"/>
        <v>7358823.5</v>
      </c>
      <c r="O146" s="192">
        <v>128</v>
      </c>
      <c r="P146" s="192">
        <v>55791</v>
      </c>
      <c r="Q146" s="464">
        <f t="shared" si="66"/>
        <v>7141248</v>
      </c>
      <c r="R146" s="467">
        <v>106</v>
      </c>
      <c r="S146" s="203">
        <v>44722.9</v>
      </c>
      <c r="T146" s="462">
        <f t="shared" si="67"/>
        <v>4740627.4000000004</v>
      </c>
      <c r="U146" s="191">
        <v>113</v>
      </c>
      <c r="V146" s="191">
        <v>44609</v>
      </c>
      <c r="W146" s="464">
        <f t="shared" si="68"/>
        <v>5040817</v>
      </c>
      <c r="X146" s="467">
        <v>105</v>
      </c>
      <c r="Y146" s="203">
        <v>39627</v>
      </c>
      <c r="Z146" s="462">
        <f t="shared" si="69"/>
        <v>4160835</v>
      </c>
      <c r="AA146" s="192">
        <v>266</v>
      </c>
      <c r="AB146" s="192">
        <v>38572</v>
      </c>
      <c r="AC146" s="464">
        <f t="shared" si="70"/>
        <v>10260152</v>
      </c>
      <c r="AD146" s="467">
        <v>10</v>
      </c>
      <c r="AE146" s="203">
        <v>44606.400000000001</v>
      </c>
      <c r="AF146" s="462">
        <f t="shared" si="71"/>
        <v>446064</v>
      </c>
      <c r="AG146" s="192">
        <v>15</v>
      </c>
      <c r="AH146" s="192">
        <v>32866</v>
      </c>
      <c r="AI146" s="464">
        <f t="shared" si="72"/>
        <v>492990</v>
      </c>
      <c r="AJ146" s="467"/>
      <c r="AK146" s="203"/>
      <c r="AL146" s="462">
        <f t="shared" si="73"/>
        <v>0</v>
      </c>
      <c r="AM146" s="192"/>
      <c r="AN146" s="192"/>
      <c r="AO146" s="206">
        <f t="shared" si="74"/>
        <v>0</v>
      </c>
      <c r="AP146" s="203">
        <v>12</v>
      </c>
      <c r="AQ146" s="203">
        <v>91553.3</v>
      </c>
      <c r="AR146" s="462">
        <f t="shared" si="75"/>
        <v>898906.92072000017</v>
      </c>
      <c r="AS146" s="192">
        <v>1</v>
      </c>
      <c r="AT146" s="192">
        <v>93000</v>
      </c>
      <c r="AU146" s="464">
        <f t="shared" si="76"/>
        <v>76092.600000000006</v>
      </c>
      <c r="AV146" s="467">
        <v>29</v>
      </c>
      <c r="AW146" s="203">
        <v>78138.600000000006</v>
      </c>
      <c r="AX146" s="462">
        <f t="shared" si="77"/>
        <v>1854057.0730800005</v>
      </c>
      <c r="AY146" s="192">
        <v>6</v>
      </c>
      <c r="AZ146" s="192">
        <v>68335</v>
      </c>
      <c r="BA146" s="464">
        <f t="shared" si="78"/>
        <v>335470.18200000003</v>
      </c>
      <c r="BB146" s="467">
        <v>10</v>
      </c>
      <c r="BC146" s="203">
        <v>70563.399999999994</v>
      </c>
      <c r="BD146" s="462">
        <f t="shared" si="79"/>
        <v>577349.73880000005</v>
      </c>
      <c r="BE146" s="192">
        <v>3</v>
      </c>
      <c r="BF146" s="192">
        <v>67272</v>
      </c>
      <c r="BG146" s="464">
        <f t="shared" si="80"/>
        <v>165125.8512</v>
      </c>
      <c r="BH146" s="467">
        <v>8</v>
      </c>
      <c r="BI146" s="203">
        <v>58615.8</v>
      </c>
      <c r="BJ146" s="462">
        <f t="shared" si="81"/>
        <v>383675.58048000006</v>
      </c>
      <c r="BK146" s="192">
        <v>6</v>
      </c>
      <c r="BL146" s="192">
        <v>54056</v>
      </c>
      <c r="BM146" s="464">
        <f t="shared" si="82"/>
        <v>265371.71520000004</v>
      </c>
      <c r="BN146" s="467">
        <v>5</v>
      </c>
      <c r="BO146" s="203">
        <v>58299.8</v>
      </c>
      <c r="BP146" s="462">
        <f t="shared" si="83"/>
        <v>238504.48180000001</v>
      </c>
      <c r="BQ146" s="192">
        <v>5</v>
      </c>
      <c r="BR146" s="192">
        <v>59879</v>
      </c>
      <c r="BS146" s="464">
        <f t="shared" si="84"/>
        <v>244964.989</v>
      </c>
      <c r="BT146" s="467"/>
      <c r="BU146" s="203"/>
      <c r="BV146" s="462">
        <f t="shared" si="85"/>
        <v>0</v>
      </c>
      <c r="BW146" s="192"/>
      <c r="BX146" s="192"/>
      <c r="BY146" s="463">
        <f t="shared" si="86"/>
        <v>0</v>
      </c>
    </row>
    <row r="147" spans="1:77" x14ac:dyDescent="0.2">
      <c r="A147" s="273" t="s">
        <v>112</v>
      </c>
      <c r="B147" s="274" t="s">
        <v>414</v>
      </c>
      <c r="C147" s="275" t="s">
        <v>511</v>
      </c>
      <c r="D147" s="273">
        <v>138558</v>
      </c>
      <c r="E147" s="276">
        <v>9</v>
      </c>
      <c r="F147" s="234">
        <v>11</v>
      </c>
      <c r="G147" s="208">
        <v>52722.73</v>
      </c>
      <c r="H147" s="461">
        <f t="shared" si="63"/>
        <v>579950.03</v>
      </c>
      <c r="I147" s="194">
        <v>8</v>
      </c>
      <c r="J147" s="194">
        <v>51825</v>
      </c>
      <c r="K147" s="464">
        <f t="shared" si="64"/>
        <v>414600</v>
      </c>
      <c r="L147" s="467">
        <v>19</v>
      </c>
      <c r="M147" s="203">
        <v>48860.05</v>
      </c>
      <c r="N147" s="462">
        <f t="shared" si="65"/>
        <v>928340.95000000007</v>
      </c>
      <c r="O147" s="192">
        <v>14</v>
      </c>
      <c r="P147" s="192">
        <v>49250</v>
      </c>
      <c r="Q147" s="464">
        <f t="shared" si="66"/>
        <v>689500</v>
      </c>
      <c r="R147" s="467">
        <v>29</v>
      </c>
      <c r="S147" s="203">
        <v>43051</v>
      </c>
      <c r="T147" s="462">
        <f t="shared" si="67"/>
        <v>1248479</v>
      </c>
      <c r="U147" s="191">
        <v>30</v>
      </c>
      <c r="V147" s="191">
        <v>44990</v>
      </c>
      <c r="W147" s="464">
        <f t="shared" si="68"/>
        <v>1349700</v>
      </c>
      <c r="X147" s="467">
        <v>16</v>
      </c>
      <c r="Y147" s="203">
        <v>41574.879999999997</v>
      </c>
      <c r="Z147" s="462">
        <f t="shared" si="69"/>
        <v>665198.07999999996</v>
      </c>
      <c r="AA147" s="192">
        <v>21</v>
      </c>
      <c r="AB147" s="192">
        <v>42201</v>
      </c>
      <c r="AC147" s="464">
        <f t="shared" si="70"/>
        <v>886221</v>
      </c>
      <c r="AD147" s="467">
        <v>12</v>
      </c>
      <c r="AE147" s="203">
        <v>38809</v>
      </c>
      <c r="AF147" s="462">
        <f t="shared" si="71"/>
        <v>465708</v>
      </c>
      <c r="AG147" s="192"/>
      <c r="AH147" s="192"/>
      <c r="AI147" s="464">
        <f t="shared" si="72"/>
        <v>0</v>
      </c>
      <c r="AJ147" s="467"/>
      <c r="AK147" s="203"/>
      <c r="AL147" s="462">
        <f t="shared" si="73"/>
        <v>0</v>
      </c>
      <c r="AM147" s="192"/>
      <c r="AN147" s="192"/>
      <c r="AO147" s="206">
        <f t="shared" si="74"/>
        <v>0</v>
      </c>
      <c r="AP147" s="203">
        <v>1</v>
      </c>
      <c r="AQ147" s="203">
        <v>79349</v>
      </c>
      <c r="AR147" s="462">
        <f t="shared" si="75"/>
        <v>64923.351800000004</v>
      </c>
      <c r="AS147" s="192"/>
      <c r="AT147" s="192"/>
      <c r="AU147" s="464">
        <f t="shared" si="76"/>
        <v>0</v>
      </c>
      <c r="AV147" s="467">
        <v>4</v>
      </c>
      <c r="AW147" s="203">
        <v>70813</v>
      </c>
      <c r="AX147" s="462">
        <f t="shared" si="77"/>
        <v>231756.78640000001</v>
      </c>
      <c r="AY147" s="192">
        <v>5</v>
      </c>
      <c r="AZ147" s="192">
        <v>69484</v>
      </c>
      <c r="BA147" s="464">
        <f t="shared" si="78"/>
        <v>284259.04399999999</v>
      </c>
      <c r="BB147" s="467"/>
      <c r="BC147" s="203"/>
      <c r="BD147" s="462">
        <f t="shared" si="79"/>
        <v>0</v>
      </c>
      <c r="BE147" s="192">
        <v>2</v>
      </c>
      <c r="BF147" s="192">
        <v>57967</v>
      </c>
      <c r="BG147" s="464">
        <f t="shared" si="80"/>
        <v>94857.198799999998</v>
      </c>
      <c r="BH147" s="467"/>
      <c r="BI147" s="203"/>
      <c r="BJ147" s="462">
        <f t="shared" si="81"/>
        <v>0</v>
      </c>
      <c r="BK147" s="192">
        <v>3</v>
      </c>
      <c r="BL147" s="192">
        <v>56644</v>
      </c>
      <c r="BM147" s="464">
        <f t="shared" si="82"/>
        <v>139038.36240000001</v>
      </c>
      <c r="BN147" s="467">
        <v>4</v>
      </c>
      <c r="BO147" s="203">
        <v>56054.5</v>
      </c>
      <c r="BP147" s="462">
        <f t="shared" si="83"/>
        <v>183455.16760000002</v>
      </c>
      <c r="BQ147" s="192"/>
      <c r="BR147" s="192"/>
      <c r="BS147" s="464">
        <f t="shared" si="84"/>
        <v>0</v>
      </c>
      <c r="BT147" s="467"/>
      <c r="BU147" s="203"/>
      <c r="BV147" s="462">
        <f t="shared" si="85"/>
        <v>0</v>
      </c>
      <c r="BW147" s="192"/>
      <c r="BX147" s="192"/>
      <c r="BY147" s="463">
        <f t="shared" si="86"/>
        <v>0</v>
      </c>
    </row>
    <row r="148" spans="1:77" x14ac:dyDescent="0.2">
      <c r="A148" s="273" t="s">
        <v>112</v>
      </c>
      <c r="B148" s="274" t="s">
        <v>421</v>
      </c>
      <c r="C148" s="337" t="s">
        <v>513</v>
      </c>
      <c r="D148" s="273">
        <v>138901</v>
      </c>
      <c r="E148" s="339">
        <v>9</v>
      </c>
      <c r="F148" s="234">
        <v>2</v>
      </c>
      <c r="G148" s="208">
        <v>57928</v>
      </c>
      <c r="H148" s="461">
        <f t="shared" si="63"/>
        <v>115856</v>
      </c>
      <c r="I148" s="194">
        <v>4</v>
      </c>
      <c r="J148" s="194">
        <v>55655</v>
      </c>
      <c r="K148" s="464">
        <f t="shared" si="64"/>
        <v>222620</v>
      </c>
      <c r="L148" s="467">
        <v>14</v>
      </c>
      <c r="M148" s="203">
        <v>56407.43</v>
      </c>
      <c r="N148" s="462">
        <f t="shared" si="65"/>
        <v>789704.02</v>
      </c>
      <c r="O148" s="192">
        <v>11</v>
      </c>
      <c r="P148" s="192">
        <v>53077</v>
      </c>
      <c r="Q148" s="464">
        <f t="shared" si="66"/>
        <v>583847</v>
      </c>
      <c r="R148" s="467">
        <v>28</v>
      </c>
      <c r="S148" s="203">
        <v>46451.15</v>
      </c>
      <c r="T148" s="462">
        <f t="shared" si="67"/>
        <v>1300632.2</v>
      </c>
      <c r="U148" s="191">
        <v>27</v>
      </c>
      <c r="V148" s="191">
        <v>42509</v>
      </c>
      <c r="W148" s="464">
        <f t="shared" si="68"/>
        <v>1147743</v>
      </c>
      <c r="X148" s="467"/>
      <c r="Y148" s="203"/>
      <c r="Z148" s="462">
        <f t="shared" si="69"/>
        <v>0</v>
      </c>
      <c r="AA148" s="192">
        <v>4</v>
      </c>
      <c r="AB148" s="192">
        <v>54360</v>
      </c>
      <c r="AC148" s="464">
        <f t="shared" si="70"/>
        <v>217440</v>
      </c>
      <c r="AD148" s="467">
        <v>9</v>
      </c>
      <c r="AE148" s="203">
        <v>27555.56</v>
      </c>
      <c r="AF148" s="462">
        <f t="shared" si="71"/>
        <v>248000.04</v>
      </c>
      <c r="AG148" s="192">
        <v>14</v>
      </c>
      <c r="AH148" s="192">
        <v>26286</v>
      </c>
      <c r="AI148" s="464">
        <f t="shared" si="72"/>
        <v>368004</v>
      </c>
      <c r="AJ148" s="467"/>
      <c r="AK148" s="203"/>
      <c r="AL148" s="462">
        <f t="shared" si="73"/>
        <v>0</v>
      </c>
      <c r="AM148" s="192"/>
      <c r="AN148" s="192"/>
      <c r="AO148" s="206">
        <f t="shared" si="74"/>
        <v>0</v>
      </c>
      <c r="AP148" s="203">
        <v>3</v>
      </c>
      <c r="AQ148" s="203">
        <v>79070</v>
      </c>
      <c r="AR148" s="462">
        <f t="shared" si="75"/>
        <v>194085.22200000001</v>
      </c>
      <c r="AS148" s="192">
        <v>2</v>
      </c>
      <c r="AT148" s="192">
        <v>80500</v>
      </c>
      <c r="AU148" s="464">
        <f t="shared" si="76"/>
        <v>131730.20000000001</v>
      </c>
      <c r="AV148" s="467">
        <v>1</v>
      </c>
      <c r="AW148" s="203">
        <v>78000</v>
      </c>
      <c r="AX148" s="462">
        <f t="shared" si="77"/>
        <v>63819.600000000006</v>
      </c>
      <c r="AY148" s="192">
        <v>2</v>
      </c>
      <c r="AZ148" s="192">
        <v>79000</v>
      </c>
      <c r="BA148" s="464">
        <f t="shared" si="78"/>
        <v>129275.6</v>
      </c>
      <c r="BB148" s="467"/>
      <c r="BC148" s="203"/>
      <c r="BD148" s="462">
        <f t="shared" si="79"/>
        <v>0</v>
      </c>
      <c r="BE148" s="192"/>
      <c r="BF148" s="192"/>
      <c r="BG148" s="464">
        <f t="shared" si="80"/>
        <v>0</v>
      </c>
      <c r="BH148" s="467"/>
      <c r="BI148" s="203"/>
      <c r="BJ148" s="462">
        <f t="shared" si="81"/>
        <v>0</v>
      </c>
      <c r="BK148" s="192"/>
      <c r="BL148" s="192"/>
      <c r="BM148" s="464">
        <f t="shared" si="82"/>
        <v>0</v>
      </c>
      <c r="BN148" s="467"/>
      <c r="BO148" s="203"/>
      <c r="BP148" s="462">
        <f t="shared" si="83"/>
        <v>0</v>
      </c>
      <c r="BQ148" s="192"/>
      <c r="BR148" s="192"/>
      <c r="BS148" s="464">
        <f t="shared" si="84"/>
        <v>0</v>
      </c>
      <c r="BT148" s="467"/>
      <c r="BU148" s="203"/>
      <c r="BV148" s="462">
        <f t="shared" si="85"/>
        <v>0</v>
      </c>
      <c r="BW148" s="192"/>
      <c r="BX148" s="192"/>
      <c r="BY148" s="463">
        <f t="shared" si="86"/>
        <v>0</v>
      </c>
    </row>
    <row r="149" spans="1:77" x14ac:dyDescent="0.2">
      <c r="A149" s="273" t="s">
        <v>112</v>
      </c>
      <c r="B149" s="274" t="s">
        <v>415</v>
      </c>
      <c r="C149" s="275"/>
      <c r="D149" s="273">
        <v>139010</v>
      </c>
      <c r="E149" s="276">
        <v>9</v>
      </c>
      <c r="F149" s="234">
        <v>5</v>
      </c>
      <c r="G149" s="208">
        <v>56086.8</v>
      </c>
      <c r="H149" s="461">
        <f t="shared" si="63"/>
        <v>280434</v>
      </c>
      <c r="I149" s="194">
        <v>5</v>
      </c>
      <c r="J149" s="194">
        <v>57847</v>
      </c>
      <c r="K149" s="464">
        <f t="shared" si="64"/>
        <v>289235</v>
      </c>
      <c r="L149" s="467">
        <v>8</v>
      </c>
      <c r="M149" s="203">
        <v>50975.88</v>
      </c>
      <c r="N149" s="462">
        <f t="shared" si="65"/>
        <v>407807.04</v>
      </c>
      <c r="O149" s="192">
        <v>15</v>
      </c>
      <c r="P149" s="192">
        <v>46340</v>
      </c>
      <c r="Q149" s="464">
        <f t="shared" si="66"/>
        <v>695100</v>
      </c>
      <c r="R149" s="467">
        <v>19</v>
      </c>
      <c r="S149" s="203">
        <v>41495.74</v>
      </c>
      <c r="T149" s="462">
        <f t="shared" si="67"/>
        <v>788419.05999999994</v>
      </c>
      <c r="U149" s="191">
        <v>25</v>
      </c>
      <c r="V149" s="191">
        <v>39039</v>
      </c>
      <c r="W149" s="464">
        <f t="shared" si="68"/>
        <v>975975</v>
      </c>
      <c r="X149" s="467">
        <v>23</v>
      </c>
      <c r="Y149" s="203">
        <v>36281.39</v>
      </c>
      <c r="Z149" s="462">
        <f t="shared" si="69"/>
        <v>834471.97</v>
      </c>
      <c r="AA149" s="192">
        <v>10</v>
      </c>
      <c r="AB149" s="192">
        <v>35990</v>
      </c>
      <c r="AC149" s="464">
        <f t="shared" si="70"/>
        <v>359900</v>
      </c>
      <c r="AD149" s="467"/>
      <c r="AE149" s="203"/>
      <c r="AF149" s="462">
        <f t="shared" si="71"/>
        <v>0</v>
      </c>
      <c r="AG149" s="192"/>
      <c r="AH149" s="192"/>
      <c r="AI149" s="464">
        <f t="shared" si="72"/>
        <v>0</v>
      </c>
      <c r="AJ149" s="467"/>
      <c r="AK149" s="203"/>
      <c r="AL149" s="462">
        <f t="shared" si="73"/>
        <v>0</v>
      </c>
      <c r="AM149" s="192"/>
      <c r="AN149" s="192"/>
      <c r="AO149" s="206">
        <f t="shared" si="74"/>
        <v>0</v>
      </c>
      <c r="AP149" s="203"/>
      <c r="AQ149" s="203"/>
      <c r="AR149" s="462">
        <f t="shared" si="75"/>
        <v>0</v>
      </c>
      <c r="AS149" s="192"/>
      <c r="AT149" s="192"/>
      <c r="AU149" s="464">
        <f t="shared" si="76"/>
        <v>0</v>
      </c>
      <c r="AV149" s="467"/>
      <c r="AW149" s="203"/>
      <c r="AX149" s="462">
        <f t="shared" si="77"/>
        <v>0</v>
      </c>
      <c r="AY149" s="192"/>
      <c r="AZ149" s="192"/>
      <c r="BA149" s="464">
        <f t="shared" si="78"/>
        <v>0</v>
      </c>
      <c r="BB149" s="467">
        <v>7</v>
      </c>
      <c r="BC149" s="203">
        <v>52652</v>
      </c>
      <c r="BD149" s="462">
        <f t="shared" si="79"/>
        <v>301559.06479999999</v>
      </c>
      <c r="BE149" s="192">
        <v>5</v>
      </c>
      <c r="BF149" s="192">
        <v>46828</v>
      </c>
      <c r="BG149" s="464">
        <f t="shared" si="80"/>
        <v>191573.348</v>
      </c>
      <c r="BH149" s="467">
        <v>13</v>
      </c>
      <c r="BI149" s="203">
        <v>43031.62</v>
      </c>
      <c r="BJ149" s="462">
        <f t="shared" si="81"/>
        <v>457710.12929200009</v>
      </c>
      <c r="BK149" s="192">
        <v>12</v>
      </c>
      <c r="BL149" s="192">
        <v>44429</v>
      </c>
      <c r="BM149" s="464">
        <f t="shared" si="82"/>
        <v>436221.6936</v>
      </c>
      <c r="BN149" s="467"/>
      <c r="BO149" s="203"/>
      <c r="BP149" s="462">
        <f t="shared" si="83"/>
        <v>0</v>
      </c>
      <c r="BQ149" s="192"/>
      <c r="BR149" s="192"/>
      <c r="BS149" s="464">
        <f t="shared" si="84"/>
        <v>0</v>
      </c>
      <c r="BT149" s="467"/>
      <c r="BU149" s="203"/>
      <c r="BV149" s="462">
        <f t="shared" si="85"/>
        <v>0</v>
      </c>
      <c r="BW149" s="192"/>
      <c r="BX149" s="192"/>
      <c r="BY149" s="463">
        <f t="shared" si="86"/>
        <v>0</v>
      </c>
    </row>
    <row r="150" spans="1:77" x14ac:dyDescent="0.2">
      <c r="A150" s="273" t="s">
        <v>112</v>
      </c>
      <c r="B150" s="281" t="s">
        <v>416</v>
      </c>
      <c r="C150" s="275" t="s">
        <v>511</v>
      </c>
      <c r="D150" s="277">
        <v>139250</v>
      </c>
      <c r="E150" s="280">
        <v>9</v>
      </c>
      <c r="F150" s="234">
        <v>5</v>
      </c>
      <c r="G150" s="208">
        <v>61117</v>
      </c>
      <c r="H150" s="461">
        <f t="shared" si="63"/>
        <v>305585</v>
      </c>
      <c r="I150" s="194">
        <v>6</v>
      </c>
      <c r="J150" s="194">
        <v>70431</v>
      </c>
      <c r="K150" s="464">
        <f t="shared" si="64"/>
        <v>422586</v>
      </c>
      <c r="L150" s="467">
        <v>15</v>
      </c>
      <c r="M150" s="203">
        <v>56734.6</v>
      </c>
      <c r="N150" s="462">
        <f t="shared" si="65"/>
        <v>851019</v>
      </c>
      <c r="O150" s="192">
        <v>16</v>
      </c>
      <c r="P150" s="192">
        <v>56596</v>
      </c>
      <c r="Q150" s="464">
        <f t="shared" si="66"/>
        <v>905536</v>
      </c>
      <c r="R150" s="467">
        <v>36</v>
      </c>
      <c r="S150" s="203">
        <v>50573.4</v>
      </c>
      <c r="T150" s="462">
        <f t="shared" si="67"/>
        <v>1820642.4000000001</v>
      </c>
      <c r="U150" s="191">
        <v>47</v>
      </c>
      <c r="V150" s="191">
        <v>51866</v>
      </c>
      <c r="W150" s="464">
        <f t="shared" si="68"/>
        <v>2437702</v>
      </c>
      <c r="X150" s="467">
        <v>14</v>
      </c>
      <c r="Y150" s="203">
        <v>43034.6</v>
      </c>
      <c r="Z150" s="462">
        <f t="shared" si="69"/>
        <v>602484.4</v>
      </c>
      <c r="AA150" s="192">
        <v>6</v>
      </c>
      <c r="AB150" s="192">
        <v>46629</v>
      </c>
      <c r="AC150" s="464">
        <f t="shared" si="70"/>
        <v>279774</v>
      </c>
      <c r="AD150" s="467"/>
      <c r="AE150" s="203"/>
      <c r="AF150" s="462">
        <f t="shared" si="71"/>
        <v>0</v>
      </c>
      <c r="AG150" s="192"/>
      <c r="AH150" s="192"/>
      <c r="AI150" s="464">
        <f t="shared" si="72"/>
        <v>0</v>
      </c>
      <c r="AJ150" s="467"/>
      <c r="AK150" s="203"/>
      <c r="AL150" s="462">
        <f t="shared" si="73"/>
        <v>0</v>
      </c>
      <c r="AM150" s="192"/>
      <c r="AN150" s="192"/>
      <c r="AO150" s="206">
        <f t="shared" si="74"/>
        <v>0</v>
      </c>
      <c r="AP150" s="203">
        <v>2</v>
      </c>
      <c r="AQ150" s="203">
        <v>95250</v>
      </c>
      <c r="AR150" s="462">
        <f t="shared" si="75"/>
        <v>155867.1</v>
      </c>
      <c r="AS150" s="192">
        <v>1</v>
      </c>
      <c r="AT150" s="192">
        <v>88500</v>
      </c>
      <c r="AU150" s="464">
        <f t="shared" si="76"/>
        <v>72410.7</v>
      </c>
      <c r="AV150" s="467"/>
      <c r="AW150" s="203"/>
      <c r="AX150" s="462">
        <f t="shared" si="77"/>
        <v>0</v>
      </c>
      <c r="AY150" s="192">
        <v>1</v>
      </c>
      <c r="AZ150" s="192">
        <v>77382</v>
      </c>
      <c r="BA150" s="464">
        <f t="shared" si="78"/>
        <v>63313.952400000002</v>
      </c>
      <c r="BB150" s="467">
        <v>9</v>
      </c>
      <c r="BC150" s="203">
        <v>71158.899999999994</v>
      </c>
      <c r="BD150" s="462">
        <f t="shared" si="79"/>
        <v>523999.90782000002</v>
      </c>
      <c r="BE150" s="192">
        <v>9</v>
      </c>
      <c r="BF150" s="192">
        <v>67270</v>
      </c>
      <c r="BG150" s="464">
        <f t="shared" si="80"/>
        <v>495362.826</v>
      </c>
      <c r="BH150" s="467">
        <v>3</v>
      </c>
      <c r="BI150" s="203">
        <v>47037</v>
      </c>
      <c r="BJ150" s="462">
        <f t="shared" si="81"/>
        <v>115457.0202</v>
      </c>
      <c r="BK150" s="192">
        <v>5</v>
      </c>
      <c r="BL150" s="192">
        <v>47976</v>
      </c>
      <c r="BM150" s="464">
        <f t="shared" si="82"/>
        <v>196269.81600000002</v>
      </c>
      <c r="BN150" s="467"/>
      <c r="BO150" s="203"/>
      <c r="BP150" s="462">
        <f t="shared" si="83"/>
        <v>0</v>
      </c>
      <c r="BQ150" s="192"/>
      <c r="BR150" s="192"/>
      <c r="BS150" s="464">
        <f t="shared" si="84"/>
        <v>0</v>
      </c>
      <c r="BT150" s="467"/>
      <c r="BU150" s="203"/>
      <c r="BV150" s="462">
        <f t="shared" si="85"/>
        <v>0</v>
      </c>
      <c r="BW150" s="192"/>
      <c r="BX150" s="192"/>
      <c r="BY150" s="463">
        <f t="shared" si="86"/>
        <v>0</v>
      </c>
    </row>
    <row r="151" spans="1:77" x14ac:dyDescent="0.2">
      <c r="A151" s="273" t="s">
        <v>112</v>
      </c>
      <c r="B151" s="281" t="s">
        <v>417</v>
      </c>
      <c r="C151" s="282"/>
      <c r="D151" s="273">
        <v>138691</v>
      </c>
      <c r="E151" s="276">
        <v>9</v>
      </c>
      <c r="F151" s="234">
        <v>3</v>
      </c>
      <c r="G151" s="208">
        <v>61393.33</v>
      </c>
      <c r="H151" s="461">
        <f t="shared" si="63"/>
        <v>184179.99</v>
      </c>
      <c r="I151" s="194">
        <v>2</v>
      </c>
      <c r="J151" s="194">
        <v>65685</v>
      </c>
      <c r="K151" s="464">
        <f t="shared" si="64"/>
        <v>131370</v>
      </c>
      <c r="L151" s="467">
        <v>9</v>
      </c>
      <c r="M151" s="203">
        <v>48650.33</v>
      </c>
      <c r="N151" s="462">
        <f t="shared" si="65"/>
        <v>437852.97000000003</v>
      </c>
      <c r="O151" s="192">
        <v>10</v>
      </c>
      <c r="P151" s="192">
        <v>48525</v>
      </c>
      <c r="Q151" s="464">
        <f t="shared" si="66"/>
        <v>485250</v>
      </c>
      <c r="R151" s="467">
        <v>58</v>
      </c>
      <c r="S151" s="203">
        <v>44430.05</v>
      </c>
      <c r="T151" s="462">
        <f t="shared" si="67"/>
        <v>2576942.9000000004</v>
      </c>
      <c r="U151" s="191">
        <v>57</v>
      </c>
      <c r="V151" s="191">
        <v>43928</v>
      </c>
      <c r="W151" s="464">
        <f t="shared" si="68"/>
        <v>2503896</v>
      </c>
      <c r="X151" s="467">
        <v>23</v>
      </c>
      <c r="Y151" s="203">
        <v>45442.3</v>
      </c>
      <c r="Z151" s="462">
        <f t="shared" si="69"/>
        <v>1045172.9</v>
      </c>
      <c r="AA151" s="192">
        <v>26</v>
      </c>
      <c r="AB151" s="192">
        <v>46950</v>
      </c>
      <c r="AC151" s="464">
        <f t="shared" si="70"/>
        <v>1220700</v>
      </c>
      <c r="AD151" s="467"/>
      <c r="AE151" s="203"/>
      <c r="AF151" s="462">
        <f t="shared" si="71"/>
        <v>0</v>
      </c>
      <c r="AG151" s="192"/>
      <c r="AH151" s="192"/>
      <c r="AI151" s="464">
        <f t="shared" si="72"/>
        <v>0</v>
      </c>
      <c r="AJ151" s="467"/>
      <c r="AK151" s="203"/>
      <c r="AL151" s="462">
        <f t="shared" si="73"/>
        <v>0</v>
      </c>
      <c r="AM151" s="192"/>
      <c r="AN151" s="192"/>
      <c r="AO151" s="206">
        <f t="shared" si="74"/>
        <v>0</v>
      </c>
      <c r="AP151" s="203">
        <v>1</v>
      </c>
      <c r="AQ151" s="203">
        <v>85965</v>
      </c>
      <c r="AR151" s="462">
        <f t="shared" si="75"/>
        <v>70336.563000000009</v>
      </c>
      <c r="AS151" s="192">
        <v>1</v>
      </c>
      <c r="AT151" s="192">
        <v>85965</v>
      </c>
      <c r="AU151" s="464">
        <f t="shared" si="76"/>
        <v>70336.563000000009</v>
      </c>
      <c r="AV151" s="467">
        <v>1</v>
      </c>
      <c r="AW151" s="203">
        <v>92053</v>
      </c>
      <c r="AX151" s="462">
        <f t="shared" si="77"/>
        <v>75317.76460000001</v>
      </c>
      <c r="AY151" s="192">
        <v>1</v>
      </c>
      <c r="AZ151" s="192">
        <v>92053</v>
      </c>
      <c r="BA151" s="464">
        <f t="shared" si="78"/>
        <v>75317.76460000001</v>
      </c>
      <c r="BB151" s="467">
        <v>8</v>
      </c>
      <c r="BC151" s="203">
        <v>62932.5</v>
      </c>
      <c r="BD151" s="462">
        <f t="shared" si="79"/>
        <v>411930.97200000001</v>
      </c>
      <c r="BE151" s="192">
        <v>8</v>
      </c>
      <c r="BF151" s="192">
        <v>61605</v>
      </c>
      <c r="BG151" s="464">
        <f t="shared" si="80"/>
        <v>403241.68800000002</v>
      </c>
      <c r="BH151" s="467">
        <v>18</v>
      </c>
      <c r="BI151" s="203">
        <v>47817.78</v>
      </c>
      <c r="BJ151" s="462">
        <f t="shared" si="81"/>
        <v>704241.13672800001</v>
      </c>
      <c r="BK151" s="192">
        <v>15</v>
      </c>
      <c r="BL151" s="192">
        <v>46731</v>
      </c>
      <c r="BM151" s="464">
        <f t="shared" si="82"/>
        <v>573529.56300000008</v>
      </c>
      <c r="BN151" s="467"/>
      <c r="BO151" s="203"/>
      <c r="BP151" s="462">
        <f t="shared" si="83"/>
        <v>0</v>
      </c>
      <c r="BQ151" s="192"/>
      <c r="BR151" s="192"/>
      <c r="BS151" s="464">
        <f t="shared" si="84"/>
        <v>0</v>
      </c>
      <c r="BT151" s="467"/>
      <c r="BU151" s="203"/>
      <c r="BV151" s="462">
        <f t="shared" si="85"/>
        <v>0</v>
      </c>
      <c r="BW151" s="192"/>
      <c r="BX151" s="192"/>
      <c r="BY151" s="463">
        <f t="shared" si="86"/>
        <v>0</v>
      </c>
    </row>
    <row r="152" spans="1:77" x14ac:dyDescent="0.2">
      <c r="A152" s="273" t="s">
        <v>112</v>
      </c>
      <c r="B152" s="274" t="s">
        <v>422</v>
      </c>
      <c r="C152" s="337" t="s">
        <v>513</v>
      </c>
      <c r="D152" s="273">
        <v>139621</v>
      </c>
      <c r="E152" s="339">
        <v>9</v>
      </c>
      <c r="F152" s="234">
        <v>1</v>
      </c>
      <c r="G152" s="208">
        <v>63384</v>
      </c>
      <c r="H152" s="461">
        <f t="shared" si="63"/>
        <v>63384</v>
      </c>
      <c r="I152" s="194">
        <v>1</v>
      </c>
      <c r="J152" s="194">
        <v>63384</v>
      </c>
      <c r="K152" s="464">
        <f t="shared" si="64"/>
        <v>63384</v>
      </c>
      <c r="L152" s="467">
        <v>12</v>
      </c>
      <c r="M152" s="203">
        <v>50086.25</v>
      </c>
      <c r="N152" s="462">
        <f t="shared" si="65"/>
        <v>601035</v>
      </c>
      <c r="O152" s="192">
        <v>13</v>
      </c>
      <c r="P152" s="192">
        <v>50101</v>
      </c>
      <c r="Q152" s="464">
        <f t="shared" si="66"/>
        <v>651313</v>
      </c>
      <c r="R152" s="467">
        <v>20</v>
      </c>
      <c r="S152" s="203">
        <v>42448.85</v>
      </c>
      <c r="T152" s="462">
        <f t="shared" si="67"/>
        <v>848977</v>
      </c>
      <c r="U152" s="191">
        <v>28</v>
      </c>
      <c r="V152" s="191">
        <v>41487</v>
      </c>
      <c r="W152" s="464">
        <f t="shared" si="68"/>
        <v>1161636</v>
      </c>
      <c r="X152" s="467">
        <v>27</v>
      </c>
      <c r="Y152" s="203">
        <v>37962.44</v>
      </c>
      <c r="Z152" s="462">
        <f t="shared" si="69"/>
        <v>1024985.8800000001</v>
      </c>
      <c r="AA152" s="192">
        <v>19</v>
      </c>
      <c r="AB152" s="192">
        <v>37018</v>
      </c>
      <c r="AC152" s="464">
        <f t="shared" si="70"/>
        <v>703342</v>
      </c>
      <c r="AD152" s="467"/>
      <c r="AE152" s="203"/>
      <c r="AF152" s="462">
        <f t="shared" si="71"/>
        <v>0</v>
      </c>
      <c r="AG152" s="192">
        <v>2</v>
      </c>
      <c r="AH152" s="192">
        <v>34000</v>
      </c>
      <c r="AI152" s="464">
        <f t="shared" si="72"/>
        <v>68000</v>
      </c>
      <c r="AJ152" s="467"/>
      <c r="AK152" s="203"/>
      <c r="AL152" s="462">
        <f t="shared" si="73"/>
        <v>0</v>
      </c>
      <c r="AM152" s="192"/>
      <c r="AN152" s="192"/>
      <c r="AO152" s="206">
        <f t="shared" si="74"/>
        <v>0</v>
      </c>
      <c r="AP152" s="203">
        <v>1</v>
      </c>
      <c r="AQ152" s="203">
        <v>90344</v>
      </c>
      <c r="AR152" s="462">
        <f t="shared" si="75"/>
        <v>73919.460800000001</v>
      </c>
      <c r="AS152" s="192">
        <v>1</v>
      </c>
      <c r="AT152" s="192">
        <v>90344</v>
      </c>
      <c r="AU152" s="464">
        <f t="shared" si="76"/>
        <v>73919.460800000001</v>
      </c>
      <c r="AV152" s="467">
        <v>3</v>
      </c>
      <c r="AW152" s="203">
        <v>72430</v>
      </c>
      <c r="AX152" s="462">
        <f t="shared" si="77"/>
        <v>177786.67800000001</v>
      </c>
      <c r="AY152" s="192">
        <v>2</v>
      </c>
      <c r="AZ152" s="192">
        <v>74811</v>
      </c>
      <c r="BA152" s="464">
        <f t="shared" si="78"/>
        <v>122420.72040000001</v>
      </c>
      <c r="BB152" s="467"/>
      <c r="BC152" s="203"/>
      <c r="BD152" s="462">
        <f t="shared" si="79"/>
        <v>0</v>
      </c>
      <c r="BE152" s="192"/>
      <c r="BF152" s="192"/>
      <c r="BG152" s="464">
        <f t="shared" si="80"/>
        <v>0</v>
      </c>
      <c r="BH152" s="467"/>
      <c r="BI152" s="203"/>
      <c r="BJ152" s="462">
        <f t="shared" si="81"/>
        <v>0</v>
      </c>
      <c r="BK152" s="192"/>
      <c r="BL152" s="192"/>
      <c r="BM152" s="464">
        <f t="shared" si="82"/>
        <v>0</v>
      </c>
      <c r="BN152" s="467"/>
      <c r="BO152" s="203"/>
      <c r="BP152" s="462">
        <f t="shared" si="83"/>
        <v>0</v>
      </c>
      <c r="BQ152" s="192"/>
      <c r="BR152" s="192"/>
      <c r="BS152" s="464">
        <f t="shared" si="84"/>
        <v>0</v>
      </c>
      <c r="BT152" s="467"/>
      <c r="BU152" s="203"/>
      <c r="BV152" s="462">
        <f t="shared" si="85"/>
        <v>0</v>
      </c>
      <c r="BW152" s="192"/>
      <c r="BX152" s="192"/>
      <c r="BY152" s="463">
        <f t="shared" si="86"/>
        <v>0</v>
      </c>
    </row>
    <row r="153" spans="1:77" x14ac:dyDescent="0.2">
      <c r="A153" s="277" t="s">
        <v>112</v>
      </c>
      <c r="B153" s="283" t="s">
        <v>418</v>
      </c>
      <c r="C153" s="284"/>
      <c r="D153" s="277">
        <v>139700</v>
      </c>
      <c r="E153" s="280">
        <v>9</v>
      </c>
      <c r="F153" s="234">
        <v>17</v>
      </c>
      <c r="G153" s="208">
        <v>60327.4</v>
      </c>
      <c r="H153" s="461">
        <f t="shared" si="63"/>
        <v>1025565.8</v>
      </c>
      <c r="I153" s="194">
        <v>15</v>
      </c>
      <c r="J153" s="194">
        <v>61035</v>
      </c>
      <c r="K153" s="464">
        <f t="shared" si="64"/>
        <v>915525</v>
      </c>
      <c r="L153" s="467">
        <v>22</v>
      </c>
      <c r="M153" s="203">
        <v>50501.2</v>
      </c>
      <c r="N153" s="462">
        <f t="shared" si="65"/>
        <v>1111026.3999999999</v>
      </c>
      <c r="O153" s="192">
        <v>30</v>
      </c>
      <c r="P153" s="192">
        <v>48202</v>
      </c>
      <c r="Q153" s="464">
        <f t="shared" si="66"/>
        <v>1446060</v>
      </c>
      <c r="R153" s="467">
        <v>31</v>
      </c>
      <c r="S153" s="203">
        <v>43289.2</v>
      </c>
      <c r="T153" s="462">
        <f t="shared" si="67"/>
        <v>1341965.2</v>
      </c>
      <c r="U153" s="191">
        <v>36</v>
      </c>
      <c r="V153" s="191">
        <v>41843</v>
      </c>
      <c r="W153" s="464">
        <f t="shared" si="68"/>
        <v>1506348</v>
      </c>
      <c r="X153" s="467">
        <v>44</v>
      </c>
      <c r="Y153" s="203">
        <v>40188.6</v>
      </c>
      <c r="Z153" s="462">
        <f t="shared" si="69"/>
        <v>1768298.4</v>
      </c>
      <c r="AA153" s="192">
        <v>33</v>
      </c>
      <c r="AB153" s="192">
        <v>40118</v>
      </c>
      <c r="AC153" s="464">
        <f t="shared" si="70"/>
        <v>1323894</v>
      </c>
      <c r="AD153" s="467">
        <v>18</v>
      </c>
      <c r="AE153" s="203">
        <v>37269</v>
      </c>
      <c r="AF153" s="462">
        <f t="shared" si="71"/>
        <v>670842</v>
      </c>
      <c r="AG153" s="192">
        <v>18</v>
      </c>
      <c r="AH153" s="192">
        <v>40295</v>
      </c>
      <c r="AI153" s="464">
        <f t="shared" si="72"/>
        <v>725310</v>
      </c>
      <c r="AJ153" s="467"/>
      <c r="AK153" s="203"/>
      <c r="AL153" s="462">
        <f t="shared" si="73"/>
        <v>0</v>
      </c>
      <c r="AM153" s="192"/>
      <c r="AN153" s="192"/>
      <c r="AO153" s="206">
        <f t="shared" si="74"/>
        <v>0</v>
      </c>
      <c r="AP153" s="203"/>
      <c r="AQ153" s="203"/>
      <c r="AR153" s="462">
        <f t="shared" si="75"/>
        <v>0</v>
      </c>
      <c r="AS153" s="192"/>
      <c r="AT153" s="192"/>
      <c r="AU153" s="464">
        <f t="shared" si="76"/>
        <v>0</v>
      </c>
      <c r="AV153" s="467"/>
      <c r="AW153" s="203"/>
      <c r="AX153" s="462">
        <f t="shared" si="77"/>
        <v>0</v>
      </c>
      <c r="AY153" s="192"/>
      <c r="AZ153" s="192"/>
      <c r="BA153" s="464">
        <f t="shared" si="78"/>
        <v>0</v>
      </c>
      <c r="BB153" s="467"/>
      <c r="BC153" s="203"/>
      <c r="BD153" s="462">
        <f t="shared" si="79"/>
        <v>0</v>
      </c>
      <c r="BE153" s="192"/>
      <c r="BF153" s="192"/>
      <c r="BG153" s="464">
        <f t="shared" si="80"/>
        <v>0</v>
      </c>
      <c r="BH153" s="467">
        <v>1</v>
      </c>
      <c r="BI153" s="203">
        <v>53500</v>
      </c>
      <c r="BJ153" s="462">
        <f t="shared" si="81"/>
        <v>43773.700000000004</v>
      </c>
      <c r="BK153" s="192">
        <v>2</v>
      </c>
      <c r="BL153" s="192">
        <v>53000</v>
      </c>
      <c r="BM153" s="464">
        <f t="shared" si="82"/>
        <v>86729.2</v>
      </c>
      <c r="BN153" s="467"/>
      <c r="BO153" s="203"/>
      <c r="BP153" s="462">
        <f t="shared" si="83"/>
        <v>0</v>
      </c>
      <c r="BQ153" s="192"/>
      <c r="BR153" s="192"/>
      <c r="BS153" s="464">
        <f t="shared" si="84"/>
        <v>0</v>
      </c>
      <c r="BT153" s="467"/>
      <c r="BU153" s="203"/>
      <c r="BV153" s="462">
        <f t="shared" si="85"/>
        <v>0</v>
      </c>
      <c r="BW153" s="192"/>
      <c r="BX153" s="192"/>
      <c r="BY153" s="463">
        <f t="shared" si="86"/>
        <v>0</v>
      </c>
    </row>
    <row r="154" spans="1:77" x14ac:dyDescent="0.2">
      <c r="A154" s="273" t="s">
        <v>112</v>
      </c>
      <c r="B154" s="283" t="s">
        <v>420</v>
      </c>
      <c r="C154" s="275" t="s">
        <v>511</v>
      </c>
      <c r="D154" s="273">
        <v>140483</v>
      </c>
      <c r="E154" s="276">
        <v>9</v>
      </c>
      <c r="F154" s="234">
        <v>9</v>
      </c>
      <c r="G154" s="208">
        <v>57939</v>
      </c>
      <c r="H154" s="461">
        <f t="shared" si="63"/>
        <v>521451</v>
      </c>
      <c r="I154" s="194">
        <v>11</v>
      </c>
      <c r="J154" s="194">
        <v>59720</v>
      </c>
      <c r="K154" s="464">
        <f t="shared" si="64"/>
        <v>656920</v>
      </c>
      <c r="L154" s="467">
        <v>30</v>
      </c>
      <c r="M154" s="203">
        <v>47233.87</v>
      </c>
      <c r="N154" s="462">
        <f t="shared" si="65"/>
        <v>1417016.1</v>
      </c>
      <c r="O154" s="192">
        <v>29</v>
      </c>
      <c r="P154" s="192">
        <v>49280</v>
      </c>
      <c r="Q154" s="464">
        <f t="shared" si="66"/>
        <v>1429120</v>
      </c>
      <c r="R154" s="467">
        <v>42</v>
      </c>
      <c r="S154" s="203">
        <v>43594.239999999998</v>
      </c>
      <c r="T154" s="462">
        <f t="shared" si="67"/>
        <v>1830958.0799999998</v>
      </c>
      <c r="U154" s="191">
        <v>35</v>
      </c>
      <c r="V154" s="191">
        <v>44057</v>
      </c>
      <c r="W154" s="464">
        <f t="shared" si="68"/>
        <v>1541995</v>
      </c>
      <c r="X154" s="467">
        <v>10</v>
      </c>
      <c r="Y154" s="203">
        <v>43590.5</v>
      </c>
      <c r="Z154" s="462">
        <f t="shared" si="69"/>
        <v>435905</v>
      </c>
      <c r="AA154" s="192">
        <v>22</v>
      </c>
      <c r="AB154" s="192">
        <v>44499</v>
      </c>
      <c r="AC154" s="464">
        <f t="shared" si="70"/>
        <v>978978</v>
      </c>
      <c r="AD154" s="467"/>
      <c r="AE154" s="203"/>
      <c r="AF154" s="462">
        <f t="shared" si="71"/>
        <v>0</v>
      </c>
      <c r="AG154" s="192"/>
      <c r="AH154" s="192"/>
      <c r="AI154" s="464">
        <f t="shared" si="72"/>
        <v>0</v>
      </c>
      <c r="AJ154" s="467"/>
      <c r="AK154" s="203"/>
      <c r="AL154" s="462">
        <f t="shared" si="73"/>
        <v>0</v>
      </c>
      <c r="AM154" s="192"/>
      <c r="AN154" s="192"/>
      <c r="AO154" s="206">
        <f t="shared" si="74"/>
        <v>0</v>
      </c>
      <c r="AP154" s="203">
        <v>1</v>
      </c>
      <c r="AQ154" s="203">
        <v>76024</v>
      </c>
      <c r="AR154" s="462">
        <f t="shared" si="75"/>
        <v>62202.836800000005</v>
      </c>
      <c r="AS154" s="192"/>
      <c r="AT154" s="192"/>
      <c r="AU154" s="464">
        <f t="shared" si="76"/>
        <v>0</v>
      </c>
      <c r="AV154" s="467"/>
      <c r="AW154" s="203"/>
      <c r="AX154" s="462">
        <f t="shared" si="77"/>
        <v>0</v>
      </c>
      <c r="AY154" s="192"/>
      <c r="AZ154" s="192"/>
      <c r="BA154" s="464">
        <f t="shared" si="78"/>
        <v>0</v>
      </c>
      <c r="BB154" s="467">
        <v>3</v>
      </c>
      <c r="BC154" s="203">
        <v>64555</v>
      </c>
      <c r="BD154" s="462">
        <f t="shared" si="79"/>
        <v>158456.70300000001</v>
      </c>
      <c r="BE154" s="192">
        <v>2</v>
      </c>
      <c r="BF154" s="192">
        <v>70084</v>
      </c>
      <c r="BG154" s="464">
        <f t="shared" si="80"/>
        <v>114685.45760000001</v>
      </c>
      <c r="BH154" s="467">
        <v>15</v>
      </c>
      <c r="BI154" s="203">
        <v>51271.73</v>
      </c>
      <c r="BJ154" s="462">
        <f t="shared" si="81"/>
        <v>629257.94229000004</v>
      </c>
      <c r="BK154" s="192">
        <v>1</v>
      </c>
      <c r="BL154" s="192">
        <v>60000</v>
      </c>
      <c r="BM154" s="464">
        <f t="shared" si="82"/>
        <v>49092</v>
      </c>
      <c r="BN154" s="467"/>
      <c r="BO154" s="203"/>
      <c r="BP154" s="462">
        <f t="shared" si="83"/>
        <v>0</v>
      </c>
      <c r="BQ154" s="192"/>
      <c r="BR154" s="192"/>
      <c r="BS154" s="464">
        <f t="shared" si="84"/>
        <v>0</v>
      </c>
      <c r="BT154" s="467"/>
      <c r="BU154" s="203"/>
      <c r="BV154" s="462">
        <f t="shared" si="85"/>
        <v>0</v>
      </c>
      <c r="BW154" s="192"/>
      <c r="BX154" s="192"/>
      <c r="BY154" s="463">
        <f t="shared" si="86"/>
        <v>0</v>
      </c>
    </row>
    <row r="155" spans="1:77" x14ac:dyDescent="0.2">
      <c r="A155" s="273" t="s">
        <v>112</v>
      </c>
      <c r="B155" s="274" t="s">
        <v>423</v>
      </c>
      <c r="C155" s="275"/>
      <c r="D155" s="273">
        <v>140997</v>
      </c>
      <c r="E155" s="276">
        <v>10</v>
      </c>
      <c r="F155" s="234">
        <v>3</v>
      </c>
      <c r="G155" s="208">
        <v>54217</v>
      </c>
      <c r="H155" s="461">
        <f t="shared" si="63"/>
        <v>162651</v>
      </c>
      <c r="I155" s="194">
        <v>2</v>
      </c>
      <c r="J155" s="194">
        <v>54273</v>
      </c>
      <c r="K155" s="464">
        <f t="shared" si="64"/>
        <v>108546</v>
      </c>
      <c r="L155" s="467">
        <v>8</v>
      </c>
      <c r="M155" s="203">
        <v>47436.9</v>
      </c>
      <c r="N155" s="462">
        <f t="shared" si="65"/>
        <v>379495.2</v>
      </c>
      <c r="O155" s="192">
        <v>8</v>
      </c>
      <c r="P155" s="192">
        <v>47500</v>
      </c>
      <c r="Q155" s="464">
        <f t="shared" si="66"/>
        <v>380000</v>
      </c>
      <c r="R155" s="467">
        <v>20</v>
      </c>
      <c r="S155" s="203">
        <v>44319.199999999997</v>
      </c>
      <c r="T155" s="462">
        <f t="shared" si="67"/>
        <v>886384</v>
      </c>
      <c r="U155" s="191">
        <v>14</v>
      </c>
      <c r="V155" s="191">
        <v>43094</v>
      </c>
      <c r="W155" s="464">
        <f t="shared" si="68"/>
        <v>603316</v>
      </c>
      <c r="X155" s="467">
        <v>10</v>
      </c>
      <c r="Y155" s="203">
        <v>35820</v>
      </c>
      <c r="Z155" s="462">
        <f t="shared" si="69"/>
        <v>358200</v>
      </c>
      <c r="AA155" s="192">
        <v>10</v>
      </c>
      <c r="AB155" s="192">
        <v>36976</v>
      </c>
      <c r="AC155" s="464">
        <f t="shared" si="70"/>
        <v>369760</v>
      </c>
      <c r="AD155" s="467">
        <v>3</v>
      </c>
      <c r="AE155" s="203">
        <v>37333.300000000003</v>
      </c>
      <c r="AF155" s="462">
        <f t="shared" si="71"/>
        <v>111999.90000000001</v>
      </c>
      <c r="AG155" s="192">
        <v>8</v>
      </c>
      <c r="AH155" s="192">
        <v>39800</v>
      </c>
      <c r="AI155" s="464">
        <f t="shared" si="72"/>
        <v>318400</v>
      </c>
      <c r="AJ155" s="467"/>
      <c r="AK155" s="203"/>
      <c r="AL155" s="462">
        <f t="shared" si="73"/>
        <v>0</v>
      </c>
      <c r="AM155" s="192"/>
      <c r="AN155" s="192"/>
      <c r="AO155" s="206">
        <f t="shared" si="74"/>
        <v>0</v>
      </c>
      <c r="AP155" s="203"/>
      <c r="AQ155" s="203"/>
      <c r="AR155" s="462">
        <f t="shared" si="75"/>
        <v>0</v>
      </c>
      <c r="AS155" s="192"/>
      <c r="AT155" s="192"/>
      <c r="AU155" s="464">
        <f t="shared" si="76"/>
        <v>0</v>
      </c>
      <c r="AV155" s="467"/>
      <c r="AW155" s="203"/>
      <c r="AX155" s="462">
        <f t="shared" si="77"/>
        <v>0</v>
      </c>
      <c r="AY155" s="192"/>
      <c r="AZ155" s="192"/>
      <c r="BA155" s="464">
        <f t="shared" si="78"/>
        <v>0</v>
      </c>
      <c r="BB155" s="467"/>
      <c r="BC155" s="203"/>
      <c r="BD155" s="462">
        <f t="shared" si="79"/>
        <v>0</v>
      </c>
      <c r="BE155" s="192"/>
      <c r="BF155" s="192"/>
      <c r="BG155" s="464">
        <f t="shared" si="80"/>
        <v>0</v>
      </c>
      <c r="BH155" s="467"/>
      <c r="BI155" s="203"/>
      <c r="BJ155" s="462">
        <f t="shared" si="81"/>
        <v>0</v>
      </c>
      <c r="BK155" s="192"/>
      <c r="BL155" s="192"/>
      <c r="BM155" s="464">
        <f t="shared" si="82"/>
        <v>0</v>
      </c>
      <c r="BN155" s="467"/>
      <c r="BO155" s="203"/>
      <c r="BP155" s="462">
        <f t="shared" si="83"/>
        <v>0</v>
      </c>
      <c r="BQ155" s="192"/>
      <c r="BR155" s="192"/>
      <c r="BS155" s="464">
        <f t="shared" si="84"/>
        <v>0</v>
      </c>
      <c r="BT155" s="467"/>
      <c r="BU155" s="203"/>
      <c r="BV155" s="462">
        <f t="shared" si="85"/>
        <v>0</v>
      </c>
      <c r="BW155" s="192"/>
      <c r="BX155" s="192"/>
      <c r="BY155" s="463">
        <f t="shared" si="86"/>
        <v>0</v>
      </c>
    </row>
    <row r="156" spans="1:77" x14ac:dyDescent="0.2">
      <c r="A156" s="285" t="s">
        <v>112</v>
      </c>
      <c r="B156" s="274" t="s">
        <v>424</v>
      </c>
      <c r="C156" s="275"/>
      <c r="D156" s="273">
        <v>141307</v>
      </c>
      <c r="E156" s="276">
        <v>10</v>
      </c>
      <c r="F156" s="234">
        <v>2</v>
      </c>
      <c r="G156" s="208">
        <v>61328.5</v>
      </c>
      <c r="H156" s="461">
        <f t="shared" si="63"/>
        <v>122657</v>
      </c>
      <c r="I156" s="194">
        <v>2</v>
      </c>
      <c r="J156" s="194">
        <v>61329</v>
      </c>
      <c r="K156" s="464">
        <f t="shared" si="64"/>
        <v>122658</v>
      </c>
      <c r="L156" s="467">
        <v>5</v>
      </c>
      <c r="M156" s="203">
        <v>48980</v>
      </c>
      <c r="N156" s="462">
        <f t="shared" si="65"/>
        <v>244900</v>
      </c>
      <c r="O156" s="192">
        <v>4</v>
      </c>
      <c r="P156" s="192">
        <v>50225</v>
      </c>
      <c r="Q156" s="464">
        <f t="shared" si="66"/>
        <v>200900</v>
      </c>
      <c r="R156" s="467">
        <v>8</v>
      </c>
      <c r="S156" s="203">
        <v>41135</v>
      </c>
      <c r="T156" s="462">
        <f t="shared" si="67"/>
        <v>329080</v>
      </c>
      <c r="U156" s="191">
        <v>7</v>
      </c>
      <c r="V156" s="191">
        <v>41474</v>
      </c>
      <c r="W156" s="464">
        <f t="shared" si="68"/>
        <v>290318</v>
      </c>
      <c r="X156" s="467">
        <v>11</v>
      </c>
      <c r="Y156" s="203">
        <v>36958.199999999997</v>
      </c>
      <c r="Z156" s="462">
        <f t="shared" si="69"/>
        <v>406540.19999999995</v>
      </c>
      <c r="AA156" s="192">
        <v>9</v>
      </c>
      <c r="AB156" s="192">
        <v>38203</v>
      </c>
      <c r="AC156" s="464">
        <f t="shared" si="70"/>
        <v>343827</v>
      </c>
      <c r="AD156" s="467"/>
      <c r="AE156" s="203"/>
      <c r="AF156" s="462">
        <f t="shared" si="71"/>
        <v>0</v>
      </c>
      <c r="AG156" s="192"/>
      <c r="AH156" s="192"/>
      <c r="AI156" s="464">
        <f t="shared" si="72"/>
        <v>0</v>
      </c>
      <c r="AJ156" s="467"/>
      <c r="AK156" s="203"/>
      <c r="AL156" s="462">
        <f t="shared" si="73"/>
        <v>0</v>
      </c>
      <c r="AM156" s="192"/>
      <c r="AN156" s="192"/>
      <c r="AO156" s="206">
        <f t="shared" si="74"/>
        <v>0</v>
      </c>
      <c r="AP156" s="203"/>
      <c r="AQ156" s="203"/>
      <c r="AR156" s="462">
        <f t="shared" si="75"/>
        <v>0</v>
      </c>
      <c r="AS156" s="192"/>
      <c r="AT156" s="192"/>
      <c r="AU156" s="464">
        <f t="shared" si="76"/>
        <v>0</v>
      </c>
      <c r="AV156" s="467"/>
      <c r="AW156" s="203"/>
      <c r="AX156" s="462">
        <f t="shared" si="77"/>
        <v>0</v>
      </c>
      <c r="AY156" s="192"/>
      <c r="AZ156" s="192"/>
      <c r="BA156" s="464">
        <f t="shared" si="78"/>
        <v>0</v>
      </c>
      <c r="BB156" s="467"/>
      <c r="BC156" s="203"/>
      <c r="BD156" s="462">
        <f t="shared" si="79"/>
        <v>0</v>
      </c>
      <c r="BE156" s="192"/>
      <c r="BF156" s="192"/>
      <c r="BG156" s="464">
        <f t="shared" si="80"/>
        <v>0</v>
      </c>
      <c r="BH156" s="467"/>
      <c r="BI156" s="203"/>
      <c r="BJ156" s="462">
        <f t="shared" si="81"/>
        <v>0</v>
      </c>
      <c r="BK156" s="192"/>
      <c r="BL156" s="192"/>
      <c r="BM156" s="464">
        <f t="shared" si="82"/>
        <v>0</v>
      </c>
      <c r="BN156" s="467"/>
      <c r="BO156" s="203"/>
      <c r="BP156" s="462">
        <f t="shared" si="83"/>
        <v>0</v>
      </c>
      <c r="BQ156" s="192"/>
      <c r="BR156" s="192"/>
      <c r="BS156" s="464">
        <f t="shared" si="84"/>
        <v>0</v>
      </c>
      <c r="BT156" s="467"/>
      <c r="BU156" s="203"/>
      <c r="BV156" s="462">
        <f t="shared" si="85"/>
        <v>0</v>
      </c>
      <c r="BW156" s="192"/>
      <c r="BX156" s="192"/>
      <c r="BY156" s="463">
        <f t="shared" si="86"/>
        <v>0</v>
      </c>
    </row>
    <row r="157" spans="1:77" x14ac:dyDescent="0.2">
      <c r="A157" s="286" t="s">
        <v>112</v>
      </c>
      <c r="B157" s="287" t="s">
        <v>426</v>
      </c>
      <c r="C157" s="288"/>
      <c r="D157" s="289">
        <v>138682</v>
      </c>
      <c r="E157" s="243">
        <v>12</v>
      </c>
      <c r="F157" s="234"/>
      <c r="G157" s="208"/>
      <c r="H157" s="461">
        <f t="shared" si="63"/>
        <v>0</v>
      </c>
      <c r="I157" s="194"/>
      <c r="J157" s="194"/>
      <c r="K157" s="464">
        <f t="shared" si="64"/>
        <v>0</v>
      </c>
      <c r="L157" s="467"/>
      <c r="M157" s="203"/>
      <c r="N157" s="462">
        <f t="shared" si="65"/>
        <v>0</v>
      </c>
      <c r="O157" s="192"/>
      <c r="P157" s="192"/>
      <c r="Q157" s="464">
        <f t="shared" si="66"/>
        <v>0</v>
      </c>
      <c r="R157" s="467"/>
      <c r="S157" s="203"/>
      <c r="T157" s="462">
        <f t="shared" si="67"/>
        <v>0</v>
      </c>
      <c r="U157" s="191"/>
      <c r="V157" s="191"/>
      <c r="W157" s="464">
        <f t="shared" si="68"/>
        <v>0</v>
      </c>
      <c r="X157" s="467"/>
      <c r="Y157" s="203"/>
      <c r="Z157" s="462">
        <f t="shared" si="69"/>
        <v>0</v>
      </c>
      <c r="AA157" s="192"/>
      <c r="AB157" s="192"/>
      <c r="AC157" s="464">
        <f t="shared" si="70"/>
        <v>0</v>
      </c>
      <c r="AD157" s="467"/>
      <c r="AE157" s="203"/>
      <c r="AF157" s="462">
        <f t="shared" si="71"/>
        <v>0</v>
      </c>
      <c r="AG157" s="192"/>
      <c r="AH157" s="192"/>
      <c r="AI157" s="464">
        <f t="shared" si="72"/>
        <v>0</v>
      </c>
      <c r="AJ157" s="467"/>
      <c r="AK157" s="203"/>
      <c r="AL157" s="462">
        <f t="shared" si="73"/>
        <v>0</v>
      </c>
      <c r="AM157" s="290"/>
      <c r="AN157" s="291"/>
      <c r="AO157" s="206">
        <f t="shared" si="74"/>
        <v>0</v>
      </c>
      <c r="AP157" s="203"/>
      <c r="AQ157" s="203"/>
      <c r="AR157" s="462">
        <f t="shared" si="75"/>
        <v>0</v>
      </c>
      <c r="AS157" s="192"/>
      <c r="AT157" s="192"/>
      <c r="AU157" s="464">
        <f t="shared" si="76"/>
        <v>0</v>
      </c>
      <c r="AV157" s="467"/>
      <c r="AW157" s="203"/>
      <c r="AX157" s="462">
        <f t="shared" si="77"/>
        <v>0</v>
      </c>
      <c r="AY157" s="192"/>
      <c r="AZ157" s="192"/>
      <c r="BA157" s="464">
        <f t="shared" si="78"/>
        <v>0</v>
      </c>
      <c r="BB157" s="467"/>
      <c r="BC157" s="203"/>
      <c r="BD157" s="462">
        <f t="shared" si="79"/>
        <v>0</v>
      </c>
      <c r="BE157" s="192"/>
      <c r="BF157" s="192"/>
      <c r="BG157" s="464">
        <f t="shared" si="80"/>
        <v>0</v>
      </c>
      <c r="BH157" s="467"/>
      <c r="BI157" s="203"/>
      <c r="BJ157" s="462">
        <f t="shared" si="81"/>
        <v>0</v>
      </c>
      <c r="BK157" s="192"/>
      <c r="BL157" s="192"/>
      <c r="BM157" s="464">
        <f t="shared" si="82"/>
        <v>0</v>
      </c>
      <c r="BN157" s="467"/>
      <c r="BO157" s="203"/>
      <c r="BP157" s="462">
        <f t="shared" si="83"/>
        <v>0</v>
      </c>
      <c r="BQ157" s="192"/>
      <c r="BR157" s="192"/>
      <c r="BS157" s="464">
        <f t="shared" si="84"/>
        <v>0</v>
      </c>
      <c r="BT157" s="467">
        <v>85</v>
      </c>
      <c r="BU157" s="203">
        <v>52374</v>
      </c>
      <c r="BV157" s="462">
        <f t="shared" si="85"/>
        <v>3642454.5780000002</v>
      </c>
      <c r="BW157" s="290">
        <v>87</v>
      </c>
      <c r="BX157" s="291">
        <v>51626</v>
      </c>
      <c r="BY157" s="463">
        <f t="shared" si="86"/>
        <v>3674914.2084000004</v>
      </c>
    </row>
    <row r="158" spans="1:77" x14ac:dyDescent="0.2">
      <c r="A158" s="292" t="s">
        <v>112</v>
      </c>
      <c r="B158" s="293" t="s">
        <v>427</v>
      </c>
      <c r="C158" s="294"/>
      <c r="D158" s="295">
        <v>366447</v>
      </c>
      <c r="E158" s="243">
        <v>12</v>
      </c>
      <c r="F158" s="234"/>
      <c r="G158" s="208"/>
      <c r="H158" s="461">
        <f t="shared" si="63"/>
        <v>0</v>
      </c>
      <c r="I158" s="194"/>
      <c r="J158" s="194"/>
      <c r="K158" s="464">
        <f t="shared" si="64"/>
        <v>0</v>
      </c>
      <c r="L158" s="467"/>
      <c r="M158" s="203"/>
      <c r="N158" s="462">
        <f t="shared" si="65"/>
        <v>0</v>
      </c>
      <c r="O158" s="192"/>
      <c r="P158" s="192"/>
      <c r="Q158" s="464">
        <f t="shared" si="66"/>
        <v>0</v>
      </c>
      <c r="R158" s="467"/>
      <c r="S158" s="203"/>
      <c r="T158" s="462">
        <f t="shared" si="67"/>
        <v>0</v>
      </c>
      <c r="U158" s="191"/>
      <c r="V158" s="191"/>
      <c r="W158" s="464">
        <f t="shared" si="68"/>
        <v>0</v>
      </c>
      <c r="X158" s="467"/>
      <c r="Y158" s="203"/>
      <c r="Z158" s="462">
        <f t="shared" si="69"/>
        <v>0</v>
      </c>
      <c r="AA158" s="192"/>
      <c r="AB158" s="192"/>
      <c r="AC158" s="464">
        <f t="shared" si="70"/>
        <v>0</v>
      </c>
      <c r="AD158" s="467"/>
      <c r="AE158" s="203"/>
      <c r="AF158" s="462">
        <f t="shared" si="71"/>
        <v>0</v>
      </c>
      <c r="AG158" s="192"/>
      <c r="AH158" s="192"/>
      <c r="AI158" s="464">
        <f t="shared" si="72"/>
        <v>0</v>
      </c>
      <c r="AJ158" s="467"/>
      <c r="AK158" s="203"/>
      <c r="AL158" s="462">
        <f t="shared" si="73"/>
        <v>0</v>
      </c>
      <c r="AM158" s="290"/>
      <c r="AN158" s="291"/>
      <c r="AO158" s="206">
        <f t="shared" si="74"/>
        <v>0</v>
      </c>
      <c r="AP158" s="203"/>
      <c r="AQ158" s="203"/>
      <c r="AR158" s="462">
        <f t="shared" si="75"/>
        <v>0</v>
      </c>
      <c r="AS158" s="192"/>
      <c r="AT158" s="192"/>
      <c r="AU158" s="464">
        <f t="shared" si="76"/>
        <v>0</v>
      </c>
      <c r="AV158" s="467"/>
      <c r="AW158" s="203"/>
      <c r="AX158" s="462">
        <f t="shared" si="77"/>
        <v>0</v>
      </c>
      <c r="AY158" s="192"/>
      <c r="AZ158" s="192"/>
      <c r="BA158" s="464">
        <f t="shared" si="78"/>
        <v>0</v>
      </c>
      <c r="BB158" s="467"/>
      <c r="BC158" s="203"/>
      <c r="BD158" s="462">
        <f t="shared" si="79"/>
        <v>0</v>
      </c>
      <c r="BE158" s="192"/>
      <c r="BF158" s="192"/>
      <c r="BG158" s="464">
        <f t="shared" si="80"/>
        <v>0</v>
      </c>
      <c r="BH158" s="467"/>
      <c r="BI158" s="203"/>
      <c r="BJ158" s="462">
        <f t="shared" si="81"/>
        <v>0</v>
      </c>
      <c r="BK158" s="192"/>
      <c r="BL158" s="192"/>
      <c r="BM158" s="464">
        <f t="shared" si="82"/>
        <v>0</v>
      </c>
      <c r="BN158" s="467"/>
      <c r="BO158" s="203"/>
      <c r="BP158" s="462">
        <f t="shared" si="83"/>
        <v>0</v>
      </c>
      <c r="BQ158" s="192"/>
      <c r="BR158" s="192"/>
      <c r="BS158" s="464">
        <f t="shared" si="84"/>
        <v>0</v>
      </c>
      <c r="BT158" s="467">
        <v>51</v>
      </c>
      <c r="BU158" s="203">
        <v>48370</v>
      </c>
      <c r="BV158" s="462">
        <f t="shared" si="85"/>
        <v>2018393.034</v>
      </c>
      <c r="BW158" s="290">
        <v>48</v>
      </c>
      <c r="BX158" s="291">
        <v>48408</v>
      </c>
      <c r="BY158" s="463">
        <f t="shared" si="86"/>
        <v>1901156.4288000001</v>
      </c>
    </row>
    <row r="159" spans="1:77" x14ac:dyDescent="0.2">
      <c r="A159" s="296" t="s">
        <v>112</v>
      </c>
      <c r="B159" s="287" t="s">
        <v>428</v>
      </c>
      <c r="C159" s="288"/>
      <c r="D159" s="289">
        <v>246813</v>
      </c>
      <c r="E159" s="243">
        <v>12</v>
      </c>
      <c r="F159" s="234"/>
      <c r="G159" s="208"/>
      <c r="H159" s="461">
        <f t="shared" si="63"/>
        <v>0</v>
      </c>
      <c r="I159" s="194"/>
      <c r="J159" s="194"/>
      <c r="K159" s="464">
        <f t="shared" si="64"/>
        <v>0</v>
      </c>
      <c r="L159" s="467"/>
      <c r="M159" s="203"/>
      <c r="N159" s="462">
        <f t="shared" si="65"/>
        <v>0</v>
      </c>
      <c r="O159" s="192"/>
      <c r="P159" s="192"/>
      <c r="Q159" s="464">
        <f t="shared" si="66"/>
        <v>0</v>
      </c>
      <c r="R159" s="467"/>
      <c r="S159" s="203"/>
      <c r="T159" s="462">
        <f t="shared" si="67"/>
        <v>0</v>
      </c>
      <c r="U159" s="191"/>
      <c r="V159" s="191"/>
      <c r="W159" s="464">
        <f t="shared" si="68"/>
        <v>0</v>
      </c>
      <c r="X159" s="467"/>
      <c r="Y159" s="203"/>
      <c r="Z159" s="462">
        <f t="shared" si="69"/>
        <v>0</v>
      </c>
      <c r="AA159" s="192"/>
      <c r="AB159" s="192"/>
      <c r="AC159" s="464">
        <f t="shared" si="70"/>
        <v>0</v>
      </c>
      <c r="AD159" s="467"/>
      <c r="AE159" s="203"/>
      <c r="AF159" s="462">
        <f t="shared" si="71"/>
        <v>0</v>
      </c>
      <c r="AG159" s="192"/>
      <c r="AH159" s="192"/>
      <c r="AI159" s="464">
        <f t="shared" si="72"/>
        <v>0</v>
      </c>
      <c r="AJ159" s="467">
        <v>15</v>
      </c>
      <c r="AK159" s="203">
        <v>53797</v>
      </c>
      <c r="AL159" s="462">
        <f t="shared" si="73"/>
        <v>806955</v>
      </c>
      <c r="AM159" s="290">
        <v>14</v>
      </c>
      <c r="AN159" s="291">
        <v>54220</v>
      </c>
      <c r="AO159" s="206">
        <f t="shared" si="74"/>
        <v>759080</v>
      </c>
      <c r="AP159" s="203"/>
      <c r="AQ159" s="203"/>
      <c r="AR159" s="462">
        <f t="shared" si="75"/>
        <v>0</v>
      </c>
      <c r="AS159" s="192"/>
      <c r="AT159" s="192"/>
      <c r="AU159" s="464">
        <f t="shared" si="76"/>
        <v>0</v>
      </c>
      <c r="AV159" s="467"/>
      <c r="AW159" s="203"/>
      <c r="AX159" s="462">
        <f t="shared" si="77"/>
        <v>0</v>
      </c>
      <c r="AY159" s="192"/>
      <c r="AZ159" s="192"/>
      <c r="BA159" s="464">
        <f t="shared" si="78"/>
        <v>0</v>
      </c>
      <c r="BB159" s="467"/>
      <c r="BC159" s="203"/>
      <c r="BD159" s="462">
        <f t="shared" si="79"/>
        <v>0</v>
      </c>
      <c r="BE159" s="192"/>
      <c r="BF159" s="192"/>
      <c r="BG159" s="464">
        <f t="shared" si="80"/>
        <v>0</v>
      </c>
      <c r="BH159" s="467"/>
      <c r="BI159" s="203"/>
      <c r="BJ159" s="462">
        <f t="shared" si="81"/>
        <v>0</v>
      </c>
      <c r="BK159" s="192"/>
      <c r="BL159" s="192"/>
      <c r="BM159" s="464">
        <f t="shared" si="82"/>
        <v>0</v>
      </c>
      <c r="BN159" s="467"/>
      <c r="BO159" s="203"/>
      <c r="BP159" s="462">
        <f t="shared" si="83"/>
        <v>0</v>
      </c>
      <c r="BQ159" s="192"/>
      <c r="BR159" s="192"/>
      <c r="BS159" s="464">
        <f t="shared" si="84"/>
        <v>0</v>
      </c>
      <c r="BT159" s="467">
        <v>82</v>
      </c>
      <c r="BU159" s="203">
        <v>61654</v>
      </c>
      <c r="BV159" s="462">
        <f t="shared" si="85"/>
        <v>4136514.8296000003</v>
      </c>
      <c r="BW159" s="290">
        <v>84</v>
      </c>
      <c r="BX159" s="291">
        <v>62752</v>
      </c>
      <c r="BY159" s="463">
        <f t="shared" si="86"/>
        <v>4312869.6576000005</v>
      </c>
    </row>
    <row r="160" spans="1:77" x14ac:dyDescent="0.2">
      <c r="A160" s="296" t="s">
        <v>112</v>
      </c>
      <c r="B160" s="287" t="s">
        <v>429</v>
      </c>
      <c r="C160" s="288"/>
      <c r="D160" s="289">
        <v>138840</v>
      </c>
      <c r="E160" s="243">
        <v>12</v>
      </c>
      <c r="F160" s="234"/>
      <c r="G160" s="208"/>
      <c r="H160" s="461">
        <f t="shared" si="63"/>
        <v>0</v>
      </c>
      <c r="I160" s="194"/>
      <c r="J160" s="194"/>
      <c r="K160" s="464">
        <f t="shared" si="64"/>
        <v>0</v>
      </c>
      <c r="L160" s="467"/>
      <c r="M160" s="203"/>
      <c r="N160" s="462">
        <f t="shared" si="65"/>
        <v>0</v>
      </c>
      <c r="O160" s="192"/>
      <c r="P160" s="192"/>
      <c r="Q160" s="464">
        <f t="shared" si="66"/>
        <v>0</v>
      </c>
      <c r="R160" s="467"/>
      <c r="S160" s="203"/>
      <c r="T160" s="462">
        <f t="shared" si="67"/>
        <v>0</v>
      </c>
      <c r="U160" s="191"/>
      <c r="V160" s="191"/>
      <c r="W160" s="464">
        <f t="shared" si="68"/>
        <v>0</v>
      </c>
      <c r="X160" s="467"/>
      <c r="Y160" s="203"/>
      <c r="Z160" s="462">
        <f t="shared" si="69"/>
        <v>0</v>
      </c>
      <c r="AA160" s="192"/>
      <c r="AB160" s="192"/>
      <c r="AC160" s="464">
        <f t="shared" si="70"/>
        <v>0</v>
      </c>
      <c r="AD160" s="467"/>
      <c r="AE160" s="203"/>
      <c r="AF160" s="462">
        <f t="shared" si="71"/>
        <v>0</v>
      </c>
      <c r="AG160" s="192"/>
      <c r="AH160" s="192"/>
      <c r="AI160" s="464">
        <f t="shared" si="72"/>
        <v>0</v>
      </c>
      <c r="AJ160" s="467"/>
      <c r="AK160" s="203"/>
      <c r="AL160" s="462">
        <f t="shared" si="73"/>
        <v>0</v>
      </c>
      <c r="AM160" s="290"/>
      <c r="AN160" s="291"/>
      <c r="AO160" s="206">
        <f t="shared" si="74"/>
        <v>0</v>
      </c>
      <c r="AP160" s="203"/>
      <c r="AQ160" s="203"/>
      <c r="AR160" s="462">
        <f t="shared" si="75"/>
        <v>0</v>
      </c>
      <c r="AS160" s="192"/>
      <c r="AT160" s="192"/>
      <c r="AU160" s="464">
        <f t="shared" si="76"/>
        <v>0</v>
      </c>
      <c r="AV160" s="467"/>
      <c r="AW160" s="203"/>
      <c r="AX160" s="462">
        <f t="shared" si="77"/>
        <v>0</v>
      </c>
      <c r="AY160" s="192"/>
      <c r="AZ160" s="192"/>
      <c r="BA160" s="464">
        <f t="shared" si="78"/>
        <v>0</v>
      </c>
      <c r="BB160" s="467"/>
      <c r="BC160" s="203"/>
      <c r="BD160" s="462">
        <f t="shared" si="79"/>
        <v>0</v>
      </c>
      <c r="BE160" s="192"/>
      <c r="BF160" s="192"/>
      <c r="BG160" s="464">
        <f t="shared" si="80"/>
        <v>0</v>
      </c>
      <c r="BH160" s="467"/>
      <c r="BI160" s="203"/>
      <c r="BJ160" s="462">
        <f t="shared" si="81"/>
        <v>0</v>
      </c>
      <c r="BK160" s="192"/>
      <c r="BL160" s="192"/>
      <c r="BM160" s="464">
        <f t="shared" si="82"/>
        <v>0</v>
      </c>
      <c r="BN160" s="467"/>
      <c r="BO160" s="203"/>
      <c r="BP160" s="462">
        <f t="shared" si="83"/>
        <v>0</v>
      </c>
      <c r="BQ160" s="192"/>
      <c r="BR160" s="192"/>
      <c r="BS160" s="464">
        <f t="shared" si="84"/>
        <v>0</v>
      </c>
      <c r="BT160" s="467">
        <v>89</v>
      </c>
      <c r="BU160" s="203">
        <v>53404</v>
      </c>
      <c r="BV160" s="462">
        <f t="shared" si="85"/>
        <v>3888868.5992000001</v>
      </c>
      <c r="BW160" s="290">
        <v>95</v>
      </c>
      <c r="BX160" s="291">
        <v>53040</v>
      </c>
      <c r="BY160" s="463">
        <f t="shared" si="86"/>
        <v>4122746.16</v>
      </c>
    </row>
    <row r="161" spans="1:77" x14ac:dyDescent="0.2">
      <c r="A161" s="296" t="s">
        <v>112</v>
      </c>
      <c r="B161" s="287" t="s">
        <v>430</v>
      </c>
      <c r="C161" s="288"/>
      <c r="D161" s="289">
        <v>138956</v>
      </c>
      <c r="E161" s="243">
        <v>12</v>
      </c>
      <c r="F161" s="234"/>
      <c r="G161" s="208"/>
      <c r="H161" s="461">
        <f t="shared" si="63"/>
        <v>0</v>
      </c>
      <c r="I161" s="194"/>
      <c r="J161" s="194"/>
      <c r="K161" s="464">
        <f t="shared" si="64"/>
        <v>0</v>
      </c>
      <c r="L161" s="467"/>
      <c r="M161" s="203"/>
      <c r="N161" s="462">
        <f t="shared" si="65"/>
        <v>0</v>
      </c>
      <c r="O161" s="192"/>
      <c r="P161" s="192"/>
      <c r="Q161" s="464">
        <f t="shared" si="66"/>
        <v>0</v>
      </c>
      <c r="R161" s="467"/>
      <c r="S161" s="203"/>
      <c r="T161" s="462">
        <f t="shared" si="67"/>
        <v>0</v>
      </c>
      <c r="U161" s="191"/>
      <c r="V161" s="191"/>
      <c r="W161" s="464">
        <f t="shared" si="68"/>
        <v>0</v>
      </c>
      <c r="X161" s="467"/>
      <c r="Y161" s="203"/>
      <c r="Z161" s="462">
        <f t="shared" si="69"/>
        <v>0</v>
      </c>
      <c r="AA161" s="192"/>
      <c r="AB161" s="192"/>
      <c r="AC161" s="464">
        <f t="shared" si="70"/>
        <v>0</v>
      </c>
      <c r="AD161" s="467"/>
      <c r="AE161" s="203"/>
      <c r="AF161" s="462">
        <f t="shared" si="71"/>
        <v>0</v>
      </c>
      <c r="AG161" s="192"/>
      <c r="AH161" s="192"/>
      <c r="AI161" s="464">
        <f t="shared" si="72"/>
        <v>0</v>
      </c>
      <c r="AJ161" s="467">
        <v>1</v>
      </c>
      <c r="AK161" s="203">
        <v>48384</v>
      </c>
      <c r="AL161" s="462">
        <f t="shared" si="73"/>
        <v>48384</v>
      </c>
      <c r="AM161" s="290">
        <v>2</v>
      </c>
      <c r="AN161" s="291">
        <v>53479</v>
      </c>
      <c r="AO161" s="206">
        <f t="shared" si="74"/>
        <v>106958</v>
      </c>
      <c r="AP161" s="203"/>
      <c r="AQ161" s="203"/>
      <c r="AR161" s="462">
        <f t="shared" si="75"/>
        <v>0</v>
      </c>
      <c r="AS161" s="192"/>
      <c r="AT161" s="192"/>
      <c r="AU161" s="464">
        <f t="shared" si="76"/>
        <v>0</v>
      </c>
      <c r="AV161" s="467"/>
      <c r="AW161" s="203"/>
      <c r="AX161" s="462">
        <f t="shared" si="77"/>
        <v>0</v>
      </c>
      <c r="AY161" s="192"/>
      <c r="AZ161" s="192"/>
      <c r="BA161" s="464">
        <f t="shared" si="78"/>
        <v>0</v>
      </c>
      <c r="BB161" s="467"/>
      <c r="BC161" s="203"/>
      <c r="BD161" s="462">
        <f t="shared" si="79"/>
        <v>0</v>
      </c>
      <c r="BE161" s="192"/>
      <c r="BF161" s="192"/>
      <c r="BG161" s="464">
        <f t="shared" si="80"/>
        <v>0</v>
      </c>
      <c r="BH161" s="467"/>
      <c r="BI161" s="203"/>
      <c r="BJ161" s="462">
        <f t="shared" si="81"/>
        <v>0</v>
      </c>
      <c r="BK161" s="192"/>
      <c r="BL161" s="192"/>
      <c r="BM161" s="464">
        <f t="shared" si="82"/>
        <v>0</v>
      </c>
      <c r="BN161" s="467"/>
      <c r="BO161" s="203"/>
      <c r="BP161" s="462">
        <f t="shared" si="83"/>
        <v>0</v>
      </c>
      <c r="BQ161" s="192"/>
      <c r="BR161" s="192"/>
      <c r="BS161" s="464">
        <f t="shared" si="84"/>
        <v>0</v>
      </c>
      <c r="BT161" s="467">
        <v>132</v>
      </c>
      <c r="BU161" s="203">
        <v>58378</v>
      </c>
      <c r="BV161" s="462">
        <f t="shared" si="85"/>
        <v>6304964.1072000004</v>
      </c>
      <c r="BW161" s="290">
        <v>131</v>
      </c>
      <c r="BX161" s="291">
        <v>57526</v>
      </c>
      <c r="BY161" s="463">
        <f t="shared" si="86"/>
        <v>6165878.2892000005</v>
      </c>
    </row>
    <row r="162" spans="1:77" x14ac:dyDescent="0.2">
      <c r="A162" s="296" t="s">
        <v>112</v>
      </c>
      <c r="B162" s="287" t="s">
        <v>431</v>
      </c>
      <c r="C162" s="288"/>
      <c r="D162" s="289">
        <v>140304</v>
      </c>
      <c r="E162" s="243">
        <v>12</v>
      </c>
      <c r="F162" s="234"/>
      <c r="G162" s="208"/>
      <c r="H162" s="461">
        <f t="shared" si="63"/>
        <v>0</v>
      </c>
      <c r="I162" s="194"/>
      <c r="J162" s="194"/>
      <c r="K162" s="464">
        <f t="shared" si="64"/>
        <v>0</v>
      </c>
      <c r="L162" s="467"/>
      <c r="M162" s="203"/>
      <c r="N162" s="462">
        <f t="shared" si="65"/>
        <v>0</v>
      </c>
      <c r="O162" s="192"/>
      <c r="P162" s="192"/>
      <c r="Q162" s="464">
        <f t="shared" si="66"/>
        <v>0</v>
      </c>
      <c r="R162" s="467"/>
      <c r="S162" s="203"/>
      <c r="T162" s="462">
        <f t="shared" si="67"/>
        <v>0</v>
      </c>
      <c r="U162" s="191"/>
      <c r="V162" s="191"/>
      <c r="W162" s="464">
        <f t="shared" si="68"/>
        <v>0</v>
      </c>
      <c r="X162" s="467"/>
      <c r="Y162" s="203"/>
      <c r="Z162" s="462">
        <f t="shared" si="69"/>
        <v>0</v>
      </c>
      <c r="AA162" s="192"/>
      <c r="AB162" s="192"/>
      <c r="AC162" s="464">
        <f t="shared" si="70"/>
        <v>0</v>
      </c>
      <c r="AD162" s="467"/>
      <c r="AE162" s="203"/>
      <c r="AF162" s="462">
        <f t="shared" si="71"/>
        <v>0</v>
      </c>
      <c r="AG162" s="192"/>
      <c r="AH162" s="192"/>
      <c r="AI162" s="464">
        <f t="shared" si="72"/>
        <v>0</v>
      </c>
      <c r="AJ162" s="467">
        <v>1</v>
      </c>
      <c r="AK162" s="203">
        <v>50329</v>
      </c>
      <c r="AL162" s="462">
        <f t="shared" si="73"/>
        <v>50329</v>
      </c>
      <c r="AM162" s="290">
        <v>1</v>
      </c>
      <c r="AN162" s="291">
        <v>52874</v>
      </c>
      <c r="AO162" s="206">
        <f t="shared" si="74"/>
        <v>52874</v>
      </c>
      <c r="AP162" s="203"/>
      <c r="AQ162" s="203"/>
      <c r="AR162" s="462">
        <f t="shared" si="75"/>
        <v>0</v>
      </c>
      <c r="AS162" s="192"/>
      <c r="AT162" s="192"/>
      <c r="AU162" s="464">
        <f t="shared" si="76"/>
        <v>0</v>
      </c>
      <c r="AV162" s="467"/>
      <c r="AW162" s="203"/>
      <c r="AX162" s="462">
        <f t="shared" si="77"/>
        <v>0</v>
      </c>
      <c r="AY162" s="192"/>
      <c r="AZ162" s="192"/>
      <c r="BA162" s="464">
        <f t="shared" si="78"/>
        <v>0</v>
      </c>
      <c r="BB162" s="467"/>
      <c r="BC162" s="203"/>
      <c r="BD162" s="462">
        <f t="shared" si="79"/>
        <v>0</v>
      </c>
      <c r="BE162" s="192"/>
      <c r="BF162" s="192"/>
      <c r="BG162" s="464">
        <f t="shared" si="80"/>
        <v>0</v>
      </c>
      <c r="BH162" s="467"/>
      <c r="BI162" s="203"/>
      <c r="BJ162" s="462">
        <f t="shared" si="81"/>
        <v>0</v>
      </c>
      <c r="BK162" s="192"/>
      <c r="BL162" s="192"/>
      <c r="BM162" s="464">
        <f t="shared" si="82"/>
        <v>0</v>
      </c>
      <c r="BN162" s="467"/>
      <c r="BO162" s="203"/>
      <c r="BP162" s="462">
        <f t="shared" si="83"/>
        <v>0</v>
      </c>
      <c r="BQ162" s="192"/>
      <c r="BR162" s="192"/>
      <c r="BS162" s="464">
        <f t="shared" si="84"/>
        <v>0</v>
      </c>
      <c r="BT162" s="467">
        <v>120</v>
      </c>
      <c r="BU162" s="203">
        <v>67277</v>
      </c>
      <c r="BV162" s="462">
        <f t="shared" si="85"/>
        <v>6605524.9680000003</v>
      </c>
      <c r="BW162" s="290">
        <v>123</v>
      </c>
      <c r="BX162" s="291">
        <v>70189</v>
      </c>
      <c r="BY162" s="463">
        <f t="shared" si="86"/>
        <v>7063722.6954000005</v>
      </c>
    </row>
    <row r="163" spans="1:77" x14ac:dyDescent="0.2">
      <c r="A163" s="296" t="s">
        <v>112</v>
      </c>
      <c r="B163" s="287" t="s">
        <v>432</v>
      </c>
      <c r="C163" s="288"/>
      <c r="D163" s="289">
        <v>140331</v>
      </c>
      <c r="E163" s="243">
        <v>12</v>
      </c>
      <c r="F163" s="234"/>
      <c r="G163" s="208"/>
      <c r="H163" s="461">
        <f t="shared" si="63"/>
        <v>0</v>
      </c>
      <c r="I163" s="194"/>
      <c r="J163" s="194"/>
      <c r="K163" s="464">
        <f t="shared" si="64"/>
        <v>0</v>
      </c>
      <c r="L163" s="467"/>
      <c r="M163" s="203"/>
      <c r="N163" s="462">
        <f t="shared" si="65"/>
        <v>0</v>
      </c>
      <c r="O163" s="192"/>
      <c r="P163" s="192"/>
      <c r="Q163" s="464">
        <f t="shared" si="66"/>
        <v>0</v>
      </c>
      <c r="R163" s="467"/>
      <c r="S163" s="203"/>
      <c r="T163" s="462">
        <f t="shared" si="67"/>
        <v>0</v>
      </c>
      <c r="U163" s="191"/>
      <c r="V163" s="191"/>
      <c r="W163" s="464">
        <f t="shared" si="68"/>
        <v>0</v>
      </c>
      <c r="X163" s="467"/>
      <c r="Y163" s="203"/>
      <c r="Z163" s="462">
        <f t="shared" si="69"/>
        <v>0</v>
      </c>
      <c r="AA163" s="192"/>
      <c r="AB163" s="192"/>
      <c r="AC163" s="464">
        <f t="shared" si="70"/>
        <v>0</v>
      </c>
      <c r="AD163" s="467"/>
      <c r="AE163" s="203"/>
      <c r="AF163" s="462">
        <f t="shared" si="71"/>
        <v>0</v>
      </c>
      <c r="AG163" s="192"/>
      <c r="AH163" s="192"/>
      <c r="AI163" s="464">
        <f t="shared" si="72"/>
        <v>0</v>
      </c>
      <c r="AJ163" s="467">
        <v>1</v>
      </c>
      <c r="AK163" s="203">
        <v>30082</v>
      </c>
      <c r="AL163" s="462">
        <f t="shared" si="73"/>
        <v>30082</v>
      </c>
      <c r="AM163" s="290">
        <v>1</v>
      </c>
      <c r="AN163" s="291">
        <v>27073</v>
      </c>
      <c r="AO163" s="206">
        <f t="shared" si="74"/>
        <v>27073</v>
      </c>
      <c r="AP163" s="203"/>
      <c r="AQ163" s="203"/>
      <c r="AR163" s="462">
        <f t="shared" si="75"/>
        <v>0</v>
      </c>
      <c r="AS163" s="192"/>
      <c r="AT163" s="192"/>
      <c r="AU163" s="464">
        <f t="shared" si="76"/>
        <v>0</v>
      </c>
      <c r="AV163" s="467"/>
      <c r="AW163" s="203"/>
      <c r="AX163" s="462">
        <f t="shared" si="77"/>
        <v>0</v>
      </c>
      <c r="AY163" s="192"/>
      <c r="AZ163" s="192"/>
      <c r="BA163" s="464">
        <f t="shared" si="78"/>
        <v>0</v>
      </c>
      <c r="BB163" s="467"/>
      <c r="BC163" s="203"/>
      <c r="BD163" s="462">
        <f t="shared" si="79"/>
        <v>0</v>
      </c>
      <c r="BE163" s="192"/>
      <c r="BF163" s="192"/>
      <c r="BG163" s="464">
        <f t="shared" si="80"/>
        <v>0</v>
      </c>
      <c r="BH163" s="467"/>
      <c r="BI163" s="203"/>
      <c r="BJ163" s="462">
        <f t="shared" si="81"/>
        <v>0</v>
      </c>
      <c r="BK163" s="192"/>
      <c r="BL163" s="192"/>
      <c r="BM163" s="464">
        <f t="shared" si="82"/>
        <v>0</v>
      </c>
      <c r="BN163" s="467"/>
      <c r="BO163" s="203"/>
      <c r="BP163" s="462">
        <f t="shared" si="83"/>
        <v>0</v>
      </c>
      <c r="BQ163" s="192"/>
      <c r="BR163" s="192"/>
      <c r="BS163" s="464">
        <f t="shared" si="84"/>
        <v>0</v>
      </c>
      <c r="BT163" s="467">
        <v>174</v>
      </c>
      <c r="BU163" s="203">
        <v>58167</v>
      </c>
      <c r="BV163" s="462">
        <f t="shared" si="85"/>
        <v>8281049.6556000002</v>
      </c>
      <c r="BW163" s="290">
        <v>185</v>
      </c>
      <c r="BX163" s="291">
        <v>56162</v>
      </c>
      <c r="BY163" s="463">
        <f t="shared" si="86"/>
        <v>8501073.4539999999</v>
      </c>
    </row>
    <row r="164" spans="1:77" x14ac:dyDescent="0.2">
      <c r="A164" s="286" t="s">
        <v>112</v>
      </c>
      <c r="B164" s="287" t="s">
        <v>433</v>
      </c>
      <c r="C164" s="288"/>
      <c r="D164" s="289">
        <v>139357</v>
      </c>
      <c r="E164" s="243">
        <v>12</v>
      </c>
      <c r="F164" s="234"/>
      <c r="G164" s="208"/>
      <c r="H164" s="461">
        <f t="shared" si="63"/>
        <v>0</v>
      </c>
      <c r="I164" s="194"/>
      <c r="J164" s="194"/>
      <c r="K164" s="464">
        <f t="shared" si="64"/>
        <v>0</v>
      </c>
      <c r="L164" s="467"/>
      <c r="M164" s="203"/>
      <c r="N164" s="462">
        <f t="shared" si="65"/>
        <v>0</v>
      </c>
      <c r="O164" s="192"/>
      <c r="P164" s="192"/>
      <c r="Q164" s="464">
        <f t="shared" si="66"/>
        <v>0</v>
      </c>
      <c r="R164" s="467"/>
      <c r="S164" s="203"/>
      <c r="T164" s="462">
        <f t="shared" si="67"/>
        <v>0</v>
      </c>
      <c r="U164" s="191"/>
      <c r="V164" s="191"/>
      <c r="W164" s="464">
        <f t="shared" si="68"/>
        <v>0</v>
      </c>
      <c r="X164" s="467"/>
      <c r="Y164" s="203"/>
      <c r="Z164" s="462">
        <f t="shared" si="69"/>
        <v>0</v>
      </c>
      <c r="AA164" s="192"/>
      <c r="AB164" s="192"/>
      <c r="AC164" s="464">
        <f t="shared" si="70"/>
        <v>0</v>
      </c>
      <c r="AD164" s="467"/>
      <c r="AE164" s="203"/>
      <c r="AF164" s="462">
        <f t="shared" si="71"/>
        <v>0</v>
      </c>
      <c r="AG164" s="192"/>
      <c r="AH164" s="192"/>
      <c r="AI164" s="464">
        <f t="shared" si="72"/>
        <v>0</v>
      </c>
      <c r="AJ164" s="467"/>
      <c r="AK164" s="203"/>
      <c r="AL164" s="462">
        <f t="shared" si="73"/>
        <v>0</v>
      </c>
      <c r="AM164" s="290"/>
      <c r="AN164" s="291"/>
      <c r="AO164" s="206">
        <f t="shared" si="74"/>
        <v>0</v>
      </c>
      <c r="AP164" s="203"/>
      <c r="AQ164" s="203"/>
      <c r="AR164" s="462">
        <f t="shared" si="75"/>
        <v>0</v>
      </c>
      <c r="AS164" s="192"/>
      <c r="AT164" s="192"/>
      <c r="AU164" s="464">
        <f t="shared" si="76"/>
        <v>0</v>
      </c>
      <c r="AV164" s="467"/>
      <c r="AW164" s="203"/>
      <c r="AX164" s="462">
        <f t="shared" si="77"/>
        <v>0</v>
      </c>
      <c r="AY164" s="192"/>
      <c r="AZ164" s="192"/>
      <c r="BA164" s="464">
        <f t="shared" si="78"/>
        <v>0</v>
      </c>
      <c r="BB164" s="467"/>
      <c r="BC164" s="203"/>
      <c r="BD164" s="462">
        <f t="shared" si="79"/>
        <v>0</v>
      </c>
      <c r="BE164" s="192"/>
      <c r="BF164" s="192"/>
      <c r="BG164" s="464">
        <f t="shared" si="80"/>
        <v>0</v>
      </c>
      <c r="BH164" s="467"/>
      <c r="BI164" s="203"/>
      <c r="BJ164" s="462">
        <f t="shared" si="81"/>
        <v>0</v>
      </c>
      <c r="BK164" s="192"/>
      <c r="BL164" s="192"/>
      <c r="BM164" s="464">
        <f t="shared" si="82"/>
        <v>0</v>
      </c>
      <c r="BN164" s="467"/>
      <c r="BO164" s="203"/>
      <c r="BP164" s="462">
        <f t="shared" si="83"/>
        <v>0</v>
      </c>
      <c r="BQ164" s="192"/>
      <c r="BR164" s="192"/>
      <c r="BS164" s="464">
        <f t="shared" si="84"/>
        <v>0</v>
      </c>
      <c r="BT164" s="467">
        <v>72</v>
      </c>
      <c r="BU164" s="203">
        <v>52964</v>
      </c>
      <c r="BV164" s="462">
        <f t="shared" si="85"/>
        <v>3120130.4256000002</v>
      </c>
      <c r="BW164" s="290">
        <v>70</v>
      </c>
      <c r="BX164" s="291">
        <v>51329</v>
      </c>
      <c r="BY164" s="463">
        <f t="shared" si="86"/>
        <v>2939817.1460000002</v>
      </c>
    </row>
    <row r="165" spans="1:77" x14ac:dyDescent="0.2">
      <c r="A165" s="286" t="s">
        <v>112</v>
      </c>
      <c r="B165" s="287" t="s">
        <v>434</v>
      </c>
      <c r="C165" s="288"/>
      <c r="D165" s="289">
        <v>139384</v>
      </c>
      <c r="E165" s="243">
        <v>12</v>
      </c>
      <c r="F165" s="234"/>
      <c r="G165" s="208"/>
      <c r="H165" s="461">
        <f t="shared" si="63"/>
        <v>0</v>
      </c>
      <c r="I165" s="194"/>
      <c r="J165" s="194"/>
      <c r="K165" s="464">
        <f t="shared" si="64"/>
        <v>0</v>
      </c>
      <c r="L165" s="467"/>
      <c r="M165" s="203"/>
      <c r="N165" s="462">
        <f t="shared" si="65"/>
        <v>0</v>
      </c>
      <c r="O165" s="192"/>
      <c r="P165" s="192"/>
      <c r="Q165" s="464">
        <f t="shared" si="66"/>
        <v>0</v>
      </c>
      <c r="R165" s="467"/>
      <c r="S165" s="203"/>
      <c r="T165" s="462">
        <f t="shared" si="67"/>
        <v>0</v>
      </c>
      <c r="U165" s="191"/>
      <c r="V165" s="191"/>
      <c r="W165" s="464">
        <f t="shared" si="68"/>
        <v>0</v>
      </c>
      <c r="X165" s="467"/>
      <c r="Y165" s="203"/>
      <c r="Z165" s="462">
        <f t="shared" si="69"/>
        <v>0</v>
      </c>
      <c r="AA165" s="192"/>
      <c r="AB165" s="192"/>
      <c r="AC165" s="464">
        <f t="shared" si="70"/>
        <v>0</v>
      </c>
      <c r="AD165" s="467"/>
      <c r="AE165" s="203"/>
      <c r="AF165" s="462">
        <f t="shared" si="71"/>
        <v>0</v>
      </c>
      <c r="AG165" s="192"/>
      <c r="AH165" s="192"/>
      <c r="AI165" s="464">
        <f t="shared" si="72"/>
        <v>0</v>
      </c>
      <c r="AJ165" s="467">
        <v>6</v>
      </c>
      <c r="AK165" s="203">
        <v>59692</v>
      </c>
      <c r="AL165" s="462">
        <f t="shared" si="73"/>
        <v>358152</v>
      </c>
      <c r="AM165" s="290">
        <v>7</v>
      </c>
      <c r="AN165" s="291">
        <v>53136</v>
      </c>
      <c r="AO165" s="206">
        <f t="shared" si="74"/>
        <v>371952</v>
      </c>
      <c r="AP165" s="203"/>
      <c r="AQ165" s="203"/>
      <c r="AR165" s="462">
        <f t="shared" si="75"/>
        <v>0</v>
      </c>
      <c r="AS165" s="192"/>
      <c r="AT165" s="192"/>
      <c r="AU165" s="464">
        <f t="shared" si="76"/>
        <v>0</v>
      </c>
      <c r="AV165" s="467"/>
      <c r="AW165" s="203"/>
      <c r="AX165" s="462">
        <f t="shared" si="77"/>
        <v>0</v>
      </c>
      <c r="AY165" s="192"/>
      <c r="AZ165" s="192"/>
      <c r="BA165" s="464">
        <f t="shared" si="78"/>
        <v>0</v>
      </c>
      <c r="BB165" s="467"/>
      <c r="BC165" s="203"/>
      <c r="BD165" s="462">
        <f t="shared" si="79"/>
        <v>0</v>
      </c>
      <c r="BE165" s="192"/>
      <c r="BF165" s="192"/>
      <c r="BG165" s="464">
        <f t="shared" si="80"/>
        <v>0</v>
      </c>
      <c r="BH165" s="467"/>
      <c r="BI165" s="203"/>
      <c r="BJ165" s="462">
        <f t="shared" si="81"/>
        <v>0</v>
      </c>
      <c r="BK165" s="192"/>
      <c r="BL165" s="192"/>
      <c r="BM165" s="464">
        <f t="shared" si="82"/>
        <v>0</v>
      </c>
      <c r="BN165" s="467"/>
      <c r="BO165" s="203"/>
      <c r="BP165" s="462">
        <f t="shared" si="83"/>
        <v>0</v>
      </c>
      <c r="BQ165" s="192"/>
      <c r="BR165" s="192"/>
      <c r="BS165" s="464">
        <f t="shared" si="84"/>
        <v>0</v>
      </c>
      <c r="BT165" s="467">
        <v>117</v>
      </c>
      <c r="BU165" s="203">
        <v>58519</v>
      </c>
      <c r="BV165" s="462">
        <f t="shared" si="85"/>
        <v>5601988.7586000003</v>
      </c>
      <c r="BW165" s="290">
        <v>118</v>
      </c>
      <c r="BX165" s="291">
        <v>56039</v>
      </c>
      <c r="BY165" s="463">
        <f t="shared" si="86"/>
        <v>5410430.9564000005</v>
      </c>
    </row>
    <row r="166" spans="1:77" x14ac:dyDescent="0.2">
      <c r="A166" s="286" t="s">
        <v>112</v>
      </c>
      <c r="B166" s="298" t="s">
        <v>514</v>
      </c>
      <c r="C166" s="340" t="s">
        <v>515</v>
      </c>
      <c r="D166" s="289">
        <v>244446</v>
      </c>
      <c r="E166" s="243">
        <v>12</v>
      </c>
      <c r="F166" s="234"/>
      <c r="G166" s="208"/>
      <c r="H166" s="461">
        <f t="shared" si="63"/>
        <v>0</v>
      </c>
      <c r="I166" s="194"/>
      <c r="J166" s="194"/>
      <c r="K166" s="464">
        <f t="shared" si="64"/>
        <v>0</v>
      </c>
      <c r="L166" s="467"/>
      <c r="M166" s="203"/>
      <c r="N166" s="462">
        <f t="shared" si="65"/>
        <v>0</v>
      </c>
      <c r="O166" s="192"/>
      <c r="P166" s="192"/>
      <c r="Q166" s="464">
        <f t="shared" si="66"/>
        <v>0</v>
      </c>
      <c r="R166" s="467"/>
      <c r="S166" s="203"/>
      <c r="T166" s="462">
        <f t="shared" si="67"/>
        <v>0</v>
      </c>
      <c r="U166" s="191"/>
      <c r="V166" s="191"/>
      <c r="W166" s="464">
        <f t="shared" si="68"/>
        <v>0</v>
      </c>
      <c r="X166" s="467"/>
      <c r="Y166" s="203"/>
      <c r="Z166" s="462">
        <f t="shared" si="69"/>
        <v>0</v>
      </c>
      <c r="AA166" s="192"/>
      <c r="AB166" s="192"/>
      <c r="AC166" s="464">
        <f t="shared" si="70"/>
        <v>0</v>
      </c>
      <c r="AD166" s="467"/>
      <c r="AE166" s="203"/>
      <c r="AF166" s="462">
        <f t="shared" si="71"/>
        <v>0</v>
      </c>
      <c r="AG166" s="192"/>
      <c r="AH166" s="192"/>
      <c r="AI166" s="464">
        <f t="shared" si="72"/>
        <v>0</v>
      </c>
      <c r="AJ166" s="467"/>
      <c r="AK166" s="203"/>
      <c r="AL166" s="462">
        <f t="shared" si="73"/>
        <v>0</v>
      </c>
      <c r="AM166" s="290"/>
      <c r="AN166" s="291"/>
      <c r="AO166" s="206">
        <f t="shared" si="74"/>
        <v>0</v>
      </c>
      <c r="AP166" s="203"/>
      <c r="AQ166" s="203"/>
      <c r="AR166" s="462">
        <f t="shared" si="75"/>
        <v>0</v>
      </c>
      <c r="AS166" s="192"/>
      <c r="AT166" s="192"/>
      <c r="AU166" s="464">
        <f t="shared" si="76"/>
        <v>0</v>
      </c>
      <c r="AV166" s="467"/>
      <c r="AW166" s="203"/>
      <c r="AX166" s="462">
        <f t="shared" si="77"/>
        <v>0</v>
      </c>
      <c r="AY166" s="192"/>
      <c r="AZ166" s="192"/>
      <c r="BA166" s="464">
        <f t="shared" si="78"/>
        <v>0</v>
      </c>
      <c r="BB166" s="467"/>
      <c r="BC166" s="203"/>
      <c r="BD166" s="462">
        <f t="shared" si="79"/>
        <v>0</v>
      </c>
      <c r="BE166" s="192"/>
      <c r="BF166" s="192"/>
      <c r="BG166" s="464">
        <f t="shared" si="80"/>
        <v>0</v>
      </c>
      <c r="BH166" s="467"/>
      <c r="BI166" s="203"/>
      <c r="BJ166" s="462">
        <f t="shared" si="81"/>
        <v>0</v>
      </c>
      <c r="BK166" s="192"/>
      <c r="BL166" s="192"/>
      <c r="BM166" s="464">
        <f t="shared" si="82"/>
        <v>0</v>
      </c>
      <c r="BN166" s="467"/>
      <c r="BO166" s="203"/>
      <c r="BP166" s="462">
        <f t="shared" si="83"/>
        <v>0</v>
      </c>
      <c r="BQ166" s="192"/>
      <c r="BR166" s="192"/>
      <c r="BS166" s="464">
        <f t="shared" si="84"/>
        <v>0</v>
      </c>
      <c r="BT166" s="467">
        <v>82</v>
      </c>
      <c r="BU166" s="203">
        <v>61144</v>
      </c>
      <c r="BV166" s="462">
        <f t="shared" si="85"/>
        <v>4102297.7056</v>
      </c>
      <c r="BW166" s="290">
        <v>84</v>
      </c>
      <c r="BX166" s="291">
        <v>59177</v>
      </c>
      <c r="BY166" s="463">
        <f t="shared" si="86"/>
        <v>4067164.1976000001</v>
      </c>
    </row>
    <row r="167" spans="1:77" x14ac:dyDescent="0.2">
      <c r="A167" s="296" t="s">
        <v>112</v>
      </c>
      <c r="B167" s="287" t="s">
        <v>435</v>
      </c>
      <c r="C167" s="288"/>
      <c r="D167" s="289">
        <v>140012</v>
      </c>
      <c r="E167" s="243">
        <v>12</v>
      </c>
      <c r="F167" s="234"/>
      <c r="G167" s="208"/>
      <c r="H167" s="461">
        <f t="shared" si="63"/>
        <v>0</v>
      </c>
      <c r="I167" s="194"/>
      <c r="J167" s="194"/>
      <c r="K167" s="464">
        <f t="shared" si="64"/>
        <v>0</v>
      </c>
      <c r="L167" s="467"/>
      <c r="M167" s="203"/>
      <c r="N167" s="462">
        <f t="shared" si="65"/>
        <v>0</v>
      </c>
      <c r="O167" s="192"/>
      <c r="P167" s="192"/>
      <c r="Q167" s="464">
        <f t="shared" si="66"/>
        <v>0</v>
      </c>
      <c r="R167" s="467"/>
      <c r="S167" s="203"/>
      <c r="T167" s="462">
        <f t="shared" si="67"/>
        <v>0</v>
      </c>
      <c r="U167" s="191"/>
      <c r="V167" s="191"/>
      <c r="W167" s="464">
        <f t="shared" si="68"/>
        <v>0</v>
      </c>
      <c r="X167" s="467"/>
      <c r="Y167" s="203"/>
      <c r="Z167" s="462">
        <f t="shared" si="69"/>
        <v>0</v>
      </c>
      <c r="AA167" s="192"/>
      <c r="AB167" s="192"/>
      <c r="AC167" s="464">
        <f t="shared" si="70"/>
        <v>0</v>
      </c>
      <c r="AD167" s="467"/>
      <c r="AE167" s="203"/>
      <c r="AF167" s="462">
        <f t="shared" si="71"/>
        <v>0</v>
      </c>
      <c r="AG167" s="192"/>
      <c r="AH167" s="192"/>
      <c r="AI167" s="464">
        <f t="shared" si="72"/>
        <v>0</v>
      </c>
      <c r="AJ167" s="467"/>
      <c r="AK167" s="203"/>
      <c r="AL167" s="462">
        <f t="shared" si="73"/>
        <v>0</v>
      </c>
      <c r="AM167" s="290"/>
      <c r="AN167" s="291"/>
      <c r="AO167" s="206">
        <f t="shared" si="74"/>
        <v>0</v>
      </c>
      <c r="AP167" s="203"/>
      <c r="AQ167" s="203"/>
      <c r="AR167" s="462">
        <f t="shared" si="75"/>
        <v>0</v>
      </c>
      <c r="AS167" s="192"/>
      <c r="AT167" s="192"/>
      <c r="AU167" s="464">
        <f t="shared" si="76"/>
        <v>0</v>
      </c>
      <c r="AV167" s="467"/>
      <c r="AW167" s="203"/>
      <c r="AX167" s="462">
        <f t="shared" si="77"/>
        <v>0</v>
      </c>
      <c r="AY167" s="192"/>
      <c r="AZ167" s="192"/>
      <c r="BA167" s="464">
        <f t="shared" si="78"/>
        <v>0</v>
      </c>
      <c r="BB167" s="467"/>
      <c r="BC167" s="203"/>
      <c r="BD167" s="462">
        <f t="shared" si="79"/>
        <v>0</v>
      </c>
      <c r="BE167" s="192"/>
      <c r="BF167" s="192"/>
      <c r="BG167" s="464">
        <f t="shared" si="80"/>
        <v>0</v>
      </c>
      <c r="BH167" s="467"/>
      <c r="BI167" s="203"/>
      <c r="BJ167" s="462">
        <f t="shared" si="81"/>
        <v>0</v>
      </c>
      <c r="BK167" s="192"/>
      <c r="BL167" s="192"/>
      <c r="BM167" s="464">
        <f t="shared" si="82"/>
        <v>0</v>
      </c>
      <c r="BN167" s="467"/>
      <c r="BO167" s="203"/>
      <c r="BP167" s="462">
        <f t="shared" si="83"/>
        <v>0</v>
      </c>
      <c r="BQ167" s="192"/>
      <c r="BR167" s="192"/>
      <c r="BS167" s="464">
        <f t="shared" si="84"/>
        <v>0</v>
      </c>
      <c r="BT167" s="467">
        <v>91</v>
      </c>
      <c r="BU167" s="203">
        <v>67471</v>
      </c>
      <c r="BV167" s="462">
        <f t="shared" si="85"/>
        <v>5023634.2702000001</v>
      </c>
      <c r="BW167" s="290">
        <v>88</v>
      </c>
      <c r="BX167" s="291">
        <v>65222</v>
      </c>
      <c r="BY167" s="463">
        <f t="shared" si="86"/>
        <v>4696088.3552000001</v>
      </c>
    </row>
    <row r="168" spans="1:77" x14ac:dyDescent="0.2">
      <c r="A168" s="296" t="s">
        <v>112</v>
      </c>
      <c r="B168" s="287" t="s">
        <v>436</v>
      </c>
      <c r="C168" s="288"/>
      <c r="D168" s="289">
        <v>140243</v>
      </c>
      <c r="E168" s="243">
        <v>12</v>
      </c>
      <c r="F168" s="234"/>
      <c r="G168" s="208"/>
      <c r="H168" s="461">
        <f t="shared" si="63"/>
        <v>0</v>
      </c>
      <c r="I168" s="194"/>
      <c r="J168" s="194"/>
      <c r="K168" s="464">
        <f t="shared" si="64"/>
        <v>0</v>
      </c>
      <c r="L168" s="467"/>
      <c r="M168" s="203"/>
      <c r="N168" s="462">
        <f t="shared" si="65"/>
        <v>0</v>
      </c>
      <c r="O168" s="192"/>
      <c r="P168" s="192"/>
      <c r="Q168" s="464">
        <f t="shared" si="66"/>
        <v>0</v>
      </c>
      <c r="R168" s="467"/>
      <c r="S168" s="203"/>
      <c r="T168" s="462">
        <f t="shared" si="67"/>
        <v>0</v>
      </c>
      <c r="U168" s="191"/>
      <c r="V168" s="191"/>
      <c r="W168" s="464">
        <f t="shared" si="68"/>
        <v>0</v>
      </c>
      <c r="X168" s="467"/>
      <c r="Y168" s="203"/>
      <c r="Z168" s="462">
        <f t="shared" si="69"/>
        <v>0</v>
      </c>
      <c r="AA168" s="192"/>
      <c r="AB168" s="192"/>
      <c r="AC168" s="464">
        <f t="shared" si="70"/>
        <v>0</v>
      </c>
      <c r="AD168" s="467"/>
      <c r="AE168" s="203"/>
      <c r="AF168" s="462">
        <f t="shared" si="71"/>
        <v>0</v>
      </c>
      <c r="AG168" s="192"/>
      <c r="AH168" s="192"/>
      <c r="AI168" s="464">
        <f t="shared" si="72"/>
        <v>0</v>
      </c>
      <c r="AJ168" s="467">
        <v>1</v>
      </c>
      <c r="AK168" s="203">
        <v>43074</v>
      </c>
      <c r="AL168" s="462">
        <f t="shared" si="73"/>
        <v>43074</v>
      </c>
      <c r="AM168" s="290">
        <v>10</v>
      </c>
      <c r="AN168" s="291">
        <v>40929</v>
      </c>
      <c r="AO168" s="206">
        <f t="shared" si="74"/>
        <v>409290</v>
      </c>
      <c r="AP168" s="203"/>
      <c r="AQ168" s="203"/>
      <c r="AR168" s="462">
        <f t="shared" si="75"/>
        <v>0</v>
      </c>
      <c r="AS168" s="192"/>
      <c r="AT168" s="192"/>
      <c r="AU168" s="464">
        <f t="shared" si="76"/>
        <v>0</v>
      </c>
      <c r="AV168" s="467"/>
      <c r="AW168" s="203"/>
      <c r="AX168" s="462">
        <f t="shared" si="77"/>
        <v>0</v>
      </c>
      <c r="AY168" s="192"/>
      <c r="AZ168" s="192"/>
      <c r="BA168" s="464">
        <f t="shared" si="78"/>
        <v>0</v>
      </c>
      <c r="BB168" s="467"/>
      <c r="BC168" s="203"/>
      <c r="BD168" s="462">
        <f t="shared" si="79"/>
        <v>0</v>
      </c>
      <c r="BE168" s="192"/>
      <c r="BF168" s="192"/>
      <c r="BG168" s="464">
        <f t="shared" si="80"/>
        <v>0</v>
      </c>
      <c r="BH168" s="467"/>
      <c r="BI168" s="203"/>
      <c r="BJ168" s="462">
        <f t="shared" si="81"/>
        <v>0</v>
      </c>
      <c r="BK168" s="192"/>
      <c r="BL168" s="192"/>
      <c r="BM168" s="464">
        <f t="shared" si="82"/>
        <v>0</v>
      </c>
      <c r="BN168" s="467"/>
      <c r="BO168" s="203"/>
      <c r="BP168" s="462">
        <f t="shared" si="83"/>
        <v>0</v>
      </c>
      <c r="BQ168" s="192"/>
      <c r="BR168" s="192"/>
      <c r="BS168" s="464">
        <f t="shared" si="84"/>
        <v>0</v>
      </c>
      <c r="BT168" s="467">
        <v>78</v>
      </c>
      <c r="BU168" s="203">
        <v>55886</v>
      </c>
      <c r="BV168" s="462">
        <f t="shared" si="85"/>
        <v>3566622.1655999999</v>
      </c>
      <c r="BW168" s="290">
        <v>78</v>
      </c>
      <c r="BX168" s="291">
        <v>54507</v>
      </c>
      <c r="BY168" s="463">
        <f t="shared" si="86"/>
        <v>3478614.9372</v>
      </c>
    </row>
    <row r="169" spans="1:77" x14ac:dyDescent="0.2">
      <c r="A169" s="296" t="s">
        <v>112</v>
      </c>
      <c r="B169" s="287" t="s">
        <v>437</v>
      </c>
      <c r="C169" s="288"/>
      <c r="D169" s="289">
        <v>140085</v>
      </c>
      <c r="E169" s="243">
        <v>12</v>
      </c>
      <c r="F169" s="234"/>
      <c r="G169" s="208"/>
      <c r="H169" s="461">
        <f t="shared" si="63"/>
        <v>0</v>
      </c>
      <c r="I169" s="194"/>
      <c r="J169" s="194"/>
      <c r="K169" s="464">
        <f t="shared" si="64"/>
        <v>0</v>
      </c>
      <c r="L169" s="467"/>
      <c r="M169" s="203"/>
      <c r="N169" s="462">
        <f t="shared" si="65"/>
        <v>0</v>
      </c>
      <c r="O169" s="192"/>
      <c r="P169" s="192"/>
      <c r="Q169" s="464">
        <f t="shared" si="66"/>
        <v>0</v>
      </c>
      <c r="R169" s="467"/>
      <c r="S169" s="203"/>
      <c r="T169" s="462">
        <f t="shared" si="67"/>
        <v>0</v>
      </c>
      <c r="U169" s="191"/>
      <c r="V169" s="191"/>
      <c r="W169" s="464">
        <f t="shared" si="68"/>
        <v>0</v>
      </c>
      <c r="X169" s="467"/>
      <c r="Y169" s="203"/>
      <c r="Z169" s="462">
        <f t="shared" si="69"/>
        <v>0</v>
      </c>
      <c r="AA169" s="192"/>
      <c r="AB169" s="192"/>
      <c r="AC169" s="464">
        <f t="shared" si="70"/>
        <v>0</v>
      </c>
      <c r="AD169" s="467"/>
      <c r="AE169" s="203"/>
      <c r="AF169" s="462">
        <f t="shared" si="71"/>
        <v>0</v>
      </c>
      <c r="AG169" s="192"/>
      <c r="AH169" s="192"/>
      <c r="AI169" s="464">
        <f t="shared" si="72"/>
        <v>0</v>
      </c>
      <c r="AJ169" s="467"/>
      <c r="AK169" s="203"/>
      <c r="AL169" s="462">
        <f t="shared" si="73"/>
        <v>0</v>
      </c>
      <c r="AM169" s="290"/>
      <c r="AN169" s="291"/>
      <c r="AO169" s="206">
        <f t="shared" si="74"/>
        <v>0</v>
      </c>
      <c r="AP169" s="203"/>
      <c r="AQ169" s="203"/>
      <c r="AR169" s="462">
        <f t="shared" si="75"/>
        <v>0</v>
      </c>
      <c r="AS169" s="192"/>
      <c r="AT169" s="192"/>
      <c r="AU169" s="464">
        <f t="shared" si="76"/>
        <v>0</v>
      </c>
      <c r="AV169" s="467"/>
      <c r="AW169" s="203"/>
      <c r="AX169" s="462">
        <f t="shared" si="77"/>
        <v>0</v>
      </c>
      <c r="AY169" s="192"/>
      <c r="AZ169" s="192"/>
      <c r="BA169" s="464">
        <f t="shared" si="78"/>
        <v>0</v>
      </c>
      <c r="BB169" s="467"/>
      <c r="BC169" s="203"/>
      <c r="BD169" s="462">
        <f t="shared" si="79"/>
        <v>0</v>
      </c>
      <c r="BE169" s="192"/>
      <c r="BF169" s="192"/>
      <c r="BG169" s="464">
        <f t="shared" si="80"/>
        <v>0</v>
      </c>
      <c r="BH169" s="467"/>
      <c r="BI169" s="203"/>
      <c r="BJ169" s="462">
        <f t="shared" si="81"/>
        <v>0</v>
      </c>
      <c r="BK169" s="192"/>
      <c r="BL169" s="192"/>
      <c r="BM169" s="464">
        <f t="shared" si="82"/>
        <v>0</v>
      </c>
      <c r="BN169" s="467"/>
      <c r="BO169" s="203"/>
      <c r="BP169" s="462">
        <f t="shared" si="83"/>
        <v>0</v>
      </c>
      <c r="BQ169" s="192"/>
      <c r="BR169" s="192"/>
      <c r="BS169" s="464">
        <f t="shared" si="84"/>
        <v>0</v>
      </c>
      <c r="BT169" s="467">
        <v>100</v>
      </c>
      <c r="BU169" s="203">
        <v>50130</v>
      </c>
      <c r="BV169" s="462">
        <f t="shared" si="85"/>
        <v>4101636.6</v>
      </c>
      <c r="BW169" s="290">
        <v>93</v>
      </c>
      <c r="BX169" s="291">
        <v>49044</v>
      </c>
      <c r="BY169" s="463">
        <f t="shared" si="86"/>
        <v>3731885.4744000002</v>
      </c>
    </row>
    <row r="170" spans="1:77" x14ac:dyDescent="0.2">
      <c r="A170" s="296" t="s">
        <v>112</v>
      </c>
      <c r="B170" s="287" t="s">
        <v>438</v>
      </c>
      <c r="C170" s="288"/>
      <c r="D170" s="289">
        <v>140599</v>
      </c>
      <c r="E170" s="243">
        <v>12</v>
      </c>
      <c r="F170" s="234"/>
      <c r="G170" s="208"/>
      <c r="H170" s="461">
        <f t="shared" si="63"/>
        <v>0</v>
      </c>
      <c r="I170" s="194"/>
      <c r="J170" s="194"/>
      <c r="K170" s="464">
        <f t="shared" si="64"/>
        <v>0</v>
      </c>
      <c r="L170" s="467"/>
      <c r="M170" s="203"/>
      <c r="N170" s="462">
        <f t="shared" si="65"/>
        <v>0</v>
      </c>
      <c r="O170" s="192"/>
      <c r="P170" s="192"/>
      <c r="Q170" s="464">
        <f t="shared" si="66"/>
        <v>0</v>
      </c>
      <c r="R170" s="467"/>
      <c r="S170" s="203"/>
      <c r="T170" s="462">
        <f t="shared" si="67"/>
        <v>0</v>
      </c>
      <c r="U170" s="191"/>
      <c r="V170" s="191"/>
      <c r="W170" s="464">
        <f t="shared" si="68"/>
        <v>0</v>
      </c>
      <c r="X170" s="467"/>
      <c r="Y170" s="203"/>
      <c r="Z170" s="462">
        <f t="shared" si="69"/>
        <v>0</v>
      </c>
      <c r="AA170" s="192"/>
      <c r="AB170" s="192"/>
      <c r="AC170" s="464">
        <f t="shared" si="70"/>
        <v>0</v>
      </c>
      <c r="AD170" s="467"/>
      <c r="AE170" s="203"/>
      <c r="AF170" s="462">
        <f t="shared" si="71"/>
        <v>0</v>
      </c>
      <c r="AG170" s="192"/>
      <c r="AH170" s="192"/>
      <c r="AI170" s="464">
        <f t="shared" si="72"/>
        <v>0</v>
      </c>
      <c r="AJ170" s="467"/>
      <c r="AK170" s="203"/>
      <c r="AL170" s="462">
        <f t="shared" si="73"/>
        <v>0</v>
      </c>
      <c r="AM170" s="290">
        <v>1</v>
      </c>
      <c r="AN170" s="291">
        <v>50004</v>
      </c>
      <c r="AO170" s="206">
        <f t="shared" si="74"/>
        <v>50004</v>
      </c>
      <c r="AP170" s="203"/>
      <c r="AQ170" s="203"/>
      <c r="AR170" s="462">
        <f t="shared" si="75"/>
        <v>0</v>
      </c>
      <c r="AS170" s="192"/>
      <c r="AT170" s="192"/>
      <c r="AU170" s="464">
        <f t="shared" si="76"/>
        <v>0</v>
      </c>
      <c r="AV170" s="467"/>
      <c r="AW170" s="203"/>
      <c r="AX170" s="462">
        <f t="shared" si="77"/>
        <v>0</v>
      </c>
      <c r="AY170" s="192"/>
      <c r="AZ170" s="192"/>
      <c r="BA170" s="464">
        <f t="shared" si="78"/>
        <v>0</v>
      </c>
      <c r="BB170" s="467"/>
      <c r="BC170" s="203"/>
      <c r="BD170" s="462">
        <f t="shared" si="79"/>
        <v>0</v>
      </c>
      <c r="BE170" s="192"/>
      <c r="BF170" s="192"/>
      <c r="BG170" s="464">
        <f t="shared" si="80"/>
        <v>0</v>
      </c>
      <c r="BH170" s="467"/>
      <c r="BI170" s="203"/>
      <c r="BJ170" s="462">
        <f t="shared" si="81"/>
        <v>0</v>
      </c>
      <c r="BK170" s="192"/>
      <c r="BL170" s="192"/>
      <c r="BM170" s="464">
        <f t="shared" si="82"/>
        <v>0</v>
      </c>
      <c r="BN170" s="467"/>
      <c r="BO170" s="203"/>
      <c r="BP170" s="462">
        <f t="shared" si="83"/>
        <v>0</v>
      </c>
      <c r="BQ170" s="192"/>
      <c r="BR170" s="192"/>
      <c r="BS170" s="464">
        <f t="shared" si="84"/>
        <v>0</v>
      </c>
      <c r="BT170" s="467">
        <v>60</v>
      </c>
      <c r="BU170" s="203">
        <v>51726</v>
      </c>
      <c r="BV170" s="462">
        <f t="shared" si="85"/>
        <v>2539332.7919999999</v>
      </c>
      <c r="BW170" s="290">
        <v>60</v>
      </c>
      <c r="BX170" s="291">
        <v>50978</v>
      </c>
      <c r="BY170" s="463">
        <f t="shared" si="86"/>
        <v>2502611.9760000003</v>
      </c>
    </row>
    <row r="171" spans="1:77" x14ac:dyDescent="0.2">
      <c r="A171" s="296" t="s">
        <v>112</v>
      </c>
      <c r="B171" s="287" t="s">
        <v>439</v>
      </c>
      <c r="C171" s="288"/>
      <c r="D171" s="289">
        <v>140678</v>
      </c>
      <c r="E171" s="243">
        <v>12</v>
      </c>
      <c r="F171" s="234"/>
      <c r="G171" s="208"/>
      <c r="H171" s="461">
        <f t="shared" si="63"/>
        <v>0</v>
      </c>
      <c r="I171" s="194"/>
      <c r="J171" s="194"/>
      <c r="K171" s="464">
        <f t="shared" si="64"/>
        <v>0</v>
      </c>
      <c r="L171" s="467"/>
      <c r="M171" s="203"/>
      <c r="N171" s="462">
        <f t="shared" si="65"/>
        <v>0</v>
      </c>
      <c r="O171" s="192"/>
      <c r="P171" s="192"/>
      <c r="Q171" s="464">
        <f t="shared" si="66"/>
        <v>0</v>
      </c>
      <c r="R171" s="467"/>
      <c r="S171" s="203"/>
      <c r="T171" s="462">
        <f t="shared" si="67"/>
        <v>0</v>
      </c>
      <c r="U171" s="191"/>
      <c r="V171" s="191"/>
      <c r="W171" s="464">
        <f t="shared" si="68"/>
        <v>0</v>
      </c>
      <c r="X171" s="467"/>
      <c r="Y171" s="203"/>
      <c r="Z171" s="462">
        <f t="shared" si="69"/>
        <v>0</v>
      </c>
      <c r="AA171" s="192"/>
      <c r="AB171" s="192"/>
      <c r="AC171" s="464">
        <f t="shared" si="70"/>
        <v>0</v>
      </c>
      <c r="AD171" s="467"/>
      <c r="AE171" s="203"/>
      <c r="AF171" s="462">
        <f t="shared" si="71"/>
        <v>0</v>
      </c>
      <c r="AG171" s="192"/>
      <c r="AH171" s="192"/>
      <c r="AI171" s="464">
        <f t="shared" si="72"/>
        <v>0</v>
      </c>
      <c r="AJ171" s="467"/>
      <c r="AK171" s="203"/>
      <c r="AL171" s="462">
        <f t="shared" si="73"/>
        <v>0</v>
      </c>
      <c r="AM171" s="290"/>
      <c r="AN171" s="291"/>
      <c r="AO171" s="206">
        <f t="shared" si="74"/>
        <v>0</v>
      </c>
      <c r="AP171" s="203"/>
      <c r="AQ171" s="203"/>
      <c r="AR171" s="462">
        <f t="shared" si="75"/>
        <v>0</v>
      </c>
      <c r="AS171" s="192"/>
      <c r="AT171" s="192"/>
      <c r="AU171" s="464">
        <f t="shared" si="76"/>
        <v>0</v>
      </c>
      <c r="AV171" s="467"/>
      <c r="AW171" s="203"/>
      <c r="AX171" s="462">
        <f t="shared" si="77"/>
        <v>0</v>
      </c>
      <c r="AY171" s="192"/>
      <c r="AZ171" s="192"/>
      <c r="BA171" s="464">
        <f t="shared" si="78"/>
        <v>0</v>
      </c>
      <c r="BB171" s="467"/>
      <c r="BC171" s="203"/>
      <c r="BD171" s="462">
        <f t="shared" si="79"/>
        <v>0</v>
      </c>
      <c r="BE171" s="192"/>
      <c r="BF171" s="192"/>
      <c r="BG171" s="464">
        <f t="shared" si="80"/>
        <v>0</v>
      </c>
      <c r="BH171" s="467"/>
      <c r="BI171" s="203"/>
      <c r="BJ171" s="462">
        <f t="shared" si="81"/>
        <v>0</v>
      </c>
      <c r="BK171" s="192"/>
      <c r="BL171" s="192"/>
      <c r="BM171" s="464">
        <f t="shared" si="82"/>
        <v>0</v>
      </c>
      <c r="BN171" s="467"/>
      <c r="BO171" s="203"/>
      <c r="BP171" s="462">
        <f t="shared" si="83"/>
        <v>0</v>
      </c>
      <c r="BQ171" s="192"/>
      <c r="BR171" s="192"/>
      <c r="BS171" s="464">
        <f t="shared" si="84"/>
        <v>0</v>
      </c>
      <c r="BT171" s="467">
        <v>71</v>
      </c>
      <c r="BU171" s="203">
        <v>48000</v>
      </c>
      <c r="BV171" s="462">
        <f t="shared" si="85"/>
        <v>2788425.6</v>
      </c>
      <c r="BW171" s="290">
        <v>71</v>
      </c>
      <c r="BX171" s="291">
        <v>48670</v>
      </c>
      <c r="BY171" s="463">
        <f t="shared" si="86"/>
        <v>2827347.3740000003</v>
      </c>
    </row>
    <row r="172" spans="1:77" x14ac:dyDescent="0.2">
      <c r="A172" s="296" t="s">
        <v>112</v>
      </c>
      <c r="B172" s="287" t="s">
        <v>440</v>
      </c>
      <c r="C172" s="288"/>
      <c r="D172" s="289">
        <v>366465</v>
      </c>
      <c r="E172" s="243">
        <v>12</v>
      </c>
      <c r="F172" s="234"/>
      <c r="G172" s="208"/>
      <c r="H172" s="461">
        <f t="shared" si="63"/>
        <v>0</v>
      </c>
      <c r="I172" s="194"/>
      <c r="J172" s="194"/>
      <c r="K172" s="464">
        <f t="shared" si="64"/>
        <v>0</v>
      </c>
      <c r="L172" s="467"/>
      <c r="M172" s="203"/>
      <c r="N172" s="462">
        <f t="shared" si="65"/>
        <v>0</v>
      </c>
      <c r="O172" s="192"/>
      <c r="P172" s="192"/>
      <c r="Q172" s="464">
        <f t="shared" si="66"/>
        <v>0</v>
      </c>
      <c r="R172" s="467"/>
      <c r="S172" s="203"/>
      <c r="T172" s="462">
        <f t="shared" si="67"/>
        <v>0</v>
      </c>
      <c r="U172" s="191"/>
      <c r="V172" s="191"/>
      <c r="W172" s="464">
        <f t="shared" si="68"/>
        <v>0</v>
      </c>
      <c r="X172" s="467"/>
      <c r="Y172" s="203"/>
      <c r="Z172" s="462">
        <f t="shared" si="69"/>
        <v>0</v>
      </c>
      <c r="AA172" s="192"/>
      <c r="AB172" s="192"/>
      <c r="AC172" s="464">
        <f t="shared" si="70"/>
        <v>0</v>
      </c>
      <c r="AD172" s="467"/>
      <c r="AE172" s="203"/>
      <c r="AF172" s="462">
        <f t="shared" si="71"/>
        <v>0</v>
      </c>
      <c r="AG172" s="192"/>
      <c r="AH172" s="192"/>
      <c r="AI172" s="464">
        <f t="shared" si="72"/>
        <v>0</v>
      </c>
      <c r="AJ172" s="467"/>
      <c r="AK172" s="203"/>
      <c r="AL172" s="462">
        <f t="shared" si="73"/>
        <v>0</v>
      </c>
      <c r="AM172" s="290"/>
      <c r="AN172" s="291"/>
      <c r="AO172" s="206">
        <f t="shared" si="74"/>
        <v>0</v>
      </c>
      <c r="AP172" s="203"/>
      <c r="AQ172" s="203"/>
      <c r="AR172" s="462">
        <f t="shared" si="75"/>
        <v>0</v>
      </c>
      <c r="AS172" s="192"/>
      <c r="AT172" s="192"/>
      <c r="AU172" s="464">
        <f t="shared" si="76"/>
        <v>0</v>
      </c>
      <c r="AV172" s="467"/>
      <c r="AW172" s="203"/>
      <c r="AX172" s="462">
        <f t="shared" si="77"/>
        <v>0</v>
      </c>
      <c r="AY172" s="192"/>
      <c r="AZ172" s="192"/>
      <c r="BA172" s="464">
        <f t="shared" si="78"/>
        <v>0</v>
      </c>
      <c r="BB172" s="467"/>
      <c r="BC172" s="203"/>
      <c r="BD172" s="462">
        <f t="shared" si="79"/>
        <v>0</v>
      </c>
      <c r="BE172" s="192"/>
      <c r="BF172" s="192"/>
      <c r="BG172" s="464">
        <f t="shared" si="80"/>
        <v>0</v>
      </c>
      <c r="BH172" s="467"/>
      <c r="BI172" s="203"/>
      <c r="BJ172" s="462">
        <f t="shared" si="81"/>
        <v>0</v>
      </c>
      <c r="BK172" s="192"/>
      <c r="BL172" s="192"/>
      <c r="BM172" s="464">
        <f t="shared" si="82"/>
        <v>0</v>
      </c>
      <c r="BN172" s="467"/>
      <c r="BO172" s="203"/>
      <c r="BP172" s="462">
        <f t="shared" si="83"/>
        <v>0</v>
      </c>
      <c r="BQ172" s="192"/>
      <c r="BR172" s="192"/>
      <c r="BS172" s="464">
        <f t="shared" si="84"/>
        <v>0</v>
      </c>
      <c r="BT172" s="467">
        <v>71</v>
      </c>
      <c r="BU172" s="203">
        <v>50957</v>
      </c>
      <c r="BV172" s="462">
        <f t="shared" si="85"/>
        <v>2960204.2354000001</v>
      </c>
      <c r="BW172" s="290">
        <v>68</v>
      </c>
      <c r="BX172" s="291">
        <v>50913</v>
      </c>
      <c r="BY172" s="463">
        <f t="shared" si="86"/>
        <v>2832677.1288000001</v>
      </c>
    </row>
    <row r="173" spans="1:77" x14ac:dyDescent="0.2">
      <c r="A173" s="296" t="s">
        <v>112</v>
      </c>
      <c r="B173" s="287" t="s">
        <v>441</v>
      </c>
      <c r="C173" s="288"/>
      <c r="D173" s="289">
        <v>248776</v>
      </c>
      <c r="E173" s="243">
        <v>12</v>
      </c>
      <c r="F173" s="234"/>
      <c r="G173" s="208"/>
      <c r="H173" s="461">
        <f t="shared" si="63"/>
        <v>0</v>
      </c>
      <c r="I173" s="194"/>
      <c r="J173" s="194"/>
      <c r="K173" s="464">
        <f t="shared" si="64"/>
        <v>0</v>
      </c>
      <c r="L173" s="467"/>
      <c r="M173" s="203"/>
      <c r="N173" s="462">
        <f t="shared" si="65"/>
        <v>0</v>
      </c>
      <c r="O173" s="192"/>
      <c r="P173" s="192"/>
      <c r="Q173" s="464">
        <f t="shared" si="66"/>
        <v>0</v>
      </c>
      <c r="R173" s="467"/>
      <c r="S173" s="203"/>
      <c r="T173" s="462">
        <f t="shared" si="67"/>
        <v>0</v>
      </c>
      <c r="U173" s="191"/>
      <c r="V173" s="191"/>
      <c r="W173" s="464">
        <f t="shared" si="68"/>
        <v>0</v>
      </c>
      <c r="X173" s="467"/>
      <c r="Y173" s="203"/>
      <c r="Z173" s="462">
        <f t="shared" si="69"/>
        <v>0</v>
      </c>
      <c r="AA173" s="192"/>
      <c r="AB173" s="192"/>
      <c r="AC173" s="464">
        <f t="shared" si="70"/>
        <v>0</v>
      </c>
      <c r="AD173" s="467"/>
      <c r="AE173" s="203"/>
      <c r="AF173" s="462">
        <f t="shared" si="71"/>
        <v>0</v>
      </c>
      <c r="AG173" s="192"/>
      <c r="AH173" s="192"/>
      <c r="AI173" s="464">
        <f t="shared" si="72"/>
        <v>0</v>
      </c>
      <c r="AJ173" s="467">
        <v>2</v>
      </c>
      <c r="AK173" s="203">
        <v>36726</v>
      </c>
      <c r="AL173" s="462">
        <f t="shared" si="73"/>
        <v>73452</v>
      </c>
      <c r="AM173" s="290">
        <v>1</v>
      </c>
      <c r="AN173" s="291">
        <v>37704</v>
      </c>
      <c r="AO173" s="206">
        <f t="shared" si="74"/>
        <v>37704</v>
      </c>
      <c r="AP173" s="203"/>
      <c r="AQ173" s="203"/>
      <c r="AR173" s="462">
        <f t="shared" si="75"/>
        <v>0</v>
      </c>
      <c r="AS173" s="192"/>
      <c r="AT173" s="192"/>
      <c r="AU173" s="464">
        <f t="shared" si="76"/>
        <v>0</v>
      </c>
      <c r="AV173" s="467"/>
      <c r="AW173" s="203"/>
      <c r="AX173" s="462">
        <f t="shared" si="77"/>
        <v>0</v>
      </c>
      <c r="AY173" s="192"/>
      <c r="AZ173" s="192"/>
      <c r="BA173" s="464">
        <f t="shared" si="78"/>
        <v>0</v>
      </c>
      <c r="BB173" s="467"/>
      <c r="BC173" s="203"/>
      <c r="BD173" s="462">
        <f t="shared" si="79"/>
        <v>0</v>
      </c>
      <c r="BE173" s="192"/>
      <c r="BF173" s="192"/>
      <c r="BG173" s="464">
        <f t="shared" si="80"/>
        <v>0</v>
      </c>
      <c r="BH173" s="467"/>
      <c r="BI173" s="203"/>
      <c r="BJ173" s="462">
        <f t="shared" si="81"/>
        <v>0</v>
      </c>
      <c r="BK173" s="192"/>
      <c r="BL173" s="192"/>
      <c r="BM173" s="464">
        <f t="shared" si="82"/>
        <v>0</v>
      </c>
      <c r="BN173" s="467"/>
      <c r="BO173" s="203"/>
      <c r="BP173" s="462">
        <f t="shared" si="83"/>
        <v>0</v>
      </c>
      <c r="BQ173" s="192"/>
      <c r="BR173" s="192"/>
      <c r="BS173" s="464">
        <f t="shared" si="84"/>
        <v>0</v>
      </c>
      <c r="BT173" s="467">
        <v>50</v>
      </c>
      <c r="BU173" s="203">
        <v>47731</v>
      </c>
      <c r="BV173" s="462">
        <f t="shared" si="85"/>
        <v>1952675.2100000002</v>
      </c>
      <c r="BW173" s="290">
        <v>44</v>
      </c>
      <c r="BX173" s="291">
        <v>48528</v>
      </c>
      <c r="BY173" s="463">
        <f t="shared" si="86"/>
        <v>1747046.8224000002</v>
      </c>
    </row>
    <row r="174" spans="1:77" x14ac:dyDescent="0.2">
      <c r="A174" s="296" t="s">
        <v>112</v>
      </c>
      <c r="B174" s="287" t="s">
        <v>442</v>
      </c>
      <c r="C174" s="288"/>
      <c r="D174" s="289">
        <v>140942</v>
      </c>
      <c r="E174" s="243">
        <v>12</v>
      </c>
      <c r="F174" s="234"/>
      <c r="G174" s="208"/>
      <c r="H174" s="461">
        <f t="shared" si="63"/>
        <v>0</v>
      </c>
      <c r="I174" s="194"/>
      <c r="J174" s="194"/>
      <c r="K174" s="464">
        <f t="shared" si="64"/>
        <v>0</v>
      </c>
      <c r="L174" s="467"/>
      <c r="M174" s="203"/>
      <c r="N174" s="462">
        <f t="shared" si="65"/>
        <v>0</v>
      </c>
      <c r="O174" s="192"/>
      <c r="P174" s="192"/>
      <c r="Q174" s="464">
        <f t="shared" si="66"/>
        <v>0</v>
      </c>
      <c r="R174" s="467"/>
      <c r="S174" s="203"/>
      <c r="T174" s="462">
        <f t="shared" si="67"/>
        <v>0</v>
      </c>
      <c r="U174" s="191"/>
      <c r="V174" s="191"/>
      <c r="W174" s="464">
        <f t="shared" si="68"/>
        <v>0</v>
      </c>
      <c r="X174" s="467"/>
      <c r="Y174" s="203"/>
      <c r="Z174" s="462">
        <f t="shared" si="69"/>
        <v>0</v>
      </c>
      <c r="AA174" s="192"/>
      <c r="AB174" s="192"/>
      <c r="AC174" s="464">
        <f t="shared" si="70"/>
        <v>0</v>
      </c>
      <c r="AD174" s="467"/>
      <c r="AE174" s="203"/>
      <c r="AF174" s="462">
        <f t="shared" si="71"/>
        <v>0</v>
      </c>
      <c r="AG174" s="192"/>
      <c r="AH174" s="192"/>
      <c r="AI174" s="464">
        <f t="shared" si="72"/>
        <v>0</v>
      </c>
      <c r="AJ174" s="467">
        <v>2</v>
      </c>
      <c r="AK174" s="203">
        <v>54546</v>
      </c>
      <c r="AL174" s="462">
        <f t="shared" si="73"/>
        <v>109092</v>
      </c>
      <c r="AM174" s="290">
        <v>1</v>
      </c>
      <c r="AN174" s="291">
        <v>52776</v>
      </c>
      <c r="AO174" s="206">
        <f t="shared" si="74"/>
        <v>52776</v>
      </c>
      <c r="AP174" s="203"/>
      <c r="AQ174" s="203"/>
      <c r="AR174" s="462">
        <f t="shared" si="75"/>
        <v>0</v>
      </c>
      <c r="AS174" s="192"/>
      <c r="AT174" s="192"/>
      <c r="AU174" s="464">
        <f t="shared" si="76"/>
        <v>0</v>
      </c>
      <c r="AV174" s="467"/>
      <c r="AW174" s="203"/>
      <c r="AX174" s="462">
        <f t="shared" si="77"/>
        <v>0</v>
      </c>
      <c r="AY174" s="192"/>
      <c r="AZ174" s="192"/>
      <c r="BA174" s="464">
        <f t="shared" si="78"/>
        <v>0</v>
      </c>
      <c r="BB174" s="467"/>
      <c r="BC174" s="203"/>
      <c r="BD174" s="462">
        <f t="shared" si="79"/>
        <v>0</v>
      </c>
      <c r="BE174" s="192"/>
      <c r="BF174" s="192"/>
      <c r="BG174" s="464">
        <f t="shared" si="80"/>
        <v>0</v>
      </c>
      <c r="BH174" s="467"/>
      <c r="BI174" s="203"/>
      <c r="BJ174" s="462">
        <f t="shared" si="81"/>
        <v>0</v>
      </c>
      <c r="BK174" s="192"/>
      <c r="BL174" s="192"/>
      <c r="BM174" s="464">
        <f t="shared" si="82"/>
        <v>0</v>
      </c>
      <c r="BN174" s="467"/>
      <c r="BO174" s="203"/>
      <c r="BP174" s="462">
        <f t="shared" si="83"/>
        <v>0</v>
      </c>
      <c r="BQ174" s="192"/>
      <c r="BR174" s="192"/>
      <c r="BS174" s="464">
        <f t="shared" si="84"/>
        <v>0</v>
      </c>
      <c r="BT174" s="467">
        <v>90</v>
      </c>
      <c r="BU174" s="203">
        <v>53925</v>
      </c>
      <c r="BV174" s="462">
        <f t="shared" si="85"/>
        <v>3970929.1500000004</v>
      </c>
      <c r="BW174" s="290">
        <v>89</v>
      </c>
      <c r="BX174" s="291">
        <v>53801</v>
      </c>
      <c r="BY174" s="463">
        <f t="shared" si="86"/>
        <v>3917778.0598000004</v>
      </c>
    </row>
    <row r="175" spans="1:77" x14ac:dyDescent="0.2">
      <c r="A175" s="296" t="s">
        <v>112</v>
      </c>
      <c r="B175" s="287" t="s">
        <v>443</v>
      </c>
      <c r="C175" s="288"/>
      <c r="D175" s="289">
        <v>141006</v>
      </c>
      <c r="E175" s="243">
        <v>12</v>
      </c>
      <c r="F175" s="234"/>
      <c r="G175" s="208"/>
      <c r="H175" s="461">
        <f t="shared" si="63"/>
        <v>0</v>
      </c>
      <c r="I175" s="194"/>
      <c r="J175" s="194"/>
      <c r="K175" s="464">
        <f t="shared" si="64"/>
        <v>0</v>
      </c>
      <c r="L175" s="467"/>
      <c r="M175" s="203"/>
      <c r="N175" s="462">
        <f t="shared" si="65"/>
        <v>0</v>
      </c>
      <c r="O175" s="192"/>
      <c r="P175" s="192"/>
      <c r="Q175" s="464">
        <f t="shared" si="66"/>
        <v>0</v>
      </c>
      <c r="R175" s="467"/>
      <c r="S175" s="203"/>
      <c r="T175" s="462">
        <f t="shared" si="67"/>
        <v>0</v>
      </c>
      <c r="U175" s="191"/>
      <c r="V175" s="191"/>
      <c r="W175" s="464">
        <f t="shared" si="68"/>
        <v>0</v>
      </c>
      <c r="X175" s="467"/>
      <c r="Y175" s="203"/>
      <c r="Z175" s="462">
        <f t="shared" si="69"/>
        <v>0</v>
      </c>
      <c r="AA175" s="192"/>
      <c r="AB175" s="192"/>
      <c r="AC175" s="464">
        <f t="shared" si="70"/>
        <v>0</v>
      </c>
      <c r="AD175" s="467"/>
      <c r="AE175" s="203"/>
      <c r="AF175" s="462">
        <f t="shared" si="71"/>
        <v>0</v>
      </c>
      <c r="AG175" s="192"/>
      <c r="AH175" s="192"/>
      <c r="AI175" s="464">
        <f t="shared" si="72"/>
        <v>0</v>
      </c>
      <c r="AJ175" s="467"/>
      <c r="AK175" s="203"/>
      <c r="AL175" s="462">
        <f t="shared" si="73"/>
        <v>0</v>
      </c>
      <c r="AM175" s="290"/>
      <c r="AN175" s="291"/>
      <c r="AO175" s="206">
        <f t="shared" si="74"/>
        <v>0</v>
      </c>
      <c r="AP175" s="203"/>
      <c r="AQ175" s="203"/>
      <c r="AR175" s="462">
        <f t="shared" si="75"/>
        <v>0</v>
      </c>
      <c r="AS175" s="192"/>
      <c r="AT175" s="192"/>
      <c r="AU175" s="464">
        <f t="shared" si="76"/>
        <v>0</v>
      </c>
      <c r="AV175" s="467"/>
      <c r="AW175" s="203"/>
      <c r="AX175" s="462">
        <f t="shared" si="77"/>
        <v>0</v>
      </c>
      <c r="AY175" s="192"/>
      <c r="AZ175" s="192"/>
      <c r="BA175" s="464">
        <f t="shared" si="78"/>
        <v>0</v>
      </c>
      <c r="BB175" s="467"/>
      <c r="BC175" s="203"/>
      <c r="BD175" s="462">
        <f t="shared" si="79"/>
        <v>0</v>
      </c>
      <c r="BE175" s="192"/>
      <c r="BF175" s="192"/>
      <c r="BG175" s="464">
        <f t="shared" si="80"/>
        <v>0</v>
      </c>
      <c r="BH175" s="467"/>
      <c r="BI175" s="203"/>
      <c r="BJ175" s="462">
        <f t="shared" si="81"/>
        <v>0</v>
      </c>
      <c r="BK175" s="192"/>
      <c r="BL175" s="192"/>
      <c r="BM175" s="464">
        <f t="shared" si="82"/>
        <v>0</v>
      </c>
      <c r="BN175" s="467"/>
      <c r="BO175" s="203"/>
      <c r="BP175" s="462">
        <f t="shared" si="83"/>
        <v>0</v>
      </c>
      <c r="BQ175" s="192"/>
      <c r="BR175" s="192"/>
      <c r="BS175" s="464">
        <f t="shared" si="84"/>
        <v>0</v>
      </c>
      <c r="BT175" s="467">
        <v>64</v>
      </c>
      <c r="BU175" s="203">
        <v>51710</v>
      </c>
      <c r="BV175" s="462">
        <f t="shared" si="85"/>
        <v>2707783.8080000002</v>
      </c>
      <c r="BW175" s="290">
        <v>63</v>
      </c>
      <c r="BX175" s="291">
        <v>53165</v>
      </c>
      <c r="BY175" s="463">
        <f t="shared" si="86"/>
        <v>2740474.9890000001</v>
      </c>
    </row>
    <row r="176" spans="1:77" x14ac:dyDescent="0.2">
      <c r="A176" s="296" t="s">
        <v>112</v>
      </c>
      <c r="B176" s="287" t="s">
        <v>444</v>
      </c>
      <c r="C176" s="288"/>
      <c r="D176" s="289">
        <v>368911</v>
      </c>
      <c r="E176" s="243">
        <v>12</v>
      </c>
      <c r="F176" s="234"/>
      <c r="G176" s="208"/>
      <c r="H176" s="461">
        <f t="shared" si="63"/>
        <v>0</v>
      </c>
      <c r="I176" s="194"/>
      <c r="J176" s="194"/>
      <c r="K176" s="464">
        <f t="shared" si="64"/>
        <v>0</v>
      </c>
      <c r="L176" s="467"/>
      <c r="M176" s="203"/>
      <c r="N176" s="462">
        <f t="shared" si="65"/>
        <v>0</v>
      </c>
      <c r="O176" s="192"/>
      <c r="P176" s="192"/>
      <c r="Q176" s="464">
        <f t="shared" si="66"/>
        <v>0</v>
      </c>
      <c r="R176" s="467"/>
      <c r="S176" s="203"/>
      <c r="T176" s="462">
        <f t="shared" si="67"/>
        <v>0</v>
      </c>
      <c r="U176" s="191"/>
      <c r="V176" s="191"/>
      <c r="W176" s="464">
        <f t="shared" si="68"/>
        <v>0</v>
      </c>
      <c r="X176" s="467"/>
      <c r="Y176" s="203"/>
      <c r="Z176" s="462">
        <f t="shared" si="69"/>
        <v>0</v>
      </c>
      <c r="AA176" s="192"/>
      <c r="AB176" s="192"/>
      <c r="AC176" s="464">
        <f t="shared" si="70"/>
        <v>0</v>
      </c>
      <c r="AD176" s="467"/>
      <c r="AE176" s="203"/>
      <c r="AF176" s="462">
        <f t="shared" si="71"/>
        <v>0</v>
      </c>
      <c r="AG176" s="192"/>
      <c r="AH176" s="192"/>
      <c r="AI176" s="464">
        <f t="shared" si="72"/>
        <v>0</v>
      </c>
      <c r="AJ176" s="467"/>
      <c r="AK176" s="203"/>
      <c r="AL176" s="462">
        <f t="shared" si="73"/>
        <v>0</v>
      </c>
      <c r="AM176" s="290"/>
      <c r="AN176" s="291"/>
      <c r="AO176" s="206">
        <f t="shared" si="74"/>
        <v>0</v>
      </c>
      <c r="AP176" s="203"/>
      <c r="AQ176" s="203"/>
      <c r="AR176" s="462">
        <f t="shared" si="75"/>
        <v>0</v>
      </c>
      <c r="AS176" s="192"/>
      <c r="AT176" s="192"/>
      <c r="AU176" s="464">
        <f t="shared" si="76"/>
        <v>0</v>
      </c>
      <c r="AV176" s="467"/>
      <c r="AW176" s="203"/>
      <c r="AX176" s="462">
        <f t="shared" si="77"/>
        <v>0</v>
      </c>
      <c r="AY176" s="192"/>
      <c r="AZ176" s="192"/>
      <c r="BA176" s="464">
        <f t="shared" si="78"/>
        <v>0</v>
      </c>
      <c r="BB176" s="467"/>
      <c r="BC176" s="203"/>
      <c r="BD176" s="462">
        <f t="shared" si="79"/>
        <v>0</v>
      </c>
      <c r="BE176" s="192"/>
      <c r="BF176" s="192"/>
      <c r="BG176" s="464">
        <f t="shared" si="80"/>
        <v>0</v>
      </c>
      <c r="BH176" s="467"/>
      <c r="BI176" s="203"/>
      <c r="BJ176" s="462">
        <f t="shared" si="81"/>
        <v>0</v>
      </c>
      <c r="BK176" s="192"/>
      <c r="BL176" s="192"/>
      <c r="BM176" s="464">
        <f t="shared" si="82"/>
        <v>0</v>
      </c>
      <c r="BN176" s="467"/>
      <c r="BO176" s="203"/>
      <c r="BP176" s="462">
        <f t="shared" si="83"/>
        <v>0</v>
      </c>
      <c r="BQ176" s="192"/>
      <c r="BR176" s="192"/>
      <c r="BS176" s="464">
        <f t="shared" si="84"/>
        <v>0</v>
      </c>
      <c r="BT176" s="467">
        <v>70</v>
      </c>
      <c r="BU176" s="203">
        <v>51867</v>
      </c>
      <c r="BV176" s="462">
        <f t="shared" si="85"/>
        <v>2970630.5580000002</v>
      </c>
      <c r="BW176" s="290">
        <v>70</v>
      </c>
      <c r="BX176" s="291">
        <v>51306</v>
      </c>
      <c r="BY176" s="463">
        <f t="shared" si="86"/>
        <v>2938499.844</v>
      </c>
    </row>
    <row r="177" spans="1:77" x14ac:dyDescent="0.2">
      <c r="A177" s="296" t="s">
        <v>112</v>
      </c>
      <c r="B177" s="293" t="s">
        <v>445</v>
      </c>
      <c r="C177" s="294"/>
      <c r="D177" s="289">
        <v>139986</v>
      </c>
      <c r="E177" s="243">
        <v>12</v>
      </c>
      <c r="F177" s="234"/>
      <c r="G177" s="208"/>
      <c r="H177" s="461">
        <f t="shared" si="63"/>
        <v>0</v>
      </c>
      <c r="I177" s="194"/>
      <c r="J177" s="194"/>
      <c r="K177" s="464">
        <f t="shared" si="64"/>
        <v>0</v>
      </c>
      <c r="L177" s="467"/>
      <c r="M177" s="203"/>
      <c r="N177" s="462">
        <f t="shared" si="65"/>
        <v>0</v>
      </c>
      <c r="O177" s="192"/>
      <c r="P177" s="192"/>
      <c r="Q177" s="464">
        <f t="shared" si="66"/>
        <v>0</v>
      </c>
      <c r="R177" s="467"/>
      <c r="S177" s="203"/>
      <c r="T177" s="462">
        <f t="shared" si="67"/>
        <v>0</v>
      </c>
      <c r="U177" s="191"/>
      <c r="V177" s="191"/>
      <c r="W177" s="464">
        <f t="shared" si="68"/>
        <v>0</v>
      </c>
      <c r="X177" s="467"/>
      <c r="Y177" s="203"/>
      <c r="Z177" s="462">
        <f t="shared" si="69"/>
        <v>0</v>
      </c>
      <c r="AA177" s="192"/>
      <c r="AB177" s="192"/>
      <c r="AC177" s="464">
        <f t="shared" si="70"/>
        <v>0</v>
      </c>
      <c r="AD177" s="467"/>
      <c r="AE177" s="203"/>
      <c r="AF177" s="462">
        <f t="shared" si="71"/>
        <v>0</v>
      </c>
      <c r="AG177" s="192"/>
      <c r="AH177" s="192"/>
      <c r="AI177" s="464">
        <f t="shared" si="72"/>
        <v>0</v>
      </c>
      <c r="AJ177" s="467"/>
      <c r="AK177" s="203"/>
      <c r="AL177" s="462">
        <f t="shared" si="73"/>
        <v>0</v>
      </c>
      <c r="AM177" s="290"/>
      <c r="AN177" s="291"/>
      <c r="AO177" s="206">
        <f t="shared" si="74"/>
        <v>0</v>
      </c>
      <c r="AP177" s="203"/>
      <c r="AQ177" s="203"/>
      <c r="AR177" s="462">
        <f t="shared" si="75"/>
        <v>0</v>
      </c>
      <c r="AS177" s="192"/>
      <c r="AT177" s="192"/>
      <c r="AU177" s="464">
        <f t="shared" si="76"/>
        <v>0</v>
      </c>
      <c r="AV177" s="467"/>
      <c r="AW177" s="203"/>
      <c r="AX177" s="462">
        <f t="shared" si="77"/>
        <v>0</v>
      </c>
      <c r="AY177" s="192"/>
      <c r="AZ177" s="192"/>
      <c r="BA177" s="464">
        <f t="shared" si="78"/>
        <v>0</v>
      </c>
      <c r="BB177" s="467"/>
      <c r="BC177" s="203"/>
      <c r="BD177" s="462">
        <f t="shared" si="79"/>
        <v>0</v>
      </c>
      <c r="BE177" s="192"/>
      <c r="BF177" s="192"/>
      <c r="BG177" s="464">
        <f t="shared" si="80"/>
        <v>0</v>
      </c>
      <c r="BH177" s="467"/>
      <c r="BI177" s="203"/>
      <c r="BJ177" s="462">
        <f t="shared" si="81"/>
        <v>0</v>
      </c>
      <c r="BK177" s="192"/>
      <c r="BL177" s="192"/>
      <c r="BM177" s="464">
        <f t="shared" si="82"/>
        <v>0</v>
      </c>
      <c r="BN177" s="467"/>
      <c r="BO177" s="203"/>
      <c r="BP177" s="462">
        <f t="shared" si="83"/>
        <v>0</v>
      </c>
      <c r="BQ177" s="192"/>
      <c r="BR177" s="192"/>
      <c r="BS177" s="464">
        <f t="shared" si="84"/>
        <v>0</v>
      </c>
      <c r="BT177" s="467">
        <v>110</v>
      </c>
      <c r="BU177" s="203">
        <v>53461</v>
      </c>
      <c r="BV177" s="462">
        <f t="shared" si="85"/>
        <v>4811596.9220000003</v>
      </c>
      <c r="BW177" s="290">
        <v>107</v>
      </c>
      <c r="BX177" s="291">
        <v>53840</v>
      </c>
      <c r="BY177" s="463">
        <f t="shared" si="86"/>
        <v>4713552.0159999998</v>
      </c>
    </row>
    <row r="178" spans="1:77" x14ac:dyDescent="0.2">
      <c r="A178" s="296" t="s">
        <v>112</v>
      </c>
      <c r="B178" s="287" t="s">
        <v>446</v>
      </c>
      <c r="C178" s="288"/>
      <c r="D178" s="289">
        <v>141158</v>
      </c>
      <c r="E178" s="243">
        <v>12</v>
      </c>
      <c r="F178" s="234"/>
      <c r="G178" s="208"/>
      <c r="H178" s="461">
        <f t="shared" si="63"/>
        <v>0</v>
      </c>
      <c r="I178" s="194"/>
      <c r="J178" s="194"/>
      <c r="K178" s="464">
        <f t="shared" si="64"/>
        <v>0</v>
      </c>
      <c r="L178" s="467"/>
      <c r="M178" s="203"/>
      <c r="N178" s="462">
        <f t="shared" si="65"/>
        <v>0</v>
      </c>
      <c r="O178" s="192"/>
      <c r="P178" s="192"/>
      <c r="Q178" s="464">
        <f t="shared" si="66"/>
        <v>0</v>
      </c>
      <c r="R178" s="467"/>
      <c r="S178" s="203"/>
      <c r="T178" s="462">
        <f t="shared" si="67"/>
        <v>0</v>
      </c>
      <c r="U178" s="191"/>
      <c r="V178" s="191"/>
      <c r="W178" s="464">
        <f t="shared" si="68"/>
        <v>0</v>
      </c>
      <c r="X178" s="467"/>
      <c r="Y178" s="203"/>
      <c r="Z178" s="462">
        <f t="shared" si="69"/>
        <v>0</v>
      </c>
      <c r="AA178" s="192"/>
      <c r="AB178" s="192"/>
      <c r="AC178" s="464">
        <f t="shared" si="70"/>
        <v>0</v>
      </c>
      <c r="AD178" s="467"/>
      <c r="AE178" s="203"/>
      <c r="AF178" s="462">
        <f t="shared" si="71"/>
        <v>0</v>
      </c>
      <c r="AG178" s="192"/>
      <c r="AH178" s="192"/>
      <c r="AI178" s="464">
        <f t="shared" si="72"/>
        <v>0</v>
      </c>
      <c r="AJ178" s="467">
        <v>1</v>
      </c>
      <c r="AK178" s="203">
        <v>42744</v>
      </c>
      <c r="AL178" s="462">
        <f t="shared" si="73"/>
        <v>42744</v>
      </c>
      <c r="AM178" s="290">
        <v>1</v>
      </c>
      <c r="AN178" s="291">
        <v>42744</v>
      </c>
      <c r="AO178" s="206">
        <f t="shared" si="74"/>
        <v>42744</v>
      </c>
      <c r="AP178" s="203"/>
      <c r="AQ178" s="203"/>
      <c r="AR178" s="462">
        <f t="shared" si="75"/>
        <v>0</v>
      </c>
      <c r="AS178" s="192"/>
      <c r="AT178" s="192"/>
      <c r="AU178" s="464">
        <f t="shared" si="76"/>
        <v>0</v>
      </c>
      <c r="AV178" s="467"/>
      <c r="AW178" s="203"/>
      <c r="AX178" s="462">
        <f t="shared" si="77"/>
        <v>0</v>
      </c>
      <c r="AY178" s="192"/>
      <c r="AZ178" s="192"/>
      <c r="BA178" s="464">
        <f t="shared" si="78"/>
        <v>0</v>
      </c>
      <c r="BB178" s="467"/>
      <c r="BC178" s="203"/>
      <c r="BD178" s="462">
        <f t="shared" si="79"/>
        <v>0</v>
      </c>
      <c r="BE178" s="192"/>
      <c r="BF178" s="192"/>
      <c r="BG178" s="464">
        <f t="shared" si="80"/>
        <v>0</v>
      </c>
      <c r="BH178" s="467"/>
      <c r="BI178" s="203"/>
      <c r="BJ178" s="462">
        <f t="shared" si="81"/>
        <v>0</v>
      </c>
      <c r="BK178" s="192"/>
      <c r="BL178" s="192"/>
      <c r="BM178" s="464">
        <f t="shared" si="82"/>
        <v>0</v>
      </c>
      <c r="BN178" s="467"/>
      <c r="BO178" s="203"/>
      <c r="BP178" s="462">
        <f t="shared" si="83"/>
        <v>0</v>
      </c>
      <c r="BQ178" s="192"/>
      <c r="BR178" s="192"/>
      <c r="BS178" s="464">
        <f t="shared" si="84"/>
        <v>0</v>
      </c>
      <c r="BT178" s="467">
        <v>47</v>
      </c>
      <c r="BU178" s="203">
        <v>55004</v>
      </c>
      <c r="BV178" s="462">
        <f t="shared" si="85"/>
        <v>2115200.8215999999</v>
      </c>
      <c r="BW178" s="290">
        <v>54</v>
      </c>
      <c r="BX178" s="291">
        <v>56018</v>
      </c>
      <c r="BY178" s="463">
        <f t="shared" si="86"/>
        <v>2475032.0904000001</v>
      </c>
    </row>
    <row r="179" spans="1:77" x14ac:dyDescent="0.2">
      <c r="A179" s="296" t="s">
        <v>112</v>
      </c>
      <c r="B179" s="287" t="s">
        <v>447</v>
      </c>
      <c r="C179" s="288"/>
      <c r="D179" s="289">
        <v>139278</v>
      </c>
      <c r="E179" s="243">
        <v>12</v>
      </c>
      <c r="F179" s="234"/>
      <c r="G179" s="208"/>
      <c r="H179" s="461">
        <f t="shared" si="63"/>
        <v>0</v>
      </c>
      <c r="I179" s="194"/>
      <c r="J179" s="194"/>
      <c r="K179" s="464">
        <f t="shared" si="64"/>
        <v>0</v>
      </c>
      <c r="L179" s="467"/>
      <c r="M179" s="203"/>
      <c r="N179" s="462">
        <f t="shared" si="65"/>
        <v>0</v>
      </c>
      <c r="O179" s="192"/>
      <c r="P179" s="192"/>
      <c r="Q179" s="464">
        <f t="shared" si="66"/>
        <v>0</v>
      </c>
      <c r="R179" s="467"/>
      <c r="S179" s="203"/>
      <c r="T179" s="462">
        <f t="shared" si="67"/>
        <v>0</v>
      </c>
      <c r="U179" s="191"/>
      <c r="V179" s="191"/>
      <c r="W179" s="464">
        <f t="shared" si="68"/>
        <v>0</v>
      </c>
      <c r="X179" s="467"/>
      <c r="Y179" s="203"/>
      <c r="Z179" s="462">
        <f t="shared" si="69"/>
        <v>0</v>
      </c>
      <c r="AA179" s="192"/>
      <c r="AB179" s="192"/>
      <c r="AC179" s="464">
        <f t="shared" si="70"/>
        <v>0</v>
      </c>
      <c r="AD179" s="467"/>
      <c r="AE179" s="203"/>
      <c r="AF179" s="462">
        <f t="shared" si="71"/>
        <v>0</v>
      </c>
      <c r="AG179" s="192"/>
      <c r="AH179" s="192"/>
      <c r="AI179" s="464">
        <f t="shared" si="72"/>
        <v>0</v>
      </c>
      <c r="AJ179" s="467">
        <v>1</v>
      </c>
      <c r="AK179" s="203">
        <v>48858</v>
      </c>
      <c r="AL179" s="462">
        <f t="shared" si="73"/>
        <v>48858</v>
      </c>
      <c r="AM179" s="290"/>
      <c r="AN179" s="291"/>
      <c r="AO179" s="206">
        <f t="shared" si="74"/>
        <v>0</v>
      </c>
      <c r="AP179" s="203"/>
      <c r="AQ179" s="203"/>
      <c r="AR179" s="462">
        <f t="shared" si="75"/>
        <v>0</v>
      </c>
      <c r="AS179" s="192"/>
      <c r="AT179" s="192"/>
      <c r="AU179" s="464">
        <f t="shared" si="76"/>
        <v>0</v>
      </c>
      <c r="AV179" s="467"/>
      <c r="AW179" s="203"/>
      <c r="AX179" s="462">
        <f t="shared" si="77"/>
        <v>0</v>
      </c>
      <c r="AY179" s="192"/>
      <c r="AZ179" s="192"/>
      <c r="BA179" s="464">
        <f t="shared" si="78"/>
        <v>0</v>
      </c>
      <c r="BB179" s="467"/>
      <c r="BC179" s="203"/>
      <c r="BD179" s="462">
        <f t="shared" si="79"/>
        <v>0</v>
      </c>
      <c r="BE179" s="192"/>
      <c r="BF179" s="192"/>
      <c r="BG179" s="464">
        <f t="shared" si="80"/>
        <v>0</v>
      </c>
      <c r="BH179" s="467"/>
      <c r="BI179" s="203"/>
      <c r="BJ179" s="462">
        <f t="shared" si="81"/>
        <v>0</v>
      </c>
      <c r="BK179" s="192"/>
      <c r="BL179" s="192"/>
      <c r="BM179" s="464">
        <f t="shared" si="82"/>
        <v>0</v>
      </c>
      <c r="BN179" s="467"/>
      <c r="BO179" s="203"/>
      <c r="BP179" s="462">
        <f t="shared" si="83"/>
        <v>0</v>
      </c>
      <c r="BQ179" s="192"/>
      <c r="BR179" s="192"/>
      <c r="BS179" s="464">
        <f t="shared" si="84"/>
        <v>0</v>
      </c>
      <c r="BT179" s="467">
        <v>145</v>
      </c>
      <c r="BU179" s="203">
        <v>49747</v>
      </c>
      <c r="BV179" s="462">
        <f t="shared" si="85"/>
        <v>5901934.3330000006</v>
      </c>
      <c r="BW179" s="290">
        <v>135</v>
      </c>
      <c r="BX179" s="291">
        <v>49419</v>
      </c>
      <c r="BY179" s="463">
        <f t="shared" si="86"/>
        <v>5458674.483</v>
      </c>
    </row>
    <row r="180" spans="1:77" x14ac:dyDescent="0.2">
      <c r="A180" s="296" t="s">
        <v>112</v>
      </c>
      <c r="B180" s="293" t="s">
        <v>448</v>
      </c>
      <c r="C180" s="294"/>
      <c r="D180" s="289">
        <v>141255</v>
      </c>
      <c r="E180" s="243">
        <v>12</v>
      </c>
      <c r="F180" s="234"/>
      <c r="G180" s="208"/>
      <c r="H180" s="461">
        <f t="shared" si="63"/>
        <v>0</v>
      </c>
      <c r="I180" s="194"/>
      <c r="J180" s="194"/>
      <c r="K180" s="464">
        <f t="shared" si="64"/>
        <v>0</v>
      </c>
      <c r="L180" s="467"/>
      <c r="M180" s="203"/>
      <c r="N180" s="462">
        <f t="shared" si="65"/>
        <v>0</v>
      </c>
      <c r="O180" s="192"/>
      <c r="P180" s="192"/>
      <c r="Q180" s="464">
        <f t="shared" si="66"/>
        <v>0</v>
      </c>
      <c r="R180" s="467"/>
      <c r="S180" s="203"/>
      <c r="T180" s="462">
        <f t="shared" si="67"/>
        <v>0</v>
      </c>
      <c r="U180" s="191"/>
      <c r="V180" s="191"/>
      <c r="W180" s="464">
        <f t="shared" si="68"/>
        <v>0</v>
      </c>
      <c r="X180" s="467"/>
      <c r="Y180" s="203"/>
      <c r="Z180" s="462">
        <f t="shared" si="69"/>
        <v>0</v>
      </c>
      <c r="AA180" s="192"/>
      <c r="AB180" s="192"/>
      <c r="AC180" s="464">
        <f t="shared" si="70"/>
        <v>0</v>
      </c>
      <c r="AD180" s="467"/>
      <c r="AE180" s="203"/>
      <c r="AF180" s="462">
        <f t="shared" si="71"/>
        <v>0</v>
      </c>
      <c r="AG180" s="192"/>
      <c r="AH180" s="192"/>
      <c r="AI180" s="464">
        <f t="shared" si="72"/>
        <v>0</v>
      </c>
      <c r="AJ180" s="467"/>
      <c r="AK180" s="203"/>
      <c r="AL180" s="462">
        <f t="shared" si="73"/>
        <v>0</v>
      </c>
      <c r="AM180" s="290"/>
      <c r="AN180" s="291"/>
      <c r="AO180" s="206">
        <f t="shared" si="74"/>
        <v>0</v>
      </c>
      <c r="AP180" s="203"/>
      <c r="AQ180" s="203"/>
      <c r="AR180" s="462">
        <f t="shared" si="75"/>
        <v>0</v>
      </c>
      <c r="AS180" s="192"/>
      <c r="AT180" s="192"/>
      <c r="AU180" s="464">
        <f t="shared" si="76"/>
        <v>0</v>
      </c>
      <c r="AV180" s="467"/>
      <c r="AW180" s="203"/>
      <c r="AX180" s="462">
        <f t="shared" si="77"/>
        <v>0</v>
      </c>
      <c r="AY180" s="192"/>
      <c r="AZ180" s="192"/>
      <c r="BA180" s="464">
        <f t="shared" si="78"/>
        <v>0</v>
      </c>
      <c r="BB180" s="467"/>
      <c r="BC180" s="203"/>
      <c r="BD180" s="462">
        <f t="shared" si="79"/>
        <v>0</v>
      </c>
      <c r="BE180" s="192"/>
      <c r="BF180" s="192"/>
      <c r="BG180" s="464">
        <f t="shared" si="80"/>
        <v>0</v>
      </c>
      <c r="BH180" s="467"/>
      <c r="BI180" s="203"/>
      <c r="BJ180" s="462">
        <f t="shared" si="81"/>
        <v>0</v>
      </c>
      <c r="BK180" s="192"/>
      <c r="BL180" s="192"/>
      <c r="BM180" s="464">
        <f t="shared" si="82"/>
        <v>0</v>
      </c>
      <c r="BN180" s="467"/>
      <c r="BO180" s="203"/>
      <c r="BP180" s="462">
        <f t="shared" si="83"/>
        <v>0</v>
      </c>
      <c r="BQ180" s="192"/>
      <c r="BR180" s="192"/>
      <c r="BS180" s="464">
        <f t="shared" si="84"/>
        <v>0</v>
      </c>
      <c r="BT180" s="467">
        <v>121</v>
      </c>
      <c r="BU180" s="203">
        <v>47846</v>
      </c>
      <c r="BV180" s="462">
        <f t="shared" si="85"/>
        <v>4736859.2612000005</v>
      </c>
      <c r="BW180" s="290">
        <v>129</v>
      </c>
      <c r="BX180" s="291">
        <v>48475</v>
      </c>
      <c r="BY180" s="463">
        <f t="shared" si="86"/>
        <v>5116429.6050000004</v>
      </c>
    </row>
    <row r="181" spans="1:77" x14ac:dyDescent="0.2">
      <c r="A181" s="297" t="s">
        <v>112</v>
      </c>
      <c r="B181" s="298" t="s">
        <v>449</v>
      </c>
      <c r="C181" s="340" t="s">
        <v>450</v>
      </c>
      <c r="D181" s="299">
        <v>420431</v>
      </c>
      <c r="E181" s="243">
        <v>12</v>
      </c>
      <c r="F181" s="234"/>
      <c r="G181" s="208"/>
      <c r="H181" s="461">
        <f t="shared" si="63"/>
        <v>0</v>
      </c>
      <c r="I181" s="194"/>
      <c r="J181" s="194"/>
      <c r="K181" s="464">
        <f t="shared" si="64"/>
        <v>0</v>
      </c>
      <c r="L181" s="467"/>
      <c r="M181" s="203"/>
      <c r="N181" s="462">
        <f t="shared" si="65"/>
        <v>0</v>
      </c>
      <c r="O181" s="192"/>
      <c r="P181" s="192"/>
      <c r="Q181" s="464">
        <f t="shared" si="66"/>
        <v>0</v>
      </c>
      <c r="R181" s="467"/>
      <c r="S181" s="203"/>
      <c r="T181" s="462">
        <f t="shared" si="67"/>
        <v>0</v>
      </c>
      <c r="U181" s="191"/>
      <c r="V181" s="191"/>
      <c r="W181" s="464">
        <f t="shared" si="68"/>
        <v>0</v>
      </c>
      <c r="X181" s="467"/>
      <c r="Y181" s="203"/>
      <c r="Z181" s="462">
        <f t="shared" si="69"/>
        <v>0</v>
      </c>
      <c r="AA181" s="192"/>
      <c r="AB181" s="192"/>
      <c r="AC181" s="464">
        <f t="shared" si="70"/>
        <v>0</v>
      </c>
      <c r="AD181" s="467"/>
      <c r="AE181" s="203"/>
      <c r="AF181" s="462">
        <f t="shared" si="71"/>
        <v>0</v>
      </c>
      <c r="AG181" s="192"/>
      <c r="AH181" s="192"/>
      <c r="AI181" s="464">
        <f t="shared" si="72"/>
        <v>0</v>
      </c>
      <c r="AJ181" s="467"/>
      <c r="AK181" s="203"/>
      <c r="AL181" s="462">
        <f t="shared" si="73"/>
        <v>0</v>
      </c>
      <c r="AM181" s="290"/>
      <c r="AN181" s="291"/>
      <c r="AO181" s="206">
        <f t="shared" si="74"/>
        <v>0</v>
      </c>
      <c r="AP181" s="203"/>
      <c r="AQ181" s="203"/>
      <c r="AR181" s="462">
        <f t="shared" si="75"/>
        <v>0</v>
      </c>
      <c r="AS181" s="192"/>
      <c r="AT181" s="192"/>
      <c r="AU181" s="464">
        <f t="shared" si="76"/>
        <v>0</v>
      </c>
      <c r="AV181" s="467"/>
      <c r="AW181" s="203"/>
      <c r="AX181" s="462">
        <f t="shared" si="77"/>
        <v>0</v>
      </c>
      <c r="AY181" s="192"/>
      <c r="AZ181" s="192"/>
      <c r="BA181" s="464">
        <f t="shared" si="78"/>
        <v>0</v>
      </c>
      <c r="BB181" s="467"/>
      <c r="BC181" s="203"/>
      <c r="BD181" s="462">
        <f t="shared" si="79"/>
        <v>0</v>
      </c>
      <c r="BE181" s="192"/>
      <c r="BF181" s="192"/>
      <c r="BG181" s="464">
        <f t="shared" si="80"/>
        <v>0</v>
      </c>
      <c r="BH181" s="467"/>
      <c r="BI181" s="203"/>
      <c r="BJ181" s="462">
        <f t="shared" si="81"/>
        <v>0</v>
      </c>
      <c r="BK181" s="192"/>
      <c r="BL181" s="192"/>
      <c r="BM181" s="464">
        <f t="shared" si="82"/>
        <v>0</v>
      </c>
      <c r="BN181" s="467"/>
      <c r="BO181" s="203"/>
      <c r="BP181" s="462">
        <f t="shared" si="83"/>
        <v>0</v>
      </c>
      <c r="BQ181" s="192"/>
      <c r="BR181" s="192"/>
      <c r="BS181" s="464">
        <f t="shared" si="84"/>
        <v>0</v>
      </c>
      <c r="BT181" s="344">
        <v>75</v>
      </c>
      <c r="BU181" s="344">
        <v>50568.506666666697</v>
      </c>
      <c r="BV181" s="462">
        <f t="shared" si="85"/>
        <v>3103136.4116000021</v>
      </c>
      <c r="BW181" s="290">
        <v>75</v>
      </c>
      <c r="BX181" s="291">
        <v>48911</v>
      </c>
      <c r="BY181" s="463">
        <f t="shared" si="86"/>
        <v>3001423.5150000001</v>
      </c>
    </row>
    <row r="182" spans="1:77" x14ac:dyDescent="0.2">
      <c r="A182" s="301" t="s">
        <v>115</v>
      </c>
      <c r="B182" s="302" t="s">
        <v>451</v>
      </c>
      <c r="C182" s="303"/>
      <c r="D182" s="301">
        <v>157085</v>
      </c>
      <c r="E182" s="199">
        <v>1</v>
      </c>
      <c r="F182" s="234">
        <v>305</v>
      </c>
      <c r="G182" s="208">
        <v>104972.04590163934</v>
      </c>
      <c r="H182" s="461">
        <f t="shared" si="63"/>
        <v>32016474</v>
      </c>
      <c r="I182" s="194">
        <f>258+62</f>
        <v>320</v>
      </c>
      <c r="J182" s="194">
        <f>+(29007045+6220964)/(258+62)</f>
        <v>110087.528125</v>
      </c>
      <c r="K182" s="464">
        <f t="shared" si="64"/>
        <v>35228009</v>
      </c>
      <c r="L182" s="467">
        <v>278</v>
      </c>
      <c r="M182" s="203">
        <v>75337.169064748203</v>
      </c>
      <c r="N182" s="462">
        <f t="shared" si="65"/>
        <v>20943733</v>
      </c>
      <c r="O182" s="192">
        <f>170+107</f>
        <v>277</v>
      </c>
      <c r="P182" s="192">
        <f>+(13589458+8236166)/(170+107)</f>
        <v>78792.866425992775</v>
      </c>
      <c r="Q182" s="464">
        <f t="shared" si="66"/>
        <v>21825624</v>
      </c>
      <c r="R182" s="467">
        <v>220</v>
      </c>
      <c r="S182" s="203">
        <v>69328.763636363641</v>
      </c>
      <c r="T182" s="462">
        <f t="shared" si="67"/>
        <v>15252328.000000002</v>
      </c>
      <c r="U182" s="191">
        <f>132+100</f>
        <v>232</v>
      </c>
      <c r="V182" s="191">
        <f>+(9776687+6850268)/(132+100)</f>
        <v>71667.909482758623</v>
      </c>
      <c r="W182" s="464">
        <f t="shared" si="68"/>
        <v>16626955</v>
      </c>
      <c r="X182" s="467">
        <v>1</v>
      </c>
      <c r="Y182" s="203">
        <v>50000</v>
      </c>
      <c r="Z182" s="462">
        <f t="shared" si="69"/>
        <v>50000</v>
      </c>
      <c r="AA182" s="192">
        <v>1</v>
      </c>
      <c r="AB182" s="192">
        <v>57801</v>
      </c>
      <c r="AC182" s="464">
        <f t="shared" si="70"/>
        <v>57801</v>
      </c>
      <c r="AD182" s="467">
        <v>134</v>
      </c>
      <c r="AE182" s="203">
        <v>48963.089552238809</v>
      </c>
      <c r="AF182" s="462">
        <f t="shared" si="71"/>
        <v>6561054</v>
      </c>
      <c r="AG182" s="192">
        <f>57+89</f>
        <v>146</v>
      </c>
      <c r="AH182" s="192">
        <f>+(2842627+4297689)/(57+89)</f>
        <v>48906.273972602743</v>
      </c>
      <c r="AI182" s="464">
        <f t="shared" si="72"/>
        <v>7140316.0000000009</v>
      </c>
      <c r="AJ182" s="467"/>
      <c r="AK182" s="203"/>
      <c r="AL182" s="462">
        <f t="shared" si="73"/>
        <v>0</v>
      </c>
      <c r="AM182" s="192"/>
      <c r="AN182" s="192"/>
      <c r="AO182" s="206">
        <f t="shared" si="74"/>
        <v>0</v>
      </c>
      <c r="AP182" s="203">
        <v>143</v>
      </c>
      <c r="AQ182" s="203">
        <v>127679.03496503497</v>
      </c>
      <c r="AR182" s="462">
        <f t="shared" si="75"/>
        <v>14938779.056400001</v>
      </c>
      <c r="AS182" s="192">
        <f>119+26</f>
        <v>145</v>
      </c>
      <c r="AT182" s="192">
        <f>+(16129017+3335022)/(119+26)</f>
        <v>134234.75172413792</v>
      </c>
      <c r="AU182" s="464">
        <f t="shared" si="76"/>
        <v>15925476.709800001</v>
      </c>
      <c r="AV182" s="467">
        <v>117</v>
      </c>
      <c r="AW182" s="203">
        <v>94876.239316239313</v>
      </c>
      <c r="AX182" s="462">
        <f t="shared" si="77"/>
        <v>9082445.4639999997</v>
      </c>
      <c r="AY182" s="192">
        <f>73+42</f>
        <v>115</v>
      </c>
      <c r="AZ182" s="192">
        <f>+(7112973+4158917)/(73+42)</f>
        <v>98016.434782608689</v>
      </c>
      <c r="BA182" s="464">
        <f t="shared" si="78"/>
        <v>9222660.398</v>
      </c>
      <c r="BB182" s="467">
        <v>102</v>
      </c>
      <c r="BC182" s="203">
        <v>81892.303921568629</v>
      </c>
      <c r="BD182" s="462">
        <f t="shared" si="79"/>
        <v>6834436.8730000006</v>
      </c>
      <c r="BE182" s="192">
        <f>47+50</f>
        <v>97</v>
      </c>
      <c r="BF182" s="192">
        <f>+(3889335+4266274)/(47+50)</f>
        <v>84078.443298969069</v>
      </c>
      <c r="BG182" s="464">
        <f t="shared" si="80"/>
        <v>6672919.2838000003</v>
      </c>
      <c r="BH182" s="467"/>
      <c r="BI182" s="203"/>
      <c r="BJ182" s="462">
        <f t="shared" si="81"/>
        <v>0</v>
      </c>
      <c r="BK182" s="192"/>
      <c r="BL182" s="192"/>
      <c r="BM182" s="464">
        <f t="shared" si="82"/>
        <v>0</v>
      </c>
      <c r="BN182" s="467">
        <v>13</v>
      </c>
      <c r="BO182" s="203">
        <v>63319.307692307695</v>
      </c>
      <c r="BP182" s="462">
        <f t="shared" si="83"/>
        <v>673502.14820000005</v>
      </c>
      <c r="BQ182" s="192">
        <v>11</v>
      </c>
      <c r="BR182" s="192">
        <f>+(99134+544968)/(11)</f>
        <v>58554.727272727272</v>
      </c>
      <c r="BS182" s="464">
        <f t="shared" si="84"/>
        <v>527004.25640000007</v>
      </c>
      <c r="BT182" s="467"/>
      <c r="BU182" s="203"/>
      <c r="BV182" s="462">
        <f t="shared" si="85"/>
        <v>0</v>
      </c>
      <c r="BW182" s="192"/>
      <c r="BX182" s="192"/>
      <c r="BY182" s="463">
        <f t="shared" si="86"/>
        <v>0</v>
      </c>
    </row>
    <row r="183" spans="1:77" x14ac:dyDescent="0.2">
      <c r="A183" s="301" t="s">
        <v>115</v>
      </c>
      <c r="B183" s="302" t="s">
        <v>452</v>
      </c>
      <c r="C183" s="303"/>
      <c r="D183" s="301">
        <v>157289</v>
      </c>
      <c r="E183" s="199">
        <v>1</v>
      </c>
      <c r="F183" s="234">
        <v>184</v>
      </c>
      <c r="G183" s="208">
        <v>105476.35326086957</v>
      </c>
      <c r="H183" s="461">
        <f t="shared" si="63"/>
        <v>19407649</v>
      </c>
      <c r="I183" s="194">
        <f>142+43</f>
        <v>185</v>
      </c>
      <c r="J183" s="194">
        <f>+(14783025+4404838)/(142+43)</f>
        <v>103718.17837837838</v>
      </c>
      <c r="K183" s="464">
        <f t="shared" si="64"/>
        <v>19187863</v>
      </c>
      <c r="L183" s="467">
        <v>167</v>
      </c>
      <c r="M183" s="203">
        <v>74148.604790419166</v>
      </c>
      <c r="N183" s="462">
        <f t="shared" si="65"/>
        <v>12382817</v>
      </c>
      <c r="O183" s="192">
        <f>88+68</f>
        <v>156</v>
      </c>
      <c r="P183" s="192">
        <f>+(6794082+4883012)/(88+68)</f>
        <v>74853.166666666672</v>
      </c>
      <c r="Q183" s="464">
        <f t="shared" si="66"/>
        <v>11677094</v>
      </c>
      <c r="R183" s="467">
        <v>163</v>
      </c>
      <c r="S183" s="203">
        <v>59712.63190184049</v>
      </c>
      <c r="T183" s="462">
        <f t="shared" si="67"/>
        <v>9733159</v>
      </c>
      <c r="U183" s="191">
        <f>81+92</f>
        <v>173</v>
      </c>
      <c r="V183" s="191">
        <f>+(4898902+5756946)/(81+92)</f>
        <v>61594.497109826589</v>
      </c>
      <c r="W183" s="464">
        <f t="shared" si="68"/>
        <v>10655848</v>
      </c>
      <c r="X183" s="467">
        <v>62</v>
      </c>
      <c r="Y183" s="203">
        <v>47852</v>
      </c>
      <c r="Z183" s="462">
        <f t="shared" si="69"/>
        <v>2966824</v>
      </c>
      <c r="AA183" s="192">
        <f>20+43</f>
        <v>63</v>
      </c>
      <c r="AB183" s="192">
        <f>+(1091704+2050230)/(20+43)</f>
        <v>49871.968253968254</v>
      </c>
      <c r="AC183" s="464">
        <f t="shared" si="70"/>
        <v>3141934</v>
      </c>
      <c r="AD183" s="467"/>
      <c r="AE183" s="203"/>
      <c r="AF183" s="462">
        <f t="shared" si="71"/>
        <v>0</v>
      </c>
      <c r="AG183" s="192">
        <v>2</v>
      </c>
      <c r="AH183" s="192">
        <f>+(52691+6000)/2</f>
        <v>29345.5</v>
      </c>
      <c r="AI183" s="464">
        <f t="shared" si="72"/>
        <v>58691</v>
      </c>
      <c r="AJ183" s="467"/>
      <c r="AK183" s="203"/>
      <c r="AL183" s="462">
        <f t="shared" si="73"/>
        <v>0</v>
      </c>
      <c r="AM183" s="192"/>
      <c r="AN183" s="192"/>
      <c r="AO183" s="206">
        <f t="shared" si="74"/>
        <v>0</v>
      </c>
      <c r="AP183" s="203">
        <v>126</v>
      </c>
      <c r="AQ183" s="203">
        <v>127420.76190476191</v>
      </c>
      <c r="AR183" s="462">
        <f t="shared" si="75"/>
        <v>13136214.091200002</v>
      </c>
      <c r="AS183" s="192">
        <f>98+26</f>
        <v>124</v>
      </c>
      <c r="AT183" s="192">
        <f>+(12082942+3029175)/(98+26)</f>
        <v>121871.91129032258</v>
      </c>
      <c r="AU183" s="464">
        <f t="shared" si="76"/>
        <v>12364734.1294</v>
      </c>
      <c r="AV183" s="467">
        <v>56</v>
      </c>
      <c r="AW183" s="203">
        <v>100151.01785714286</v>
      </c>
      <c r="AX183" s="462">
        <f t="shared" si="77"/>
        <v>4588839.5174000002</v>
      </c>
      <c r="AY183" s="192">
        <f>37+24</f>
        <v>61</v>
      </c>
      <c r="AZ183" s="192">
        <f>+(3779080+2229139)/(37+24)</f>
        <v>98495.393442622953</v>
      </c>
      <c r="BA183" s="464">
        <f t="shared" si="78"/>
        <v>4915924.7858000007</v>
      </c>
      <c r="BB183" s="467">
        <v>100</v>
      </c>
      <c r="BC183" s="203">
        <v>75760.58</v>
      </c>
      <c r="BD183" s="462">
        <f t="shared" si="79"/>
        <v>6198730.6556000002</v>
      </c>
      <c r="BE183" s="192">
        <f>44+49</f>
        <v>93</v>
      </c>
      <c r="BF183" s="192">
        <f>+(3432061+3481790)/(44+49)</f>
        <v>74342.483870967742</v>
      </c>
      <c r="BG183" s="464">
        <f t="shared" si="80"/>
        <v>5656912.8881999999</v>
      </c>
      <c r="BH183" s="467">
        <v>31</v>
      </c>
      <c r="BI183" s="203">
        <v>69578.967741935485</v>
      </c>
      <c r="BJ183" s="462">
        <f t="shared" si="81"/>
        <v>1764814.8536</v>
      </c>
      <c r="BK183" s="192">
        <f>13+25</f>
        <v>38</v>
      </c>
      <c r="BL183" s="192">
        <f>+(953351+1542045)/(13+25)</f>
        <v>65668.31578947368</v>
      </c>
      <c r="BM183" s="464">
        <f t="shared" si="82"/>
        <v>2041733.0072000001</v>
      </c>
      <c r="BN183" s="467">
        <v>5</v>
      </c>
      <c r="BO183" s="203">
        <v>40622</v>
      </c>
      <c r="BP183" s="462">
        <f t="shared" si="83"/>
        <v>166184.60200000001</v>
      </c>
      <c r="BQ183" s="192">
        <v>22</v>
      </c>
      <c r="BR183" s="192">
        <f>+(308387+130629)/(22)</f>
        <v>19955.272727272728</v>
      </c>
      <c r="BS183" s="464">
        <f t="shared" si="84"/>
        <v>359202.89120000001</v>
      </c>
      <c r="BT183" s="467"/>
      <c r="BU183" s="203"/>
      <c r="BV183" s="462">
        <f t="shared" si="85"/>
        <v>0</v>
      </c>
      <c r="BW183" s="192"/>
      <c r="BX183" s="192"/>
      <c r="BY183" s="463">
        <f t="shared" si="86"/>
        <v>0</v>
      </c>
    </row>
    <row r="184" spans="1:77" x14ac:dyDescent="0.2">
      <c r="A184" s="301" t="s">
        <v>115</v>
      </c>
      <c r="B184" s="302" t="s">
        <v>453</v>
      </c>
      <c r="C184" s="303"/>
      <c r="D184" s="301">
        <v>156620</v>
      </c>
      <c r="E184" s="199">
        <v>3</v>
      </c>
      <c r="F184" s="234">
        <v>92</v>
      </c>
      <c r="G184" s="208">
        <v>81265.586956521744</v>
      </c>
      <c r="H184" s="461">
        <f t="shared" si="63"/>
        <v>7476434</v>
      </c>
      <c r="I184" s="194">
        <f>57+41</f>
        <v>98</v>
      </c>
      <c r="J184" s="194">
        <f>+(4925227+2948258)/(57+41)</f>
        <v>80341.683673469393</v>
      </c>
      <c r="K184" s="464">
        <f t="shared" si="64"/>
        <v>7873485.0000000009</v>
      </c>
      <c r="L184" s="467">
        <v>123</v>
      </c>
      <c r="M184" s="203">
        <v>64641.398373983742</v>
      </c>
      <c r="N184" s="462">
        <f t="shared" si="65"/>
        <v>7950892</v>
      </c>
      <c r="O184" s="192">
        <f>77+68</f>
        <v>145</v>
      </c>
      <c r="P184" s="192">
        <f>+(5133862+4344467)/(77+68)</f>
        <v>65367.786206896555</v>
      </c>
      <c r="Q184" s="464">
        <f t="shared" si="66"/>
        <v>9478329</v>
      </c>
      <c r="R184" s="467">
        <v>166</v>
      </c>
      <c r="S184" s="203">
        <v>56297.283132530123</v>
      </c>
      <c r="T184" s="462">
        <f t="shared" si="67"/>
        <v>9345349</v>
      </c>
      <c r="U184" s="191">
        <f>108+141</f>
        <v>249</v>
      </c>
      <c r="V184" s="191">
        <f>+(6029270+7699954)/(108+141)</f>
        <v>55137.445783132527</v>
      </c>
      <c r="W184" s="464">
        <f t="shared" si="68"/>
        <v>13729224</v>
      </c>
      <c r="X184" s="467">
        <v>54</v>
      </c>
      <c r="Y184" s="203">
        <v>50017.333333333336</v>
      </c>
      <c r="Z184" s="462">
        <f t="shared" si="69"/>
        <v>2700936</v>
      </c>
      <c r="AA184" s="192">
        <f>20+45</f>
        <v>65</v>
      </c>
      <c r="AB184" s="192">
        <f>+(1065089+2231064)/(20+45)</f>
        <v>50710.046153846153</v>
      </c>
      <c r="AC184" s="464">
        <f t="shared" si="70"/>
        <v>3296153</v>
      </c>
      <c r="AD184" s="467">
        <v>161</v>
      </c>
      <c r="AE184" s="203">
        <v>49839.09316770186</v>
      </c>
      <c r="AF184" s="462">
        <f t="shared" si="71"/>
        <v>8024093.9999999991</v>
      </c>
      <c r="AG184" s="192">
        <f>24+2+15+14</f>
        <v>55</v>
      </c>
      <c r="AH184" s="192">
        <f>+(1086096+103626+631878+719200)/(24+2+15+14)</f>
        <v>46196.36363636364</v>
      </c>
      <c r="AI184" s="464">
        <f t="shared" si="72"/>
        <v>2540800</v>
      </c>
      <c r="AJ184" s="467"/>
      <c r="AK184" s="203"/>
      <c r="AL184" s="462">
        <f t="shared" si="73"/>
        <v>0</v>
      </c>
      <c r="AM184" s="192"/>
      <c r="AN184" s="192"/>
      <c r="AO184" s="206">
        <f t="shared" si="74"/>
        <v>0</v>
      </c>
      <c r="AP184" s="203">
        <v>22</v>
      </c>
      <c r="AQ184" s="203">
        <v>97254.090909090912</v>
      </c>
      <c r="AR184" s="462">
        <f t="shared" si="75"/>
        <v>1750612.5380000002</v>
      </c>
      <c r="AS184" s="192">
        <v>24</v>
      </c>
      <c r="AT184" s="192">
        <f>+(1655850+766222)/24</f>
        <v>100919.66666666667</v>
      </c>
      <c r="AU184" s="464">
        <f t="shared" si="76"/>
        <v>1981739.3104000001</v>
      </c>
      <c r="AV184" s="467">
        <v>8</v>
      </c>
      <c r="AW184" s="203">
        <v>91689.25</v>
      </c>
      <c r="AX184" s="462">
        <f t="shared" si="77"/>
        <v>600161.15480000002</v>
      </c>
      <c r="AY184" s="192">
        <v>10</v>
      </c>
      <c r="AZ184" s="192">
        <f>+(418057+480876)/10</f>
        <v>89893.3</v>
      </c>
      <c r="BA184" s="464">
        <f t="shared" si="78"/>
        <v>735506.98060000001</v>
      </c>
      <c r="BB184" s="467">
        <v>5</v>
      </c>
      <c r="BC184" s="203">
        <v>69447.8</v>
      </c>
      <c r="BD184" s="462">
        <f t="shared" si="79"/>
        <v>284110.9498</v>
      </c>
      <c r="BE184" s="192">
        <v>7</v>
      </c>
      <c r="BF184" s="192">
        <f>+(343740+145500)/7</f>
        <v>69891.428571428565</v>
      </c>
      <c r="BG184" s="464">
        <f t="shared" si="80"/>
        <v>400296.16799999995</v>
      </c>
      <c r="BH184" s="467"/>
      <c r="BI184" s="203"/>
      <c r="BJ184" s="462">
        <f t="shared" si="81"/>
        <v>0</v>
      </c>
      <c r="BK184" s="192">
        <v>1</v>
      </c>
      <c r="BL184" s="192">
        <v>45900</v>
      </c>
      <c r="BM184" s="464">
        <f t="shared" si="82"/>
        <v>37555.380000000005</v>
      </c>
      <c r="BN184" s="467">
        <v>11</v>
      </c>
      <c r="BO184" s="203">
        <v>72962.363636363632</v>
      </c>
      <c r="BP184" s="462">
        <f t="shared" si="83"/>
        <v>656675.8652</v>
      </c>
      <c r="BQ184" s="192">
        <v>3</v>
      </c>
      <c r="BR184" s="192">
        <f>155633/3</f>
        <v>51877.666666666664</v>
      </c>
      <c r="BS184" s="464">
        <f t="shared" si="84"/>
        <v>127338.92060000001</v>
      </c>
      <c r="BT184" s="467"/>
      <c r="BU184" s="203"/>
      <c r="BV184" s="462">
        <f t="shared" si="85"/>
        <v>0</v>
      </c>
      <c r="BW184" s="192"/>
      <c r="BX184" s="192"/>
      <c r="BY184" s="463">
        <f t="shared" si="86"/>
        <v>0</v>
      </c>
    </row>
    <row r="185" spans="1:77" x14ac:dyDescent="0.2">
      <c r="A185" s="301" t="s">
        <v>115</v>
      </c>
      <c r="B185" s="304" t="s">
        <v>454</v>
      </c>
      <c r="C185" s="305"/>
      <c r="D185" s="301">
        <v>157386</v>
      </c>
      <c r="E185" s="199">
        <v>3</v>
      </c>
      <c r="F185" s="234">
        <v>49</v>
      </c>
      <c r="G185" s="208">
        <v>71726.244897959186</v>
      </c>
      <c r="H185" s="461">
        <f t="shared" si="63"/>
        <v>3514586</v>
      </c>
      <c r="I185" s="194">
        <f>33+14</f>
        <v>47</v>
      </c>
      <c r="J185" s="194">
        <f>+(2459351+964981)/(33+14)</f>
        <v>72858.127659574471</v>
      </c>
      <c r="K185" s="464">
        <f t="shared" si="64"/>
        <v>3424332</v>
      </c>
      <c r="L185" s="467">
        <v>131</v>
      </c>
      <c r="M185" s="203">
        <v>60169.877862595422</v>
      </c>
      <c r="N185" s="462">
        <f t="shared" si="65"/>
        <v>7882254</v>
      </c>
      <c r="O185" s="192">
        <f>79+69</f>
        <v>148</v>
      </c>
      <c r="P185" s="192">
        <f>+(4897617+4096660)/(79+69)</f>
        <v>60772.141891891893</v>
      </c>
      <c r="Q185" s="464">
        <f t="shared" si="66"/>
        <v>8994277</v>
      </c>
      <c r="R185" s="467">
        <v>94</v>
      </c>
      <c r="S185" s="203">
        <v>50644.553191489358</v>
      </c>
      <c r="T185" s="462">
        <f t="shared" si="67"/>
        <v>4760588</v>
      </c>
      <c r="U185" s="191">
        <f>33+48</f>
        <v>81</v>
      </c>
      <c r="V185" s="191">
        <f>+(1748293+2429381)/(33+48)</f>
        <v>51576.222222222219</v>
      </c>
      <c r="W185" s="464">
        <f t="shared" si="68"/>
        <v>4177673.9999999995</v>
      </c>
      <c r="X185" s="467">
        <v>70</v>
      </c>
      <c r="Y185" s="203">
        <v>37471.728571428568</v>
      </c>
      <c r="Z185" s="462">
        <f t="shared" si="69"/>
        <v>2623021</v>
      </c>
      <c r="AA185" s="192">
        <f>30+46</f>
        <v>76</v>
      </c>
      <c r="AB185" s="192">
        <f>+(1151071+1746514)/(30+46)</f>
        <v>38126.118421052633</v>
      </c>
      <c r="AC185" s="464">
        <f t="shared" si="70"/>
        <v>2897585</v>
      </c>
      <c r="AD185" s="467"/>
      <c r="AE185" s="203"/>
      <c r="AF185" s="462">
        <f t="shared" si="71"/>
        <v>0</v>
      </c>
      <c r="AG185" s="192"/>
      <c r="AH185" s="192"/>
      <c r="AI185" s="464">
        <f t="shared" si="72"/>
        <v>0</v>
      </c>
      <c r="AJ185" s="467"/>
      <c r="AK185" s="203"/>
      <c r="AL185" s="462">
        <f t="shared" si="73"/>
        <v>0</v>
      </c>
      <c r="AM185" s="192"/>
      <c r="AN185" s="192"/>
      <c r="AO185" s="206">
        <f t="shared" si="74"/>
        <v>0</v>
      </c>
      <c r="AP185" s="203">
        <v>15</v>
      </c>
      <c r="AQ185" s="203">
        <v>76942.53333333334</v>
      </c>
      <c r="AR185" s="462">
        <f t="shared" si="75"/>
        <v>944315.71160000004</v>
      </c>
      <c r="AS185" s="192">
        <v>14</v>
      </c>
      <c r="AT185" s="192">
        <f>+(1012733+156000)/14</f>
        <v>83480.928571428565</v>
      </c>
      <c r="AU185" s="464">
        <f t="shared" si="76"/>
        <v>956257.3406</v>
      </c>
      <c r="AV185" s="467">
        <v>10</v>
      </c>
      <c r="AW185" s="203">
        <v>60756.800000000003</v>
      </c>
      <c r="AX185" s="462">
        <f t="shared" si="77"/>
        <v>497112.13760000002</v>
      </c>
      <c r="AY185" s="192">
        <v>8</v>
      </c>
      <c r="AZ185" s="192">
        <f>+(352431+194140)/8</f>
        <v>68321.375</v>
      </c>
      <c r="BA185" s="464">
        <f t="shared" si="78"/>
        <v>447204.3922</v>
      </c>
      <c r="BB185" s="467">
        <v>3</v>
      </c>
      <c r="BC185" s="203">
        <v>58820</v>
      </c>
      <c r="BD185" s="462">
        <f t="shared" si="79"/>
        <v>144379.57200000001</v>
      </c>
      <c r="BE185" s="192">
        <v>4</v>
      </c>
      <c r="BF185" s="192">
        <f>+(51469+201960)/4</f>
        <v>63357.25</v>
      </c>
      <c r="BG185" s="464">
        <f t="shared" si="80"/>
        <v>207355.6078</v>
      </c>
      <c r="BH185" s="467">
        <v>2</v>
      </c>
      <c r="BI185" s="203">
        <v>46422.5</v>
      </c>
      <c r="BJ185" s="462">
        <f t="shared" si="81"/>
        <v>75965.77900000001</v>
      </c>
      <c r="BK185" s="192">
        <v>3</v>
      </c>
      <c r="BL185" s="192">
        <f>+(66380+94702)/3</f>
        <v>53694</v>
      </c>
      <c r="BM185" s="464">
        <f t="shared" si="82"/>
        <v>131797.29240000001</v>
      </c>
      <c r="BN185" s="467"/>
      <c r="BO185" s="203"/>
      <c r="BP185" s="462">
        <f t="shared" si="83"/>
        <v>0</v>
      </c>
      <c r="BQ185" s="192"/>
      <c r="BR185" s="192"/>
      <c r="BS185" s="464">
        <f t="shared" si="84"/>
        <v>0</v>
      </c>
      <c r="BT185" s="467"/>
      <c r="BU185" s="203"/>
      <c r="BV185" s="462">
        <f t="shared" si="85"/>
        <v>0</v>
      </c>
      <c r="BW185" s="192"/>
      <c r="BX185" s="192"/>
      <c r="BY185" s="463">
        <f t="shared" si="86"/>
        <v>0</v>
      </c>
    </row>
    <row r="186" spans="1:77" x14ac:dyDescent="0.2">
      <c r="A186" s="301" t="s">
        <v>115</v>
      </c>
      <c r="B186" s="302" t="s">
        <v>455</v>
      </c>
      <c r="C186" s="303"/>
      <c r="D186" s="301">
        <v>157401</v>
      </c>
      <c r="E186" s="199">
        <v>3</v>
      </c>
      <c r="F186" s="234">
        <v>74</v>
      </c>
      <c r="G186" s="208">
        <v>80807.66216216216</v>
      </c>
      <c r="H186" s="461">
        <f t="shared" si="63"/>
        <v>5979767</v>
      </c>
      <c r="I186" s="194">
        <f>59+28</f>
        <v>87</v>
      </c>
      <c r="J186" s="194">
        <f>+(5260315+2082359)/(59+28)</f>
        <v>84398.551724137928</v>
      </c>
      <c r="K186" s="464">
        <f t="shared" si="64"/>
        <v>7342674</v>
      </c>
      <c r="L186" s="467">
        <v>84</v>
      </c>
      <c r="M186" s="203">
        <v>62175.166666666664</v>
      </c>
      <c r="N186" s="462">
        <f t="shared" si="65"/>
        <v>5222714</v>
      </c>
      <c r="O186" s="192">
        <f>43+30</f>
        <v>73</v>
      </c>
      <c r="P186" s="192">
        <f>+(2912072+1847855)/(43+30)</f>
        <v>65204.479452054795</v>
      </c>
      <c r="Q186" s="464">
        <f t="shared" si="66"/>
        <v>4759927</v>
      </c>
      <c r="R186" s="467">
        <v>116</v>
      </c>
      <c r="S186" s="203">
        <v>52939.922413793101</v>
      </c>
      <c r="T186" s="462">
        <f t="shared" si="67"/>
        <v>6141031</v>
      </c>
      <c r="U186" s="191">
        <f>78+60</f>
        <v>138</v>
      </c>
      <c r="V186" s="191">
        <f>+(4217771+3323851)/(78+60)</f>
        <v>54649.434782608696</v>
      </c>
      <c r="W186" s="464">
        <f t="shared" si="68"/>
        <v>7541622</v>
      </c>
      <c r="X186" s="467"/>
      <c r="Y186" s="203"/>
      <c r="Z186" s="462">
        <f t="shared" si="69"/>
        <v>0</v>
      </c>
      <c r="AA186" s="192">
        <v>1</v>
      </c>
      <c r="AB186" s="192">
        <v>45000</v>
      </c>
      <c r="AC186" s="464">
        <f t="shared" si="70"/>
        <v>45000</v>
      </c>
      <c r="AD186" s="467">
        <v>71</v>
      </c>
      <c r="AE186" s="203">
        <v>42710.915492957749</v>
      </c>
      <c r="AF186" s="462">
        <f t="shared" si="71"/>
        <v>3032475</v>
      </c>
      <c r="AG186" s="192">
        <f>32+35</f>
        <v>67</v>
      </c>
      <c r="AH186" s="192">
        <f>+(1422377+1568945)/(32+35)</f>
        <v>44646.59701492537</v>
      </c>
      <c r="AI186" s="464">
        <f t="shared" si="72"/>
        <v>2991322</v>
      </c>
      <c r="AJ186" s="467"/>
      <c r="AK186" s="203"/>
      <c r="AL186" s="462">
        <f t="shared" si="73"/>
        <v>0</v>
      </c>
      <c r="AM186" s="192"/>
      <c r="AN186" s="192"/>
      <c r="AO186" s="206">
        <f t="shared" si="74"/>
        <v>0</v>
      </c>
      <c r="AP186" s="203">
        <v>24</v>
      </c>
      <c r="AQ186" s="203">
        <v>97647.791666666672</v>
      </c>
      <c r="AR186" s="462">
        <f t="shared" si="75"/>
        <v>1917490.1554</v>
      </c>
      <c r="AS186" s="192">
        <f>21+5</f>
        <v>26</v>
      </c>
      <c r="AT186" s="192">
        <f>+(2212740+436209)/(21+5)</f>
        <v>101882.65384615384</v>
      </c>
      <c r="AU186" s="464">
        <f t="shared" si="76"/>
        <v>2167370.0718</v>
      </c>
      <c r="AV186" s="467">
        <v>12</v>
      </c>
      <c r="AW186" s="203">
        <v>87106.666666666672</v>
      </c>
      <c r="AX186" s="462">
        <f t="shared" si="77"/>
        <v>855248.09600000002</v>
      </c>
      <c r="AY186" s="192">
        <v>13</v>
      </c>
      <c r="AZ186" s="192">
        <f>+(852839+241107)/13</f>
        <v>84149.692307692312</v>
      </c>
      <c r="BA186" s="464">
        <f t="shared" si="78"/>
        <v>895066.6172000001</v>
      </c>
      <c r="BB186" s="467">
        <v>3</v>
      </c>
      <c r="BC186" s="203">
        <v>52438.666666666664</v>
      </c>
      <c r="BD186" s="462">
        <f t="shared" si="79"/>
        <v>128715.95120000001</v>
      </c>
      <c r="BE186" s="192">
        <v>1</v>
      </c>
      <c r="BF186" s="192">
        <v>66346</v>
      </c>
      <c r="BG186" s="464">
        <f t="shared" si="80"/>
        <v>54284.297200000001</v>
      </c>
      <c r="BH186" s="467"/>
      <c r="BI186" s="203"/>
      <c r="BJ186" s="462">
        <f t="shared" si="81"/>
        <v>0</v>
      </c>
      <c r="BK186" s="192"/>
      <c r="BL186" s="192"/>
      <c r="BM186" s="464">
        <f t="shared" si="82"/>
        <v>0</v>
      </c>
      <c r="BN186" s="467">
        <v>17</v>
      </c>
      <c r="BO186" s="203">
        <v>53837.882352941175</v>
      </c>
      <c r="BP186" s="462">
        <f t="shared" si="83"/>
        <v>748852.64080000005</v>
      </c>
      <c r="BQ186" s="192">
        <v>15</v>
      </c>
      <c r="BR186" s="192">
        <f>+(360987+492193)/15</f>
        <v>56878.666666666664</v>
      </c>
      <c r="BS186" s="464">
        <f t="shared" si="84"/>
        <v>698071.87600000005</v>
      </c>
      <c r="BT186" s="467"/>
      <c r="BU186" s="203"/>
      <c r="BV186" s="462">
        <f t="shared" si="85"/>
        <v>0</v>
      </c>
      <c r="BW186" s="192"/>
      <c r="BX186" s="192"/>
      <c r="BY186" s="463">
        <f t="shared" si="86"/>
        <v>0</v>
      </c>
    </row>
    <row r="187" spans="1:77" x14ac:dyDescent="0.2">
      <c r="A187" s="301" t="s">
        <v>115</v>
      </c>
      <c r="B187" s="302" t="s">
        <v>456</v>
      </c>
      <c r="C187" s="303"/>
      <c r="D187" s="301">
        <v>157951</v>
      </c>
      <c r="E187" s="199">
        <v>3</v>
      </c>
      <c r="F187" s="234">
        <v>136</v>
      </c>
      <c r="G187" s="208">
        <v>83063.911764705888</v>
      </c>
      <c r="H187" s="461">
        <f t="shared" si="63"/>
        <v>11296692</v>
      </c>
      <c r="I187" s="194">
        <f>92+41</f>
        <v>133</v>
      </c>
      <c r="J187" s="194">
        <f>+(7793152+3369804)/(92+41)</f>
        <v>83932</v>
      </c>
      <c r="K187" s="464">
        <f t="shared" si="64"/>
        <v>11162956</v>
      </c>
      <c r="L187" s="467">
        <v>179</v>
      </c>
      <c r="M187" s="203">
        <v>64983.217877094969</v>
      </c>
      <c r="N187" s="462">
        <f t="shared" si="65"/>
        <v>11631996</v>
      </c>
      <c r="O187" s="192">
        <f>115+79</f>
        <v>194</v>
      </c>
      <c r="P187" s="192">
        <f>+(7758780+4886058)/(115+79)</f>
        <v>65179.577319587632</v>
      </c>
      <c r="Q187" s="464">
        <f t="shared" si="66"/>
        <v>12644838</v>
      </c>
      <c r="R187" s="467">
        <v>222</v>
      </c>
      <c r="S187" s="203">
        <v>54425.24324324324</v>
      </c>
      <c r="T187" s="462">
        <f t="shared" si="67"/>
        <v>12082404</v>
      </c>
      <c r="U187" s="191">
        <f>94+124</f>
        <v>218</v>
      </c>
      <c r="V187" s="191">
        <f>+(5254680+6562620)/(94+124)</f>
        <v>54207.798165137618</v>
      </c>
      <c r="W187" s="464">
        <f t="shared" si="68"/>
        <v>11817300</v>
      </c>
      <c r="X187" s="467">
        <v>138</v>
      </c>
      <c r="Y187" s="203">
        <v>41596.521739130432</v>
      </c>
      <c r="Z187" s="462">
        <f t="shared" si="69"/>
        <v>5740320</v>
      </c>
      <c r="AA187" s="192">
        <f>49+100</f>
        <v>149</v>
      </c>
      <c r="AB187" s="192">
        <f>+(2006527+4146436)/(49+100)</f>
        <v>41295.05369127517</v>
      </c>
      <c r="AC187" s="464">
        <f t="shared" si="70"/>
        <v>6152963</v>
      </c>
      <c r="AD187" s="467">
        <v>22</v>
      </c>
      <c r="AE187" s="203">
        <v>54727.090909090912</v>
      </c>
      <c r="AF187" s="462">
        <f t="shared" si="71"/>
        <v>1203996</v>
      </c>
      <c r="AG187" s="192">
        <v>18</v>
      </c>
      <c r="AH187" s="192">
        <f>+(603612+412440)/18</f>
        <v>56447.333333333336</v>
      </c>
      <c r="AI187" s="464">
        <f t="shared" si="72"/>
        <v>1016052</v>
      </c>
      <c r="AJ187" s="467"/>
      <c r="AK187" s="203"/>
      <c r="AL187" s="462">
        <f t="shared" si="73"/>
        <v>0</v>
      </c>
      <c r="AM187" s="192"/>
      <c r="AN187" s="192"/>
      <c r="AO187" s="206">
        <f t="shared" si="74"/>
        <v>0</v>
      </c>
      <c r="AP187" s="203">
        <v>23</v>
      </c>
      <c r="AQ187" s="203">
        <v>110956.69565217392</v>
      </c>
      <c r="AR187" s="462">
        <f t="shared" si="75"/>
        <v>2088049.6728000001</v>
      </c>
      <c r="AS187" s="192">
        <v>26</v>
      </c>
      <c r="AT187" s="192">
        <f>+(1909104+987456)/26</f>
        <v>111406.15384615384</v>
      </c>
      <c r="AU187" s="464">
        <f t="shared" si="76"/>
        <v>2369965.392</v>
      </c>
      <c r="AV187" s="467">
        <v>15</v>
      </c>
      <c r="AW187" s="203">
        <v>92244</v>
      </c>
      <c r="AX187" s="462">
        <f t="shared" si="77"/>
        <v>1132110.612</v>
      </c>
      <c r="AY187" s="192">
        <v>17</v>
      </c>
      <c r="AZ187" s="192">
        <f>+(961488+603948)/17</f>
        <v>92084.470588235301</v>
      </c>
      <c r="BA187" s="464">
        <f t="shared" si="78"/>
        <v>1280839.7352</v>
      </c>
      <c r="BB187" s="467">
        <v>4</v>
      </c>
      <c r="BC187" s="203">
        <v>65373</v>
      </c>
      <c r="BD187" s="462">
        <f t="shared" si="79"/>
        <v>213952.75440000001</v>
      </c>
      <c r="BE187" s="192">
        <v>5</v>
      </c>
      <c r="BF187" s="192">
        <f>+(299520+60144)/5</f>
        <v>71932.800000000003</v>
      </c>
      <c r="BG187" s="464">
        <f t="shared" si="80"/>
        <v>294277.08480000001</v>
      </c>
      <c r="BH187" s="467">
        <v>3</v>
      </c>
      <c r="BI187" s="203">
        <v>60264</v>
      </c>
      <c r="BJ187" s="462">
        <f t="shared" si="81"/>
        <v>147924.01440000001</v>
      </c>
      <c r="BK187" s="192">
        <v>3</v>
      </c>
      <c r="BL187" s="192">
        <f>+(119340+64800)/3</f>
        <v>61380</v>
      </c>
      <c r="BM187" s="464">
        <f t="shared" si="82"/>
        <v>150663.348</v>
      </c>
      <c r="BN187" s="467"/>
      <c r="BO187" s="203"/>
      <c r="BP187" s="462">
        <f t="shared" si="83"/>
        <v>0</v>
      </c>
      <c r="BQ187" s="192"/>
      <c r="BR187" s="192"/>
      <c r="BS187" s="464">
        <f t="shared" si="84"/>
        <v>0</v>
      </c>
      <c r="BT187" s="467"/>
      <c r="BU187" s="203"/>
      <c r="BV187" s="462">
        <f t="shared" si="85"/>
        <v>0</v>
      </c>
      <c r="BW187" s="192"/>
      <c r="BX187" s="192"/>
      <c r="BY187" s="463">
        <f t="shared" si="86"/>
        <v>0</v>
      </c>
    </row>
    <row r="188" spans="1:77" x14ac:dyDescent="0.2">
      <c r="A188" s="301" t="s">
        <v>115</v>
      </c>
      <c r="B188" s="304" t="s">
        <v>457</v>
      </c>
      <c r="C188" s="305"/>
      <c r="D188" s="301">
        <v>157058</v>
      </c>
      <c r="E188" s="199">
        <v>4</v>
      </c>
      <c r="F188" s="234">
        <v>20</v>
      </c>
      <c r="G188" s="208">
        <v>74116.95</v>
      </c>
      <c r="H188" s="461">
        <f t="shared" si="63"/>
        <v>1482339</v>
      </c>
      <c r="I188" s="194">
        <v>20</v>
      </c>
      <c r="J188" s="194">
        <f>+(1332535+133971)/20</f>
        <v>73325.3</v>
      </c>
      <c r="K188" s="464">
        <f t="shared" si="64"/>
        <v>1466506</v>
      </c>
      <c r="L188" s="467">
        <v>37</v>
      </c>
      <c r="M188" s="203">
        <v>58302.945945945947</v>
      </c>
      <c r="N188" s="462">
        <f t="shared" si="65"/>
        <v>2157209</v>
      </c>
      <c r="O188" s="192">
        <f>28+13</f>
        <v>41</v>
      </c>
      <c r="P188" s="192">
        <f>+(1666101+756482)/(28+13)</f>
        <v>59087.390243902439</v>
      </c>
      <c r="Q188" s="464">
        <f t="shared" si="66"/>
        <v>2422583</v>
      </c>
      <c r="R188" s="467">
        <v>46</v>
      </c>
      <c r="S188" s="203">
        <v>47373.17391304348</v>
      </c>
      <c r="T188" s="462">
        <f t="shared" si="67"/>
        <v>2179166</v>
      </c>
      <c r="U188" s="191">
        <f>18+29</f>
        <v>47</v>
      </c>
      <c r="V188" s="191">
        <f>+(895062+1329849)/(18+29)</f>
        <v>47338.531914893618</v>
      </c>
      <c r="W188" s="464">
        <f t="shared" si="68"/>
        <v>2224911</v>
      </c>
      <c r="X188" s="467">
        <v>15</v>
      </c>
      <c r="Y188" s="203">
        <v>41248.26666666667</v>
      </c>
      <c r="Z188" s="462">
        <f t="shared" si="69"/>
        <v>618724</v>
      </c>
      <c r="AA188" s="192">
        <v>14</v>
      </c>
      <c r="AB188" s="192">
        <f>+(156043+392541)/14</f>
        <v>39184.571428571428</v>
      </c>
      <c r="AC188" s="464">
        <f t="shared" si="70"/>
        <v>548584</v>
      </c>
      <c r="AD188" s="467"/>
      <c r="AE188" s="203"/>
      <c r="AF188" s="462">
        <f t="shared" si="71"/>
        <v>0</v>
      </c>
      <c r="AG188" s="192"/>
      <c r="AH188" s="192"/>
      <c r="AI188" s="464">
        <f t="shared" si="72"/>
        <v>0</v>
      </c>
      <c r="AJ188" s="467"/>
      <c r="AK188" s="203"/>
      <c r="AL188" s="462">
        <f t="shared" si="73"/>
        <v>0</v>
      </c>
      <c r="AM188" s="192"/>
      <c r="AN188" s="192"/>
      <c r="AO188" s="206">
        <f t="shared" si="74"/>
        <v>0</v>
      </c>
      <c r="AP188" s="203">
        <v>2</v>
      </c>
      <c r="AQ188" s="203">
        <v>84626</v>
      </c>
      <c r="AR188" s="462">
        <f t="shared" si="75"/>
        <v>138481.98639999999</v>
      </c>
      <c r="AS188" s="192">
        <v>3</v>
      </c>
      <c r="AT188" s="192">
        <f>+(169252+69892)/3</f>
        <v>79714.666666666672</v>
      </c>
      <c r="AU188" s="464">
        <f t="shared" si="76"/>
        <v>195667.6208</v>
      </c>
      <c r="AV188" s="467">
        <v>7</v>
      </c>
      <c r="AW188" s="203">
        <v>81206.571428571435</v>
      </c>
      <c r="AX188" s="462">
        <f t="shared" si="77"/>
        <v>465102.5172</v>
      </c>
      <c r="AY188" s="192">
        <v>5</v>
      </c>
      <c r="AZ188" s="192">
        <f>+(73675+320528)/5</f>
        <v>78840.600000000006</v>
      </c>
      <c r="BA188" s="464">
        <f t="shared" si="78"/>
        <v>322536.8946</v>
      </c>
      <c r="BB188" s="467">
        <v>2</v>
      </c>
      <c r="BC188" s="203">
        <v>61918.5</v>
      </c>
      <c r="BD188" s="462">
        <f t="shared" si="79"/>
        <v>101323.43340000001</v>
      </c>
      <c r="BE188" s="192">
        <v>2</v>
      </c>
      <c r="BF188" s="192">
        <f>103711/2</f>
        <v>51855.5</v>
      </c>
      <c r="BG188" s="464">
        <f t="shared" si="80"/>
        <v>84856.340200000006</v>
      </c>
      <c r="BH188" s="467"/>
      <c r="BI188" s="203"/>
      <c r="BJ188" s="462">
        <f t="shared" si="81"/>
        <v>0</v>
      </c>
      <c r="BK188" s="192"/>
      <c r="BL188" s="192"/>
      <c r="BM188" s="464">
        <f t="shared" si="82"/>
        <v>0</v>
      </c>
      <c r="BN188" s="467"/>
      <c r="BO188" s="203"/>
      <c r="BP188" s="462">
        <f t="shared" si="83"/>
        <v>0</v>
      </c>
      <c r="BQ188" s="192"/>
      <c r="BR188" s="192"/>
      <c r="BS188" s="464">
        <f t="shared" si="84"/>
        <v>0</v>
      </c>
      <c r="BT188" s="467"/>
      <c r="BU188" s="203"/>
      <c r="BV188" s="462">
        <f t="shared" si="85"/>
        <v>0</v>
      </c>
      <c r="BW188" s="192"/>
      <c r="BX188" s="192"/>
      <c r="BY188" s="463">
        <f t="shared" si="86"/>
        <v>0</v>
      </c>
    </row>
    <row r="189" spans="1:77" x14ac:dyDescent="0.2">
      <c r="A189" s="301" t="s">
        <v>115</v>
      </c>
      <c r="B189" s="302" t="s">
        <v>458</v>
      </c>
      <c r="C189" s="303"/>
      <c r="D189" s="301">
        <v>157447</v>
      </c>
      <c r="E189" s="199">
        <v>4</v>
      </c>
      <c r="F189" s="234">
        <v>88</v>
      </c>
      <c r="G189" s="208">
        <v>94214.579545454544</v>
      </c>
      <c r="H189" s="461">
        <f t="shared" si="63"/>
        <v>8290883</v>
      </c>
      <c r="I189" s="194">
        <f>55+31</f>
        <v>86</v>
      </c>
      <c r="J189" s="194">
        <f>+(5447955+2794706)/(55+31)</f>
        <v>95844.895348837206</v>
      </c>
      <c r="K189" s="464">
        <f t="shared" si="64"/>
        <v>8242661</v>
      </c>
      <c r="L189" s="467">
        <v>143</v>
      </c>
      <c r="M189" s="203">
        <v>68944.38461538461</v>
      </c>
      <c r="N189" s="462">
        <f t="shared" si="65"/>
        <v>9859047</v>
      </c>
      <c r="O189" s="192">
        <f>84+69</f>
        <v>153</v>
      </c>
      <c r="P189" s="192">
        <f>+(6048181+4959134)/(84+69)</f>
        <v>71943.23529411765</v>
      </c>
      <c r="Q189" s="464">
        <f t="shared" si="66"/>
        <v>11007315</v>
      </c>
      <c r="R189" s="467">
        <v>138</v>
      </c>
      <c r="S189" s="203">
        <v>62692.760869565216</v>
      </c>
      <c r="T189" s="462">
        <f t="shared" si="67"/>
        <v>8651601</v>
      </c>
      <c r="U189" s="191">
        <f>49+74</f>
        <v>123</v>
      </c>
      <c r="V189" s="191">
        <f>+(3417901+4657583)/(49+74)</f>
        <v>65654.341463414632</v>
      </c>
      <c r="W189" s="464">
        <f t="shared" si="68"/>
        <v>8075484</v>
      </c>
      <c r="X189" s="467">
        <v>1</v>
      </c>
      <c r="Y189" s="203">
        <v>50351</v>
      </c>
      <c r="Z189" s="462">
        <f t="shared" si="69"/>
        <v>50351</v>
      </c>
      <c r="AA189" s="192">
        <v>1</v>
      </c>
      <c r="AB189" s="192">
        <v>52106</v>
      </c>
      <c r="AC189" s="464">
        <f t="shared" si="70"/>
        <v>52106</v>
      </c>
      <c r="AD189" s="467">
        <v>123</v>
      </c>
      <c r="AE189" s="203">
        <v>44318.861788617884</v>
      </c>
      <c r="AF189" s="462">
        <f t="shared" si="71"/>
        <v>5451220</v>
      </c>
      <c r="AG189" s="192">
        <f>60+85</f>
        <v>145</v>
      </c>
      <c r="AH189" s="192">
        <f>+(2823515+3770181)/(60+85)</f>
        <v>45473.76551724138</v>
      </c>
      <c r="AI189" s="464">
        <f t="shared" si="72"/>
        <v>6593696</v>
      </c>
      <c r="AJ189" s="467"/>
      <c r="AK189" s="203"/>
      <c r="AL189" s="462">
        <f t="shared" si="73"/>
        <v>0</v>
      </c>
      <c r="AM189" s="192"/>
      <c r="AN189" s="192"/>
      <c r="AO189" s="206">
        <f t="shared" si="74"/>
        <v>0</v>
      </c>
      <c r="AP189" s="203">
        <v>1</v>
      </c>
      <c r="AQ189" s="203">
        <v>58072</v>
      </c>
      <c r="AR189" s="462">
        <f t="shared" si="75"/>
        <v>47514.510399999999</v>
      </c>
      <c r="AS189" s="192">
        <v>2</v>
      </c>
      <c r="AT189" s="192">
        <f>+(170000+59051)/2</f>
        <v>114525.5</v>
      </c>
      <c r="AU189" s="464">
        <f t="shared" si="76"/>
        <v>187409.5282</v>
      </c>
      <c r="AV189" s="467">
        <v>5</v>
      </c>
      <c r="AW189" s="203">
        <v>79396</v>
      </c>
      <c r="AX189" s="462">
        <f t="shared" si="77"/>
        <v>324809.03600000002</v>
      </c>
      <c r="AY189" s="192">
        <v>6</v>
      </c>
      <c r="AZ189" s="192">
        <f>+(162102+336844)/6</f>
        <v>83157.666666666672</v>
      </c>
      <c r="BA189" s="464">
        <f t="shared" si="78"/>
        <v>408237.61720000004</v>
      </c>
      <c r="BB189" s="467">
        <v>4</v>
      </c>
      <c r="BC189" s="203">
        <v>77701.75</v>
      </c>
      <c r="BD189" s="462">
        <f t="shared" si="79"/>
        <v>254302.2874</v>
      </c>
      <c r="BE189" s="192">
        <v>6</v>
      </c>
      <c r="BF189" s="192">
        <f>+(101150+379212)/6</f>
        <v>80060.333333333328</v>
      </c>
      <c r="BG189" s="464">
        <f t="shared" si="80"/>
        <v>393032.18840000004</v>
      </c>
      <c r="BH189" s="467">
        <v>2</v>
      </c>
      <c r="BI189" s="203">
        <v>73333.5</v>
      </c>
      <c r="BJ189" s="462">
        <f t="shared" si="81"/>
        <v>120002.9394</v>
      </c>
      <c r="BK189" s="192">
        <v>2</v>
      </c>
      <c r="BL189" s="192">
        <f>152570/2</f>
        <v>76285</v>
      </c>
      <c r="BM189" s="464">
        <f t="shared" si="82"/>
        <v>124832.774</v>
      </c>
      <c r="BN189" s="467">
        <v>20</v>
      </c>
      <c r="BO189" s="203">
        <v>55515.199999999997</v>
      </c>
      <c r="BP189" s="462">
        <f t="shared" si="83"/>
        <v>908450.7328</v>
      </c>
      <c r="BQ189" s="192">
        <v>18</v>
      </c>
      <c r="BR189" s="192">
        <f>+(384396+617600)/18</f>
        <v>55666.444444444445</v>
      </c>
      <c r="BS189" s="464">
        <f t="shared" si="84"/>
        <v>819833.12719999999</v>
      </c>
      <c r="BT189" s="467"/>
      <c r="BU189" s="203"/>
      <c r="BV189" s="462">
        <f t="shared" si="85"/>
        <v>0</v>
      </c>
      <c r="BW189" s="192"/>
      <c r="BX189" s="192"/>
      <c r="BY189" s="463">
        <f t="shared" si="86"/>
        <v>0</v>
      </c>
    </row>
    <row r="190" spans="1:77" x14ac:dyDescent="0.2">
      <c r="A190" s="301" t="s">
        <v>115</v>
      </c>
      <c r="B190" s="302" t="s">
        <v>459</v>
      </c>
      <c r="C190" s="303"/>
      <c r="D190" s="301">
        <v>157173</v>
      </c>
      <c r="E190" s="199">
        <v>8</v>
      </c>
      <c r="F190" s="234">
        <v>51</v>
      </c>
      <c r="G190" s="208">
        <v>57851.803921568629</v>
      </c>
      <c r="H190" s="461">
        <f t="shared" si="63"/>
        <v>2950442</v>
      </c>
      <c r="I190" s="194">
        <f>21+33</f>
        <v>54</v>
      </c>
      <c r="J190" s="194">
        <f>+(1288262+1932933)/(21+33)</f>
        <v>59651.759259259263</v>
      </c>
      <c r="K190" s="464">
        <f t="shared" si="64"/>
        <v>3221195</v>
      </c>
      <c r="L190" s="467">
        <v>114</v>
      </c>
      <c r="M190" s="203">
        <v>49869.938596491229</v>
      </c>
      <c r="N190" s="462">
        <f t="shared" si="65"/>
        <v>5685173</v>
      </c>
      <c r="O190" s="192">
        <f>57+55</f>
        <v>112</v>
      </c>
      <c r="P190" s="192">
        <f>+(2982860+2667778)/(57+55)</f>
        <v>50452.125</v>
      </c>
      <c r="Q190" s="464">
        <f t="shared" si="66"/>
        <v>5650638</v>
      </c>
      <c r="R190" s="467">
        <v>34</v>
      </c>
      <c r="S190" s="203">
        <v>41304.470588235294</v>
      </c>
      <c r="T190" s="462">
        <f t="shared" si="67"/>
        <v>1404352</v>
      </c>
      <c r="U190" s="191">
        <f>12+16</f>
        <v>28</v>
      </c>
      <c r="V190" s="191">
        <f>+(518163+670576)/(12+16)</f>
        <v>42454.964285714283</v>
      </c>
      <c r="W190" s="464">
        <f t="shared" si="68"/>
        <v>1188739</v>
      </c>
      <c r="X190" s="467">
        <v>17</v>
      </c>
      <c r="Y190" s="203">
        <v>38326.647058823532</v>
      </c>
      <c r="Z190" s="462">
        <f t="shared" si="69"/>
        <v>651553</v>
      </c>
      <c r="AA190" s="192">
        <f>10+17</f>
        <v>27</v>
      </c>
      <c r="AB190" s="192">
        <f>+(396638+620532)/(10+17)</f>
        <v>37672.962962962964</v>
      </c>
      <c r="AC190" s="464">
        <f t="shared" si="70"/>
        <v>1017170</v>
      </c>
      <c r="AD190" s="467"/>
      <c r="AE190" s="203"/>
      <c r="AF190" s="462">
        <f t="shared" si="71"/>
        <v>0</v>
      </c>
      <c r="AG190" s="192"/>
      <c r="AH190" s="192"/>
      <c r="AI190" s="464">
        <f t="shared" si="72"/>
        <v>0</v>
      </c>
      <c r="AJ190" s="467"/>
      <c r="AK190" s="203"/>
      <c r="AL190" s="462">
        <f t="shared" si="73"/>
        <v>0</v>
      </c>
      <c r="AM190" s="192"/>
      <c r="AN190" s="192"/>
      <c r="AO190" s="206">
        <f t="shared" si="74"/>
        <v>0</v>
      </c>
      <c r="AP190" s="203">
        <v>4</v>
      </c>
      <c r="AQ190" s="203">
        <v>70085</v>
      </c>
      <c r="AR190" s="462">
        <f t="shared" si="75"/>
        <v>229374.18800000002</v>
      </c>
      <c r="AS190" s="192">
        <v>4</v>
      </c>
      <c r="AT190" s="192">
        <f>+(143293+145457)/4</f>
        <v>72187.5</v>
      </c>
      <c r="AU190" s="464">
        <f t="shared" si="76"/>
        <v>236255.25</v>
      </c>
      <c r="AV190" s="467">
        <v>2</v>
      </c>
      <c r="AW190" s="203">
        <v>60137.5</v>
      </c>
      <c r="AX190" s="462">
        <f t="shared" si="77"/>
        <v>98409.005000000005</v>
      </c>
      <c r="AY190" s="192">
        <v>2</v>
      </c>
      <c r="AZ190" s="192">
        <f>123883/2</f>
        <v>61941.5</v>
      </c>
      <c r="BA190" s="464">
        <f t="shared" si="78"/>
        <v>101361.07060000001</v>
      </c>
      <c r="BB190" s="467">
        <v>6</v>
      </c>
      <c r="BC190" s="203">
        <v>50917</v>
      </c>
      <c r="BD190" s="462">
        <f t="shared" si="79"/>
        <v>249961.73640000002</v>
      </c>
      <c r="BE190" s="192">
        <v>5</v>
      </c>
      <c r="BF190" s="192">
        <f>+(156323+105207)/5</f>
        <v>52306</v>
      </c>
      <c r="BG190" s="464">
        <f t="shared" si="80"/>
        <v>213983.84600000002</v>
      </c>
      <c r="BH190" s="467">
        <v>4</v>
      </c>
      <c r="BI190" s="203">
        <v>40060</v>
      </c>
      <c r="BJ190" s="462">
        <f t="shared" si="81"/>
        <v>131108.36800000002</v>
      </c>
      <c r="BK190" s="192">
        <v>4</v>
      </c>
      <c r="BL190" s="192">
        <f>+(85511+78300)/4</f>
        <v>40952.75</v>
      </c>
      <c r="BM190" s="464">
        <f t="shared" si="82"/>
        <v>134030.16020000001</v>
      </c>
      <c r="BN190" s="467"/>
      <c r="BO190" s="203"/>
      <c r="BP190" s="462">
        <f t="shared" si="83"/>
        <v>0</v>
      </c>
      <c r="BQ190" s="192"/>
      <c r="BR190" s="192"/>
      <c r="BS190" s="464">
        <f t="shared" si="84"/>
        <v>0</v>
      </c>
      <c r="BT190" s="467"/>
      <c r="BU190" s="203"/>
      <c r="BV190" s="462">
        <f t="shared" si="85"/>
        <v>0</v>
      </c>
      <c r="BW190" s="192"/>
      <c r="BX190" s="192"/>
      <c r="BY190" s="463">
        <f t="shared" si="86"/>
        <v>0</v>
      </c>
    </row>
    <row r="191" spans="1:77" x14ac:dyDescent="0.2">
      <c r="A191" s="301" t="s">
        <v>115</v>
      </c>
      <c r="B191" s="302" t="s">
        <v>460</v>
      </c>
      <c r="C191" s="303"/>
      <c r="D191" s="301">
        <v>156921</v>
      </c>
      <c r="E191" s="199">
        <v>8</v>
      </c>
      <c r="F191" s="234">
        <v>80</v>
      </c>
      <c r="G191" s="208">
        <v>58420.574999999997</v>
      </c>
      <c r="H191" s="461">
        <f t="shared" si="63"/>
        <v>4673646</v>
      </c>
      <c r="I191" s="194">
        <f>33+48</f>
        <v>81</v>
      </c>
      <c r="J191" s="194">
        <f>+(1971150+2958058)/(33+48)</f>
        <v>60854.419753086418</v>
      </c>
      <c r="K191" s="464">
        <f t="shared" si="64"/>
        <v>4929208</v>
      </c>
      <c r="L191" s="467">
        <v>88</v>
      </c>
      <c r="M191" s="203">
        <v>48900.818181818184</v>
      </c>
      <c r="N191" s="462">
        <f t="shared" si="65"/>
        <v>4303272</v>
      </c>
      <c r="O191" s="192">
        <f>39+50</f>
        <v>89</v>
      </c>
      <c r="P191" s="192">
        <f>+(1910203+2468365)/(39+50)</f>
        <v>49197.393258426964</v>
      </c>
      <c r="Q191" s="464">
        <f t="shared" si="66"/>
        <v>4378568</v>
      </c>
      <c r="R191" s="467">
        <v>25</v>
      </c>
      <c r="S191" s="203">
        <v>45059.8</v>
      </c>
      <c r="T191" s="462">
        <f t="shared" si="67"/>
        <v>1126495</v>
      </c>
      <c r="U191" s="191">
        <v>13</v>
      </c>
      <c r="V191" s="191">
        <f>+(451021+173988)/13</f>
        <v>48077.615384615383</v>
      </c>
      <c r="W191" s="464">
        <f t="shared" si="68"/>
        <v>625009</v>
      </c>
      <c r="X191" s="467">
        <v>33</v>
      </c>
      <c r="Y191" s="203">
        <v>40346.878787878784</v>
      </c>
      <c r="Z191" s="462">
        <f t="shared" si="69"/>
        <v>1331447</v>
      </c>
      <c r="AA191" s="192">
        <v>44</v>
      </c>
      <c r="AB191" s="192">
        <f>+(903900+919053)/44</f>
        <v>41430.75</v>
      </c>
      <c r="AC191" s="464">
        <f t="shared" si="70"/>
        <v>1822953</v>
      </c>
      <c r="AD191" s="467"/>
      <c r="AE191" s="203"/>
      <c r="AF191" s="462">
        <f t="shared" si="71"/>
        <v>0</v>
      </c>
      <c r="AG191" s="192"/>
      <c r="AH191" s="192"/>
      <c r="AI191" s="464">
        <f t="shared" si="72"/>
        <v>0</v>
      </c>
      <c r="AJ191" s="467"/>
      <c r="AK191" s="203"/>
      <c r="AL191" s="462">
        <f t="shared" si="73"/>
        <v>0</v>
      </c>
      <c r="AM191" s="192"/>
      <c r="AN191" s="192"/>
      <c r="AO191" s="206">
        <f t="shared" si="74"/>
        <v>0</v>
      </c>
      <c r="AP191" s="203">
        <v>19</v>
      </c>
      <c r="AQ191" s="203">
        <v>74120.263157894733</v>
      </c>
      <c r="AR191" s="462">
        <f t="shared" si="75"/>
        <v>1152258.787</v>
      </c>
      <c r="AS191" s="192">
        <v>19</v>
      </c>
      <c r="AT191" s="192">
        <f>+(479392+952466)/19</f>
        <v>75360.947368421053</v>
      </c>
      <c r="AU191" s="464">
        <f t="shared" si="76"/>
        <v>1171546.2156</v>
      </c>
      <c r="AV191" s="467">
        <v>14</v>
      </c>
      <c r="AW191" s="203">
        <v>56695.142857142855</v>
      </c>
      <c r="AX191" s="462">
        <f t="shared" si="77"/>
        <v>649431.52240000002</v>
      </c>
      <c r="AY191" s="192">
        <v>17</v>
      </c>
      <c r="AZ191" s="192">
        <f>+(327963+718224)/17</f>
        <v>61540.411764705881</v>
      </c>
      <c r="BA191" s="464">
        <f t="shared" si="78"/>
        <v>855990.2034</v>
      </c>
      <c r="BB191" s="467">
        <v>9</v>
      </c>
      <c r="BC191" s="203">
        <v>53206.666666666664</v>
      </c>
      <c r="BD191" s="462">
        <f t="shared" si="79"/>
        <v>391803.25200000004</v>
      </c>
      <c r="BE191" s="192">
        <v>10</v>
      </c>
      <c r="BF191" s="192">
        <f>+(197922+342890)/10</f>
        <v>54081.2</v>
      </c>
      <c r="BG191" s="464">
        <f t="shared" si="80"/>
        <v>442492.37840000005</v>
      </c>
      <c r="BH191" s="467">
        <v>12</v>
      </c>
      <c r="BI191" s="203">
        <v>51134.416666666664</v>
      </c>
      <c r="BJ191" s="462">
        <f t="shared" si="81"/>
        <v>502058.15660000005</v>
      </c>
      <c r="BK191" s="192">
        <v>15</v>
      </c>
      <c r="BL191" s="192">
        <f>+(458109+337960)/15</f>
        <v>53071.26666666667</v>
      </c>
      <c r="BM191" s="464">
        <f t="shared" si="82"/>
        <v>651343.65580000007</v>
      </c>
      <c r="BN191" s="467"/>
      <c r="BO191" s="203"/>
      <c r="BP191" s="462">
        <f t="shared" si="83"/>
        <v>0</v>
      </c>
      <c r="BQ191" s="192"/>
      <c r="BR191" s="192"/>
      <c r="BS191" s="464">
        <f t="shared" si="84"/>
        <v>0</v>
      </c>
      <c r="BT191" s="467"/>
      <c r="BU191" s="203"/>
      <c r="BV191" s="462">
        <f t="shared" si="85"/>
        <v>0</v>
      </c>
      <c r="BW191" s="192"/>
      <c r="BX191" s="192"/>
      <c r="BY191" s="463">
        <f t="shared" si="86"/>
        <v>0</v>
      </c>
    </row>
    <row r="192" spans="1:77" x14ac:dyDescent="0.2">
      <c r="A192" s="301" t="s">
        <v>115</v>
      </c>
      <c r="B192" s="302" t="s">
        <v>461</v>
      </c>
      <c r="C192" s="303"/>
      <c r="D192" s="301">
        <v>156231</v>
      </c>
      <c r="E192" s="199">
        <v>9</v>
      </c>
      <c r="F192" s="234">
        <v>25</v>
      </c>
      <c r="G192" s="208">
        <v>60992.84</v>
      </c>
      <c r="H192" s="461">
        <f t="shared" si="63"/>
        <v>1524821</v>
      </c>
      <c r="I192" s="194">
        <f>14+13</f>
        <v>27</v>
      </c>
      <c r="J192" s="194">
        <f>+(868516+797340)/(14+13)</f>
        <v>61698.370370370372</v>
      </c>
      <c r="K192" s="464">
        <f t="shared" si="64"/>
        <v>1665856</v>
      </c>
      <c r="L192" s="467">
        <v>27</v>
      </c>
      <c r="M192" s="203">
        <v>47279.740740740737</v>
      </c>
      <c r="N192" s="462">
        <f t="shared" si="65"/>
        <v>1276553</v>
      </c>
      <c r="O192" s="192">
        <f>14+12</f>
        <v>26</v>
      </c>
      <c r="P192" s="192">
        <f>+(714392+550140)/(14+12)</f>
        <v>48635.846153846156</v>
      </c>
      <c r="Q192" s="464">
        <f t="shared" si="66"/>
        <v>1264532</v>
      </c>
      <c r="R192" s="467">
        <v>16</v>
      </c>
      <c r="S192" s="203">
        <v>40425.375</v>
      </c>
      <c r="T192" s="462">
        <f t="shared" si="67"/>
        <v>646806</v>
      </c>
      <c r="U192" s="191">
        <v>15</v>
      </c>
      <c r="V192" s="191">
        <f>+(329967+291741)/15</f>
        <v>41447.199999999997</v>
      </c>
      <c r="W192" s="464">
        <f t="shared" si="68"/>
        <v>621708</v>
      </c>
      <c r="X192" s="467">
        <v>14</v>
      </c>
      <c r="Y192" s="203">
        <v>39175.357142857145</v>
      </c>
      <c r="Z192" s="462">
        <f t="shared" si="69"/>
        <v>548455</v>
      </c>
      <c r="AA192" s="192">
        <v>15</v>
      </c>
      <c r="AB192" s="192">
        <f>+(249440+360850)/15</f>
        <v>40686</v>
      </c>
      <c r="AC192" s="464">
        <f t="shared" si="70"/>
        <v>610290</v>
      </c>
      <c r="AD192" s="467"/>
      <c r="AE192" s="203"/>
      <c r="AF192" s="462">
        <f t="shared" si="71"/>
        <v>0</v>
      </c>
      <c r="AG192" s="192"/>
      <c r="AH192" s="192"/>
      <c r="AI192" s="464">
        <f t="shared" si="72"/>
        <v>0</v>
      </c>
      <c r="AJ192" s="467"/>
      <c r="AK192" s="203"/>
      <c r="AL192" s="462">
        <f t="shared" si="73"/>
        <v>0</v>
      </c>
      <c r="AM192" s="192"/>
      <c r="AN192" s="192"/>
      <c r="AO192" s="206">
        <f t="shared" si="74"/>
        <v>0</v>
      </c>
      <c r="AP192" s="203">
        <v>5</v>
      </c>
      <c r="AQ192" s="203">
        <v>74616.399999999994</v>
      </c>
      <c r="AR192" s="462">
        <f t="shared" si="75"/>
        <v>305255.6924</v>
      </c>
      <c r="AS192" s="192">
        <v>5</v>
      </c>
      <c r="AT192" s="192">
        <f>+(233702+130822)/5</f>
        <v>72904.800000000003</v>
      </c>
      <c r="AU192" s="464">
        <f t="shared" si="76"/>
        <v>298253.5368</v>
      </c>
      <c r="AV192" s="467">
        <v>7</v>
      </c>
      <c r="AW192" s="203">
        <v>58126.857142857145</v>
      </c>
      <c r="AX192" s="462">
        <f t="shared" si="77"/>
        <v>332915.76160000003</v>
      </c>
      <c r="AY192" s="192">
        <v>6</v>
      </c>
      <c r="AZ192" s="192">
        <f>+(308833+56880)/6</f>
        <v>60952.166666666664</v>
      </c>
      <c r="BA192" s="464">
        <f t="shared" si="78"/>
        <v>299226.37660000002</v>
      </c>
      <c r="BB192" s="467">
        <v>1</v>
      </c>
      <c r="BC192" s="203">
        <v>57465</v>
      </c>
      <c r="BD192" s="462">
        <f t="shared" si="79"/>
        <v>47017.863000000005</v>
      </c>
      <c r="BE192" s="192">
        <v>1</v>
      </c>
      <c r="BF192" s="192">
        <v>59189</v>
      </c>
      <c r="BG192" s="464">
        <f t="shared" si="80"/>
        <v>48428.4398</v>
      </c>
      <c r="BH192" s="467"/>
      <c r="BI192" s="203"/>
      <c r="BJ192" s="462">
        <f t="shared" si="81"/>
        <v>0</v>
      </c>
      <c r="BK192" s="192"/>
      <c r="BL192" s="192"/>
      <c r="BM192" s="464">
        <f t="shared" si="82"/>
        <v>0</v>
      </c>
      <c r="BN192" s="467"/>
      <c r="BO192" s="203"/>
      <c r="BP192" s="462">
        <f t="shared" si="83"/>
        <v>0</v>
      </c>
      <c r="BQ192" s="192"/>
      <c r="BR192" s="192"/>
      <c r="BS192" s="464">
        <f t="shared" si="84"/>
        <v>0</v>
      </c>
      <c r="BT192" s="467"/>
      <c r="BU192" s="203"/>
      <c r="BV192" s="462">
        <f t="shared" si="85"/>
        <v>0</v>
      </c>
      <c r="BW192" s="192"/>
      <c r="BX192" s="192"/>
      <c r="BY192" s="463">
        <f t="shared" si="86"/>
        <v>0</v>
      </c>
    </row>
    <row r="193" spans="1:77" x14ac:dyDescent="0.2">
      <c r="A193" s="301" t="s">
        <v>115</v>
      </c>
      <c r="B193" s="302" t="s">
        <v>462</v>
      </c>
      <c r="C193" s="303"/>
      <c r="D193" s="197">
        <v>157553</v>
      </c>
      <c r="E193" s="199">
        <v>9</v>
      </c>
      <c r="F193" s="234">
        <v>30</v>
      </c>
      <c r="G193" s="208">
        <v>55621.5</v>
      </c>
      <c r="H193" s="461">
        <f t="shared" si="63"/>
        <v>1668645</v>
      </c>
      <c r="I193" s="194">
        <f>16+13</f>
        <v>29</v>
      </c>
      <c r="J193" s="194">
        <f>+(913763+741623)/(16+13)</f>
        <v>57082.275862068964</v>
      </c>
      <c r="K193" s="464">
        <f t="shared" si="64"/>
        <v>1655386</v>
      </c>
      <c r="L193" s="467">
        <v>21</v>
      </c>
      <c r="M193" s="203">
        <v>45663.714285714283</v>
      </c>
      <c r="N193" s="462">
        <f t="shared" si="65"/>
        <v>958937.99999999988</v>
      </c>
      <c r="O193" s="192">
        <f>7+14</f>
        <v>21</v>
      </c>
      <c r="P193" s="192">
        <f>+(331240+646431)/(7+14)</f>
        <v>46555.761904761908</v>
      </c>
      <c r="Q193" s="464">
        <f t="shared" si="66"/>
        <v>977671.00000000012</v>
      </c>
      <c r="R193" s="467">
        <v>14</v>
      </c>
      <c r="S193" s="203">
        <v>39100.785714285717</v>
      </c>
      <c r="T193" s="462">
        <f t="shared" si="67"/>
        <v>547411</v>
      </c>
      <c r="U193" s="191">
        <f>11+7</f>
        <v>18</v>
      </c>
      <c r="V193" s="191">
        <f>+(439831+273887)/(11+7)</f>
        <v>39651</v>
      </c>
      <c r="W193" s="464">
        <f t="shared" si="68"/>
        <v>713718</v>
      </c>
      <c r="X193" s="467">
        <v>31</v>
      </c>
      <c r="Y193" s="203">
        <v>34487.096774193546</v>
      </c>
      <c r="Z193" s="462">
        <f t="shared" si="69"/>
        <v>1069100</v>
      </c>
      <c r="AA193" s="192">
        <f>14+15</f>
        <v>29</v>
      </c>
      <c r="AB193" s="192">
        <f>+(495578+528640)/(14+15)</f>
        <v>35317.862068965514</v>
      </c>
      <c r="AC193" s="464">
        <f t="shared" si="70"/>
        <v>1024217.9999999999</v>
      </c>
      <c r="AD193" s="467"/>
      <c r="AE193" s="203"/>
      <c r="AF193" s="462">
        <f t="shared" si="71"/>
        <v>0</v>
      </c>
      <c r="AG193" s="192"/>
      <c r="AH193" s="192"/>
      <c r="AI193" s="464">
        <f t="shared" si="72"/>
        <v>0</v>
      </c>
      <c r="AJ193" s="467"/>
      <c r="AK193" s="203"/>
      <c r="AL193" s="462">
        <f t="shared" si="73"/>
        <v>0</v>
      </c>
      <c r="AM193" s="192"/>
      <c r="AN193" s="192"/>
      <c r="AO193" s="206">
        <f t="shared" si="74"/>
        <v>0</v>
      </c>
      <c r="AP193" s="203">
        <v>13</v>
      </c>
      <c r="AQ193" s="203">
        <v>68504.538461538468</v>
      </c>
      <c r="AR193" s="462">
        <f t="shared" si="75"/>
        <v>728655.37380000018</v>
      </c>
      <c r="AS193" s="192">
        <v>14</v>
      </c>
      <c r="AT193" s="192">
        <f>+(273262+717683)/14</f>
        <v>70781.78571428571</v>
      </c>
      <c r="AU193" s="464">
        <f t="shared" si="76"/>
        <v>810791.19900000002</v>
      </c>
      <c r="AV193" s="467">
        <v>6</v>
      </c>
      <c r="AW193" s="203">
        <v>61192.666666666664</v>
      </c>
      <c r="AX193" s="462">
        <f t="shared" si="77"/>
        <v>300407.0392</v>
      </c>
      <c r="AY193" s="192">
        <v>7</v>
      </c>
      <c r="AZ193" s="192">
        <f>+(245346+189241)/7</f>
        <v>62083.857142857145</v>
      </c>
      <c r="BA193" s="464">
        <f t="shared" si="78"/>
        <v>355579.0834</v>
      </c>
      <c r="BB193" s="467"/>
      <c r="BC193" s="203"/>
      <c r="BD193" s="462">
        <f t="shared" si="79"/>
        <v>0</v>
      </c>
      <c r="BE193" s="192"/>
      <c r="BF193" s="192"/>
      <c r="BG193" s="464">
        <f t="shared" si="80"/>
        <v>0</v>
      </c>
      <c r="BH193" s="467">
        <v>1</v>
      </c>
      <c r="BI193" s="203">
        <v>43606</v>
      </c>
      <c r="BJ193" s="462">
        <f t="shared" si="81"/>
        <v>35678.429199999999</v>
      </c>
      <c r="BK193" s="192">
        <v>1</v>
      </c>
      <c r="BL193" s="192">
        <v>44914</v>
      </c>
      <c r="BM193" s="464">
        <f t="shared" si="82"/>
        <v>36748.6348</v>
      </c>
      <c r="BN193" s="467"/>
      <c r="BO193" s="203"/>
      <c r="BP193" s="462">
        <f t="shared" si="83"/>
        <v>0</v>
      </c>
      <c r="BQ193" s="192"/>
      <c r="BR193" s="192"/>
      <c r="BS193" s="464">
        <f t="shared" si="84"/>
        <v>0</v>
      </c>
      <c r="BT193" s="467"/>
      <c r="BU193" s="203"/>
      <c r="BV193" s="462">
        <f t="shared" si="85"/>
        <v>0</v>
      </c>
      <c r="BW193" s="192"/>
      <c r="BX193" s="192"/>
      <c r="BY193" s="463">
        <f t="shared" si="86"/>
        <v>0</v>
      </c>
    </row>
    <row r="194" spans="1:77" x14ac:dyDescent="0.2">
      <c r="A194" s="301" t="s">
        <v>115</v>
      </c>
      <c r="B194" s="302" t="s">
        <v>463</v>
      </c>
      <c r="C194" s="303"/>
      <c r="D194" s="197">
        <v>156648</v>
      </c>
      <c r="E194" s="199">
        <v>9</v>
      </c>
      <c r="F194" s="234">
        <v>37</v>
      </c>
      <c r="G194" s="208">
        <v>59897.891891891893</v>
      </c>
      <c r="H194" s="461">
        <f t="shared" si="63"/>
        <v>2216222</v>
      </c>
      <c r="I194" s="194">
        <f>15+22</f>
        <v>37</v>
      </c>
      <c r="J194" s="194">
        <f>+(909301+1335655)/(15+22)</f>
        <v>60674.486486486487</v>
      </c>
      <c r="K194" s="464">
        <f t="shared" si="64"/>
        <v>2244956</v>
      </c>
      <c r="L194" s="467">
        <v>44</v>
      </c>
      <c r="M194" s="203">
        <v>46585.045454545456</v>
      </c>
      <c r="N194" s="462">
        <f t="shared" si="65"/>
        <v>2049742</v>
      </c>
      <c r="O194" s="192">
        <f>26+14</f>
        <v>40</v>
      </c>
      <c r="P194" s="192">
        <f>+(1198821+674074)/(26+14)</f>
        <v>46822.375</v>
      </c>
      <c r="Q194" s="464">
        <f t="shared" si="66"/>
        <v>1872895</v>
      </c>
      <c r="R194" s="467">
        <v>9</v>
      </c>
      <c r="S194" s="203">
        <v>40333.555555555555</v>
      </c>
      <c r="T194" s="462">
        <f t="shared" si="67"/>
        <v>363002</v>
      </c>
      <c r="U194" s="191">
        <v>10</v>
      </c>
      <c r="V194" s="191">
        <f>+(288222+123142)/10</f>
        <v>41136.400000000001</v>
      </c>
      <c r="W194" s="464">
        <f t="shared" si="68"/>
        <v>411364</v>
      </c>
      <c r="X194" s="467">
        <v>29</v>
      </c>
      <c r="Y194" s="203">
        <v>35638.034482758623</v>
      </c>
      <c r="Z194" s="462">
        <f t="shared" si="69"/>
        <v>1033503.0000000001</v>
      </c>
      <c r="AA194" s="192">
        <f>16+16</f>
        <v>32</v>
      </c>
      <c r="AB194" s="192">
        <f>+(577622+593620)/(16+16)</f>
        <v>36601.3125</v>
      </c>
      <c r="AC194" s="464">
        <f t="shared" si="70"/>
        <v>1171242</v>
      </c>
      <c r="AD194" s="467"/>
      <c r="AE194" s="203"/>
      <c r="AF194" s="462">
        <f t="shared" si="71"/>
        <v>0</v>
      </c>
      <c r="AG194" s="192"/>
      <c r="AH194" s="192"/>
      <c r="AI194" s="464">
        <f t="shared" si="72"/>
        <v>0</v>
      </c>
      <c r="AJ194" s="467"/>
      <c r="AK194" s="203"/>
      <c r="AL194" s="462">
        <f t="shared" si="73"/>
        <v>0</v>
      </c>
      <c r="AM194" s="192"/>
      <c r="AN194" s="192"/>
      <c r="AO194" s="206">
        <f t="shared" si="74"/>
        <v>0</v>
      </c>
      <c r="AP194" s="203">
        <v>3</v>
      </c>
      <c r="AQ194" s="203">
        <v>73171.666666666672</v>
      </c>
      <c r="AR194" s="462">
        <f t="shared" si="75"/>
        <v>179607.17300000001</v>
      </c>
      <c r="AS194" s="192">
        <v>3</v>
      </c>
      <c r="AT194" s="192">
        <f>+(85309+140791)/3</f>
        <v>75366.666666666672</v>
      </c>
      <c r="AU194" s="464">
        <f t="shared" si="76"/>
        <v>184995.02000000002</v>
      </c>
      <c r="AV194" s="467">
        <v>4</v>
      </c>
      <c r="AW194" s="203">
        <v>53537.75</v>
      </c>
      <c r="AX194" s="462">
        <f t="shared" si="77"/>
        <v>175218.34820000001</v>
      </c>
      <c r="AY194" s="192">
        <v>2</v>
      </c>
      <c r="AZ194" s="192">
        <f>+(55126+56650)/2</f>
        <v>55888</v>
      </c>
      <c r="BA194" s="464">
        <f t="shared" si="78"/>
        <v>91455.123200000002</v>
      </c>
      <c r="BB194" s="467"/>
      <c r="BC194" s="203"/>
      <c r="BD194" s="462">
        <f t="shared" si="79"/>
        <v>0</v>
      </c>
      <c r="BE194" s="192"/>
      <c r="BF194" s="192"/>
      <c r="BG194" s="464">
        <f t="shared" si="80"/>
        <v>0</v>
      </c>
      <c r="BH194" s="467"/>
      <c r="BI194" s="203"/>
      <c r="BJ194" s="462">
        <f t="shared" si="81"/>
        <v>0</v>
      </c>
      <c r="BK194" s="192">
        <v>1</v>
      </c>
      <c r="BL194" s="192">
        <v>39000</v>
      </c>
      <c r="BM194" s="464">
        <f t="shared" si="82"/>
        <v>31909.800000000003</v>
      </c>
      <c r="BN194" s="467"/>
      <c r="BO194" s="203"/>
      <c r="BP194" s="462">
        <f t="shared" si="83"/>
        <v>0</v>
      </c>
      <c r="BQ194" s="192"/>
      <c r="BR194" s="192"/>
      <c r="BS194" s="464">
        <f t="shared" si="84"/>
        <v>0</v>
      </c>
      <c r="BT194" s="467"/>
      <c r="BU194" s="203"/>
      <c r="BV194" s="462">
        <f t="shared" si="85"/>
        <v>0</v>
      </c>
      <c r="BW194" s="192"/>
      <c r="BX194" s="192"/>
      <c r="BY194" s="463">
        <f t="shared" si="86"/>
        <v>0</v>
      </c>
    </row>
    <row r="195" spans="1:77" x14ac:dyDescent="0.2">
      <c r="A195" s="301" t="s">
        <v>115</v>
      </c>
      <c r="B195" s="304" t="s">
        <v>472</v>
      </c>
      <c r="C195" s="341" t="s">
        <v>389</v>
      </c>
      <c r="D195" s="197">
        <v>156860</v>
      </c>
      <c r="E195" s="239">
        <v>9</v>
      </c>
      <c r="F195" s="234">
        <v>18</v>
      </c>
      <c r="G195" s="208">
        <v>59377.666666666664</v>
      </c>
      <c r="H195" s="461">
        <f t="shared" si="63"/>
        <v>1068798</v>
      </c>
      <c r="I195" s="194">
        <v>20</v>
      </c>
      <c r="J195" s="194">
        <f>+(911490+309779)/20</f>
        <v>61063.45</v>
      </c>
      <c r="K195" s="464">
        <f t="shared" si="64"/>
        <v>1221269</v>
      </c>
      <c r="L195" s="467">
        <v>16</v>
      </c>
      <c r="M195" s="203">
        <v>46692.8125</v>
      </c>
      <c r="N195" s="462">
        <f t="shared" si="65"/>
        <v>747085</v>
      </c>
      <c r="O195" s="192">
        <v>14</v>
      </c>
      <c r="P195" s="192">
        <f>+(391064+276630)/14</f>
        <v>47692.428571428572</v>
      </c>
      <c r="Q195" s="464">
        <f t="shared" si="66"/>
        <v>667694</v>
      </c>
      <c r="R195" s="467">
        <v>7</v>
      </c>
      <c r="S195" s="203">
        <v>40044.285714285717</v>
      </c>
      <c r="T195" s="462">
        <f t="shared" si="67"/>
        <v>280310</v>
      </c>
      <c r="U195" s="191">
        <v>10</v>
      </c>
      <c r="V195" s="191">
        <f>+(159037+241288)/10</f>
        <v>40032.5</v>
      </c>
      <c r="W195" s="464">
        <f t="shared" si="68"/>
        <v>400325</v>
      </c>
      <c r="X195" s="467">
        <v>18</v>
      </c>
      <c r="Y195" s="203">
        <v>37111.111111111109</v>
      </c>
      <c r="Z195" s="462">
        <f t="shared" si="69"/>
        <v>668000</v>
      </c>
      <c r="AA195" s="192">
        <v>17</v>
      </c>
      <c r="AB195" s="192">
        <f>+(111240+548480)/17</f>
        <v>38807.058823529413</v>
      </c>
      <c r="AC195" s="464">
        <f t="shared" si="70"/>
        <v>659720</v>
      </c>
      <c r="AD195" s="467"/>
      <c r="AE195" s="203"/>
      <c r="AF195" s="462">
        <f t="shared" si="71"/>
        <v>0</v>
      </c>
      <c r="AG195" s="192"/>
      <c r="AH195" s="192"/>
      <c r="AI195" s="464">
        <f t="shared" si="72"/>
        <v>0</v>
      </c>
      <c r="AJ195" s="467"/>
      <c r="AK195" s="203"/>
      <c r="AL195" s="462">
        <f t="shared" si="73"/>
        <v>0</v>
      </c>
      <c r="AM195" s="192"/>
      <c r="AN195" s="192"/>
      <c r="AO195" s="206">
        <f t="shared" si="74"/>
        <v>0</v>
      </c>
      <c r="AP195" s="203">
        <v>3</v>
      </c>
      <c r="AQ195" s="203">
        <v>71954.333333333328</v>
      </c>
      <c r="AR195" s="462">
        <f t="shared" si="75"/>
        <v>176619.1066</v>
      </c>
      <c r="AS195" s="192">
        <v>3</v>
      </c>
      <c r="AT195" s="192">
        <f>+(92723+117992)/3</f>
        <v>70238.333333333328</v>
      </c>
      <c r="AU195" s="464">
        <f t="shared" si="76"/>
        <v>172407.01300000001</v>
      </c>
      <c r="AV195" s="467">
        <v>5</v>
      </c>
      <c r="AW195" s="203">
        <v>54107.8</v>
      </c>
      <c r="AX195" s="462">
        <f t="shared" si="77"/>
        <v>221355.0098</v>
      </c>
      <c r="AY195" s="192">
        <v>4</v>
      </c>
      <c r="AZ195" s="192">
        <f>+(174722+50532)/4</f>
        <v>56313.5</v>
      </c>
      <c r="BA195" s="464">
        <f t="shared" si="78"/>
        <v>184302.82279999999</v>
      </c>
      <c r="BB195" s="467">
        <v>1</v>
      </c>
      <c r="BC195" s="203">
        <v>43810</v>
      </c>
      <c r="BD195" s="462">
        <f t="shared" si="79"/>
        <v>35845.342000000004</v>
      </c>
      <c r="BE195" s="192">
        <v>1</v>
      </c>
      <c r="BF195" s="192">
        <v>45124</v>
      </c>
      <c r="BG195" s="464">
        <f t="shared" si="80"/>
        <v>36920.4568</v>
      </c>
      <c r="BH195" s="467"/>
      <c r="BI195" s="203"/>
      <c r="BJ195" s="462">
        <f t="shared" si="81"/>
        <v>0</v>
      </c>
      <c r="BK195" s="192"/>
      <c r="BL195" s="192"/>
      <c r="BM195" s="464">
        <f t="shared" si="82"/>
        <v>0</v>
      </c>
      <c r="BN195" s="467"/>
      <c r="BO195" s="203"/>
      <c r="BP195" s="462">
        <f t="shared" si="83"/>
        <v>0</v>
      </c>
      <c r="BQ195" s="192"/>
      <c r="BR195" s="192"/>
      <c r="BS195" s="464">
        <f t="shared" si="84"/>
        <v>0</v>
      </c>
      <c r="BT195" s="467"/>
      <c r="BU195" s="203"/>
      <c r="BV195" s="462">
        <f t="shared" si="85"/>
        <v>0</v>
      </c>
      <c r="BW195" s="192"/>
      <c r="BX195" s="192"/>
      <c r="BY195" s="463">
        <f t="shared" si="86"/>
        <v>0</v>
      </c>
    </row>
    <row r="196" spans="1:77" x14ac:dyDescent="0.2">
      <c r="A196" s="197" t="s">
        <v>115</v>
      </c>
      <c r="B196" s="198" t="s">
        <v>464</v>
      </c>
      <c r="C196" s="235"/>
      <c r="D196" s="197">
        <v>157304</v>
      </c>
      <c r="E196" s="200">
        <v>9</v>
      </c>
      <c r="F196" s="234">
        <v>33</v>
      </c>
      <c r="G196" s="208">
        <v>58800.909090909088</v>
      </c>
      <c r="H196" s="461">
        <f t="shared" si="63"/>
        <v>1940430</v>
      </c>
      <c r="I196" s="194">
        <f>13+21</f>
        <v>34</v>
      </c>
      <c r="J196" s="194">
        <f>+(762933+1216942)/(13+21)</f>
        <v>58231.617647058825</v>
      </c>
      <c r="K196" s="464">
        <f t="shared" si="64"/>
        <v>1979875</v>
      </c>
      <c r="L196" s="467">
        <v>28</v>
      </c>
      <c r="M196" s="203">
        <v>46055.214285714283</v>
      </c>
      <c r="N196" s="462">
        <f t="shared" si="65"/>
        <v>1289546</v>
      </c>
      <c r="O196" s="192">
        <f>7+16</f>
        <v>23</v>
      </c>
      <c r="P196" s="192">
        <f>+(338449+745142)/(7+16)</f>
        <v>47112.65217391304</v>
      </c>
      <c r="Q196" s="464">
        <f t="shared" si="66"/>
        <v>1083591</v>
      </c>
      <c r="R196" s="467">
        <v>12</v>
      </c>
      <c r="S196" s="203">
        <v>39770.5</v>
      </c>
      <c r="T196" s="462">
        <f t="shared" si="67"/>
        <v>477246</v>
      </c>
      <c r="U196" s="191">
        <v>11</v>
      </c>
      <c r="V196" s="191">
        <f>+(79578+364811)/11</f>
        <v>40399</v>
      </c>
      <c r="W196" s="464">
        <f t="shared" si="68"/>
        <v>444389</v>
      </c>
      <c r="X196" s="467">
        <v>17</v>
      </c>
      <c r="Y196" s="203">
        <v>37365.176470588238</v>
      </c>
      <c r="Z196" s="462">
        <f t="shared" si="69"/>
        <v>635208</v>
      </c>
      <c r="AA196" s="192">
        <v>20</v>
      </c>
      <c r="AB196" s="192">
        <f>+(170865+635414)/20</f>
        <v>40313.949999999997</v>
      </c>
      <c r="AC196" s="464">
        <f t="shared" si="70"/>
        <v>806279</v>
      </c>
      <c r="AD196" s="467"/>
      <c r="AE196" s="203"/>
      <c r="AF196" s="462">
        <f t="shared" si="71"/>
        <v>0</v>
      </c>
      <c r="AG196" s="192"/>
      <c r="AH196" s="192"/>
      <c r="AI196" s="464">
        <f t="shared" si="72"/>
        <v>0</v>
      </c>
      <c r="AJ196" s="467"/>
      <c r="AK196" s="203"/>
      <c r="AL196" s="462">
        <f t="shared" si="73"/>
        <v>0</v>
      </c>
      <c r="AM196" s="192"/>
      <c r="AN196" s="192"/>
      <c r="AO196" s="206">
        <f t="shared" si="74"/>
        <v>0</v>
      </c>
      <c r="AP196" s="203">
        <v>5</v>
      </c>
      <c r="AQ196" s="203">
        <v>74296.2</v>
      </c>
      <c r="AR196" s="462">
        <f t="shared" si="75"/>
        <v>303945.75420000002</v>
      </c>
      <c r="AS196" s="192">
        <v>6</v>
      </c>
      <c r="AT196" s="192">
        <f>+(181633+270993)/6</f>
        <v>75437.666666666672</v>
      </c>
      <c r="AU196" s="464">
        <f t="shared" si="76"/>
        <v>370338.5932</v>
      </c>
      <c r="AV196" s="467">
        <v>4</v>
      </c>
      <c r="AW196" s="203">
        <v>54174.5</v>
      </c>
      <c r="AX196" s="462">
        <f t="shared" si="77"/>
        <v>177302.30360000001</v>
      </c>
      <c r="AY196" s="192">
        <v>4</v>
      </c>
      <c r="AZ196" s="192">
        <f>+(108912+112682)/4</f>
        <v>55398.5</v>
      </c>
      <c r="BA196" s="464">
        <f t="shared" si="78"/>
        <v>181308.2108</v>
      </c>
      <c r="BB196" s="467"/>
      <c r="BC196" s="203"/>
      <c r="BD196" s="462">
        <f t="shared" si="79"/>
        <v>0</v>
      </c>
      <c r="BE196" s="192">
        <v>2</v>
      </c>
      <c r="BF196" s="192">
        <f>104399/2</f>
        <v>52199.5</v>
      </c>
      <c r="BG196" s="464">
        <f t="shared" si="80"/>
        <v>85419.261800000007</v>
      </c>
      <c r="BH196" s="467">
        <v>13</v>
      </c>
      <c r="BI196" s="203">
        <v>44701.384615384617</v>
      </c>
      <c r="BJ196" s="462">
        <f t="shared" si="81"/>
        <v>475470.7476</v>
      </c>
      <c r="BK196" s="192">
        <v>8</v>
      </c>
      <c r="BL196" s="192">
        <f>+(210445+154212)/8</f>
        <v>45582.125</v>
      </c>
      <c r="BM196" s="464">
        <f t="shared" si="82"/>
        <v>298362.35740000004</v>
      </c>
      <c r="BN196" s="467"/>
      <c r="BO196" s="203"/>
      <c r="BP196" s="462">
        <f t="shared" si="83"/>
        <v>0</v>
      </c>
      <c r="BQ196" s="192"/>
      <c r="BR196" s="192"/>
      <c r="BS196" s="464">
        <f t="shared" si="84"/>
        <v>0</v>
      </c>
      <c r="BT196" s="467"/>
      <c r="BU196" s="203"/>
      <c r="BV196" s="462">
        <f t="shared" si="85"/>
        <v>0</v>
      </c>
      <c r="BW196" s="192"/>
      <c r="BX196" s="192"/>
      <c r="BY196" s="463">
        <f t="shared" si="86"/>
        <v>0</v>
      </c>
    </row>
    <row r="197" spans="1:77" x14ac:dyDescent="0.2">
      <c r="A197" s="197" t="s">
        <v>115</v>
      </c>
      <c r="B197" s="198" t="s">
        <v>465</v>
      </c>
      <c r="C197" s="235"/>
      <c r="D197" s="197">
        <v>157331</v>
      </c>
      <c r="E197" s="200">
        <v>9</v>
      </c>
      <c r="F197" s="234">
        <v>23</v>
      </c>
      <c r="G197" s="208">
        <v>59686.304347826088</v>
      </c>
      <c r="H197" s="461">
        <f t="shared" si="63"/>
        <v>1372785</v>
      </c>
      <c r="I197" s="194">
        <v>24</v>
      </c>
      <c r="J197" s="194">
        <f>+(444023+1031930)/24</f>
        <v>61498.041666666664</v>
      </c>
      <c r="K197" s="464">
        <f t="shared" si="64"/>
        <v>1475953</v>
      </c>
      <c r="L197" s="467">
        <v>28</v>
      </c>
      <c r="M197" s="203">
        <v>46373.428571428572</v>
      </c>
      <c r="N197" s="462">
        <f t="shared" si="65"/>
        <v>1298456</v>
      </c>
      <c r="O197" s="192">
        <v>30</v>
      </c>
      <c r="P197" s="192">
        <f>+(486218+942721)/30</f>
        <v>47631.3</v>
      </c>
      <c r="Q197" s="464">
        <f t="shared" si="66"/>
        <v>1428939</v>
      </c>
      <c r="R197" s="467">
        <v>10</v>
      </c>
      <c r="S197" s="203">
        <v>42546.1</v>
      </c>
      <c r="T197" s="462">
        <f t="shared" si="67"/>
        <v>425461</v>
      </c>
      <c r="U197" s="191">
        <v>9</v>
      </c>
      <c r="V197" s="191">
        <f>+(88500+294881)/9</f>
        <v>42597.888888888891</v>
      </c>
      <c r="W197" s="464">
        <f t="shared" si="68"/>
        <v>383381</v>
      </c>
      <c r="X197" s="467">
        <v>19</v>
      </c>
      <c r="Y197" s="203">
        <v>38118.210526315786</v>
      </c>
      <c r="Z197" s="462">
        <f t="shared" si="69"/>
        <v>724246</v>
      </c>
      <c r="AA197" s="192">
        <v>19</v>
      </c>
      <c r="AB197" s="192">
        <f>+(258194+464329)/19</f>
        <v>38027.526315789473</v>
      </c>
      <c r="AC197" s="464">
        <f t="shared" si="70"/>
        <v>722523</v>
      </c>
      <c r="AD197" s="467"/>
      <c r="AE197" s="203"/>
      <c r="AF197" s="462">
        <f t="shared" si="71"/>
        <v>0</v>
      </c>
      <c r="AG197" s="192"/>
      <c r="AH197" s="192"/>
      <c r="AI197" s="464">
        <f t="shared" si="72"/>
        <v>0</v>
      </c>
      <c r="AJ197" s="467"/>
      <c r="AK197" s="203"/>
      <c r="AL197" s="462">
        <f t="shared" si="73"/>
        <v>0</v>
      </c>
      <c r="AM197" s="192"/>
      <c r="AN197" s="192"/>
      <c r="AO197" s="206">
        <f t="shared" si="74"/>
        <v>0</v>
      </c>
      <c r="AP197" s="203">
        <v>6</v>
      </c>
      <c r="AQ197" s="203">
        <v>67807</v>
      </c>
      <c r="AR197" s="462">
        <f t="shared" si="75"/>
        <v>332878.12440000003</v>
      </c>
      <c r="AS197" s="192">
        <v>5</v>
      </c>
      <c r="AT197" s="192">
        <f>+(146693+202720)/5</f>
        <v>69882.600000000006</v>
      </c>
      <c r="AU197" s="464">
        <f t="shared" si="76"/>
        <v>285889.71659999999</v>
      </c>
      <c r="AV197" s="467">
        <v>4</v>
      </c>
      <c r="AW197" s="203">
        <v>54436.5</v>
      </c>
      <c r="AX197" s="462">
        <f t="shared" si="77"/>
        <v>178159.77720000001</v>
      </c>
      <c r="AY197" s="192">
        <v>4</v>
      </c>
      <c r="AZ197" s="192">
        <f>224278/4</f>
        <v>56069.5</v>
      </c>
      <c r="BA197" s="464">
        <f t="shared" si="78"/>
        <v>183504.25960000002</v>
      </c>
      <c r="BB197" s="467"/>
      <c r="BC197" s="203"/>
      <c r="BD197" s="462">
        <f t="shared" si="79"/>
        <v>0</v>
      </c>
      <c r="BE197" s="192"/>
      <c r="BF197" s="192"/>
      <c r="BG197" s="464">
        <f t="shared" si="80"/>
        <v>0</v>
      </c>
      <c r="BH197" s="467"/>
      <c r="BI197" s="203"/>
      <c r="BJ197" s="462">
        <f t="shared" si="81"/>
        <v>0</v>
      </c>
      <c r="BK197" s="192"/>
      <c r="BL197" s="192"/>
      <c r="BM197" s="464">
        <f t="shared" si="82"/>
        <v>0</v>
      </c>
      <c r="BN197" s="467"/>
      <c r="BO197" s="203"/>
      <c r="BP197" s="462">
        <f t="shared" si="83"/>
        <v>0</v>
      </c>
      <c r="BQ197" s="192"/>
      <c r="BR197" s="192"/>
      <c r="BS197" s="464">
        <f t="shared" si="84"/>
        <v>0</v>
      </c>
      <c r="BT197" s="467"/>
      <c r="BU197" s="203"/>
      <c r="BV197" s="462">
        <f t="shared" si="85"/>
        <v>0</v>
      </c>
      <c r="BW197" s="192"/>
      <c r="BX197" s="192"/>
      <c r="BY197" s="463">
        <f t="shared" si="86"/>
        <v>0</v>
      </c>
    </row>
    <row r="198" spans="1:77" x14ac:dyDescent="0.2">
      <c r="A198" s="301" t="s">
        <v>115</v>
      </c>
      <c r="B198" s="302" t="s">
        <v>466</v>
      </c>
      <c r="C198" s="303"/>
      <c r="D198" s="197">
        <v>247940</v>
      </c>
      <c r="E198" s="199">
        <v>9</v>
      </c>
      <c r="F198" s="234">
        <v>22</v>
      </c>
      <c r="G198" s="208">
        <v>58222.909090909088</v>
      </c>
      <c r="H198" s="461">
        <f t="shared" si="63"/>
        <v>1280904</v>
      </c>
      <c r="I198" s="194">
        <v>17</v>
      </c>
      <c r="J198" s="194">
        <f>+(541834+485330)/17</f>
        <v>60421.411764705881</v>
      </c>
      <c r="K198" s="464">
        <f t="shared" si="64"/>
        <v>1027164</v>
      </c>
      <c r="L198" s="467">
        <v>35</v>
      </c>
      <c r="M198" s="203">
        <v>48798.171428571426</v>
      </c>
      <c r="N198" s="462">
        <f t="shared" si="65"/>
        <v>1707936</v>
      </c>
      <c r="O198" s="192">
        <v>35</v>
      </c>
      <c r="P198" s="192">
        <f>+(1022909+712389)/35</f>
        <v>49579.942857142858</v>
      </c>
      <c r="Q198" s="464">
        <f t="shared" si="66"/>
        <v>1735298</v>
      </c>
      <c r="R198" s="467">
        <v>16</v>
      </c>
      <c r="S198" s="203">
        <v>39489.75</v>
      </c>
      <c r="T198" s="462">
        <f t="shared" si="67"/>
        <v>631836</v>
      </c>
      <c r="U198" s="191">
        <v>15</v>
      </c>
      <c r="V198" s="191">
        <f>+(112322+485114)/15</f>
        <v>39829.066666666666</v>
      </c>
      <c r="W198" s="464">
        <f t="shared" si="68"/>
        <v>597436</v>
      </c>
      <c r="X198" s="467">
        <v>12</v>
      </c>
      <c r="Y198" s="203">
        <v>38773.583333333336</v>
      </c>
      <c r="Z198" s="462">
        <f t="shared" si="69"/>
        <v>465283</v>
      </c>
      <c r="AA198" s="192">
        <v>21</v>
      </c>
      <c r="AB198" s="192">
        <f>+(170081+647170)/21</f>
        <v>38916.714285714283</v>
      </c>
      <c r="AC198" s="464">
        <f t="shared" si="70"/>
        <v>817250.99999999988</v>
      </c>
      <c r="AD198" s="467"/>
      <c r="AE198" s="203"/>
      <c r="AF198" s="462">
        <f t="shared" si="71"/>
        <v>0</v>
      </c>
      <c r="AG198" s="192"/>
      <c r="AH198" s="192"/>
      <c r="AI198" s="464">
        <f t="shared" si="72"/>
        <v>0</v>
      </c>
      <c r="AJ198" s="467"/>
      <c r="AK198" s="203"/>
      <c r="AL198" s="462">
        <f t="shared" si="73"/>
        <v>0</v>
      </c>
      <c r="AM198" s="192"/>
      <c r="AN198" s="192"/>
      <c r="AO198" s="206">
        <f t="shared" si="74"/>
        <v>0</v>
      </c>
      <c r="AP198" s="203">
        <v>1</v>
      </c>
      <c r="AQ198" s="203">
        <v>65421</v>
      </c>
      <c r="AR198" s="462">
        <f t="shared" si="75"/>
        <v>53527.462200000002</v>
      </c>
      <c r="AS198" s="192">
        <v>1</v>
      </c>
      <c r="AT198" s="192">
        <v>67383</v>
      </c>
      <c r="AU198" s="464">
        <f t="shared" si="76"/>
        <v>55132.770600000003</v>
      </c>
      <c r="AV198" s="467">
        <v>3</v>
      </c>
      <c r="AW198" s="203">
        <v>57481.333333333336</v>
      </c>
      <c r="AX198" s="462">
        <f t="shared" si="77"/>
        <v>141093.6808</v>
      </c>
      <c r="AY198" s="192">
        <v>4</v>
      </c>
      <c r="AZ198" s="192">
        <f>+(116446+118594)/4</f>
        <v>58760</v>
      </c>
      <c r="BA198" s="464">
        <f t="shared" si="78"/>
        <v>192309.728</v>
      </c>
      <c r="BB198" s="467">
        <v>6</v>
      </c>
      <c r="BC198" s="203">
        <v>48181.5</v>
      </c>
      <c r="BD198" s="462">
        <f t="shared" si="79"/>
        <v>236532.61980000001</v>
      </c>
      <c r="BE198" s="192">
        <v>4</v>
      </c>
      <c r="BF198" s="192">
        <f>+(147701+39789)/4</f>
        <v>46872.5</v>
      </c>
      <c r="BG198" s="464">
        <f t="shared" si="80"/>
        <v>153404.318</v>
      </c>
      <c r="BH198" s="467">
        <v>2</v>
      </c>
      <c r="BI198" s="203">
        <v>43501.5</v>
      </c>
      <c r="BJ198" s="462">
        <f t="shared" si="81"/>
        <v>71185.854600000006</v>
      </c>
      <c r="BK198" s="192">
        <v>2</v>
      </c>
      <c r="BL198" s="192">
        <f>+(51503+38110)/2</f>
        <v>44806.5</v>
      </c>
      <c r="BM198" s="464">
        <f t="shared" si="82"/>
        <v>73321.356599999999</v>
      </c>
      <c r="BN198" s="467"/>
      <c r="BO198" s="203"/>
      <c r="BP198" s="462">
        <f t="shared" si="83"/>
        <v>0</v>
      </c>
      <c r="BQ198" s="192"/>
      <c r="BR198" s="192"/>
      <c r="BS198" s="464">
        <f t="shared" si="84"/>
        <v>0</v>
      </c>
      <c r="BT198" s="467"/>
      <c r="BU198" s="203"/>
      <c r="BV198" s="462">
        <f t="shared" si="85"/>
        <v>0</v>
      </c>
      <c r="BW198" s="192"/>
      <c r="BX198" s="192"/>
      <c r="BY198" s="463">
        <f t="shared" si="86"/>
        <v>0</v>
      </c>
    </row>
    <row r="199" spans="1:77" x14ac:dyDescent="0.2">
      <c r="A199" s="301" t="s">
        <v>115</v>
      </c>
      <c r="B199" s="302" t="s">
        <v>467</v>
      </c>
      <c r="C199" s="305" t="s">
        <v>516</v>
      </c>
      <c r="D199" s="197">
        <v>157711</v>
      </c>
      <c r="E199" s="199">
        <v>9</v>
      </c>
      <c r="F199" s="234">
        <v>46</v>
      </c>
      <c r="G199" s="208">
        <v>57575.304347826088</v>
      </c>
      <c r="H199" s="461">
        <f t="shared" si="63"/>
        <v>2648464</v>
      </c>
      <c r="I199" s="194">
        <f>15+29</f>
        <v>44</v>
      </c>
      <c r="J199" s="194">
        <f>+(880551+1671434)/(15+29)</f>
        <v>57999.659090909088</v>
      </c>
      <c r="K199" s="464">
        <f t="shared" si="64"/>
        <v>2551985</v>
      </c>
      <c r="L199" s="467">
        <v>42</v>
      </c>
      <c r="M199" s="203">
        <v>47479.5</v>
      </c>
      <c r="N199" s="462">
        <f t="shared" si="65"/>
        <v>1994139</v>
      </c>
      <c r="O199" s="192">
        <f>27+13</f>
        <v>40</v>
      </c>
      <c r="P199" s="192">
        <f>+(1334092+600335)/(27+13)</f>
        <v>48360.675000000003</v>
      </c>
      <c r="Q199" s="464">
        <f t="shared" si="66"/>
        <v>1934427</v>
      </c>
      <c r="R199" s="467">
        <v>21</v>
      </c>
      <c r="S199" s="203">
        <v>39479.238095238092</v>
      </c>
      <c r="T199" s="462">
        <f t="shared" si="67"/>
        <v>829063.99999999988</v>
      </c>
      <c r="U199" s="191">
        <v>22</v>
      </c>
      <c r="V199" s="191">
        <f>+(487516+409309)/22</f>
        <v>40764.772727272728</v>
      </c>
      <c r="W199" s="464">
        <f t="shared" si="68"/>
        <v>896825</v>
      </c>
      <c r="X199" s="467">
        <v>36</v>
      </c>
      <c r="Y199" s="203">
        <v>35360.222222222219</v>
      </c>
      <c r="Z199" s="462">
        <f t="shared" si="69"/>
        <v>1272968</v>
      </c>
      <c r="AA199" s="192">
        <f>18+31</f>
        <v>49</v>
      </c>
      <c r="AB199" s="192">
        <f>+(660638+1112444)/(18+31)</f>
        <v>36185.34693877551</v>
      </c>
      <c r="AC199" s="464">
        <f t="shared" si="70"/>
        <v>1773082</v>
      </c>
      <c r="AD199" s="467"/>
      <c r="AE199" s="203"/>
      <c r="AF199" s="462">
        <f t="shared" si="71"/>
        <v>0</v>
      </c>
      <c r="AG199" s="192"/>
      <c r="AH199" s="192"/>
      <c r="AI199" s="464">
        <f t="shared" si="72"/>
        <v>0</v>
      </c>
      <c r="AJ199" s="467"/>
      <c r="AK199" s="203"/>
      <c r="AL199" s="462">
        <f t="shared" si="73"/>
        <v>0</v>
      </c>
      <c r="AM199" s="192"/>
      <c r="AN199" s="192"/>
      <c r="AO199" s="206">
        <f t="shared" si="74"/>
        <v>0</v>
      </c>
      <c r="AP199" s="203">
        <v>7</v>
      </c>
      <c r="AQ199" s="203">
        <v>76301.28571428571</v>
      </c>
      <c r="AR199" s="462">
        <f t="shared" si="75"/>
        <v>437007.98380000005</v>
      </c>
      <c r="AS199" s="192">
        <v>8</v>
      </c>
      <c r="AT199" s="192">
        <f>+(230797+386835)/8</f>
        <v>77204</v>
      </c>
      <c r="AU199" s="464">
        <f t="shared" si="76"/>
        <v>505346.5024</v>
      </c>
      <c r="AV199" s="467">
        <v>6</v>
      </c>
      <c r="AW199" s="203">
        <v>66621.666666666672</v>
      </c>
      <c r="AX199" s="462">
        <f t="shared" si="77"/>
        <v>327059.08600000001</v>
      </c>
      <c r="AY199" s="192">
        <v>6</v>
      </c>
      <c r="AZ199" s="192">
        <f>+(242372+174941)/6</f>
        <v>69552.166666666672</v>
      </c>
      <c r="BA199" s="464">
        <f t="shared" si="78"/>
        <v>341445.49660000001</v>
      </c>
      <c r="BB199" s="467">
        <v>3</v>
      </c>
      <c r="BC199" s="203">
        <v>52324</v>
      </c>
      <c r="BD199" s="462">
        <f t="shared" si="79"/>
        <v>128434.49040000001</v>
      </c>
      <c r="BE199" s="192">
        <v>4</v>
      </c>
      <c r="BF199" s="192">
        <f>+(119556+94103)/4</f>
        <v>53414.75</v>
      </c>
      <c r="BG199" s="464">
        <f t="shared" si="80"/>
        <v>174815.79380000001</v>
      </c>
      <c r="BH199" s="467">
        <v>6</v>
      </c>
      <c r="BI199" s="203">
        <v>42846.166666666664</v>
      </c>
      <c r="BJ199" s="462">
        <f t="shared" si="81"/>
        <v>210340.4014</v>
      </c>
      <c r="BK199" s="192">
        <v>7</v>
      </c>
      <c r="BL199" s="192">
        <f>+(44422+254616)/7</f>
        <v>42719.714285714283</v>
      </c>
      <c r="BM199" s="464">
        <f t="shared" si="82"/>
        <v>244672.8916</v>
      </c>
      <c r="BN199" s="467"/>
      <c r="BO199" s="203"/>
      <c r="BP199" s="462">
        <f t="shared" si="83"/>
        <v>0</v>
      </c>
      <c r="BQ199" s="192"/>
      <c r="BR199" s="192"/>
      <c r="BS199" s="464">
        <f t="shared" si="84"/>
        <v>0</v>
      </c>
      <c r="BT199" s="467"/>
      <c r="BU199" s="203"/>
      <c r="BV199" s="462">
        <f t="shared" si="85"/>
        <v>0</v>
      </c>
      <c r="BW199" s="192"/>
      <c r="BX199" s="192"/>
      <c r="BY199" s="463">
        <f t="shared" si="86"/>
        <v>0</v>
      </c>
    </row>
    <row r="200" spans="1:77" x14ac:dyDescent="0.2">
      <c r="A200" s="301" t="s">
        <v>115</v>
      </c>
      <c r="B200" s="304" t="s">
        <v>468</v>
      </c>
      <c r="C200" s="305"/>
      <c r="D200" s="197">
        <v>157739</v>
      </c>
      <c r="E200" s="199">
        <v>9</v>
      </c>
      <c r="F200" s="234">
        <v>35</v>
      </c>
      <c r="G200" s="208">
        <v>59512.485714285714</v>
      </c>
      <c r="H200" s="461">
        <f t="shared" si="63"/>
        <v>2082937</v>
      </c>
      <c r="I200" s="194">
        <f>19+12</f>
        <v>31</v>
      </c>
      <c r="J200" s="194">
        <f>+(1198110+690987)/(19+12)</f>
        <v>60938.612903225803</v>
      </c>
      <c r="K200" s="464">
        <f t="shared" si="64"/>
        <v>1889097</v>
      </c>
      <c r="L200" s="467">
        <v>21</v>
      </c>
      <c r="M200" s="203">
        <v>47599.523809523809</v>
      </c>
      <c r="N200" s="462">
        <f t="shared" si="65"/>
        <v>999590</v>
      </c>
      <c r="O200" s="192">
        <v>19</v>
      </c>
      <c r="P200" s="192">
        <f>+(422559+492984)/19</f>
        <v>48186.473684210527</v>
      </c>
      <c r="Q200" s="464">
        <f t="shared" si="66"/>
        <v>915543</v>
      </c>
      <c r="R200" s="467">
        <v>7</v>
      </c>
      <c r="S200" s="203">
        <v>39733.714285714283</v>
      </c>
      <c r="T200" s="462">
        <f t="shared" si="67"/>
        <v>278136</v>
      </c>
      <c r="U200" s="191">
        <v>9</v>
      </c>
      <c r="V200" s="191">
        <f>+(133768+237575)/9</f>
        <v>41260.333333333336</v>
      </c>
      <c r="W200" s="464">
        <f t="shared" si="68"/>
        <v>371343</v>
      </c>
      <c r="X200" s="467">
        <v>14</v>
      </c>
      <c r="Y200" s="203">
        <v>37635.714285714283</v>
      </c>
      <c r="Z200" s="462">
        <f t="shared" si="69"/>
        <v>526900</v>
      </c>
      <c r="AA200" s="192">
        <v>19</v>
      </c>
      <c r="AB200" s="192">
        <f>+(79200+632549)/19</f>
        <v>37460.473684210527</v>
      </c>
      <c r="AC200" s="464">
        <f t="shared" si="70"/>
        <v>711749</v>
      </c>
      <c r="AD200" s="467"/>
      <c r="AE200" s="203"/>
      <c r="AF200" s="462">
        <f t="shared" si="71"/>
        <v>0</v>
      </c>
      <c r="AG200" s="192"/>
      <c r="AH200" s="192"/>
      <c r="AI200" s="464">
        <f t="shared" si="72"/>
        <v>0</v>
      </c>
      <c r="AJ200" s="467"/>
      <c r="AK200" s="203"/>
      <c r="AL200" s="462">
        <f t="shared" si="73"/>
        <v>0</v>
      </c>
      <c r="AM200" s="192"/>
      <c r="AN200" s="192"/>
      <c r="AO200" s="206">
        <f t="shared" si="74"/>
        <v>0</v>
      </c>
      <c r="AP200" s="203">
        <v>9</v>
      </c>
      <c r="AQ200" s="203">
        <v>68125.222222222219</v>
      </c>
      <c r="AR200" s="462">
        <f t="shared" si="75"/>
        <v>501660.51140000002</v>
      </c>
      <c r="AS200" s="192">
        <v>8</v>
      </c>
      <c r="AT200" s="192">
        <f>+(460402+92700)/8</f>
        <v>69137.75</v>
      </c>
      <c r="AU200" s="464">
        <f t="shared" si="76"/>
        <v>452548.0564</v>
      </c>
      <c r="AV200" s="467">
        <v>8</v>
      </c>
      <c r="AW200" s="203">
        <v>57046.25</v>
      </c>
      <c r="AX200" s="462">
        <f t="shared" si="77"/>
        <v>373401.93400000001</v>
      </c>
      <c r="AY200" s="192">
        <v>8</v>
      </c>
      <c r="AZ200" s="192">
        <f>+(292420+171084)/8</f>
        <v>57938</v>
      </c>
      <c r="BA200" s="464">
        <f t="shared" si="78"/>
        <v>379238.97280000005</v>
      </c>
      <c r="BB200" s="467">
        <v>2</v>
      </c>
      <c r="BC200" s="203">
        <v>42493</v>
      </c>
      <c r="BD200" s="462">
        <f t="shared" si="79"/>
        <v>69535.545200000008</v>
      </c>
      <c r="BE200" s="192">
        <v>1</v>
      </c>
      <c r="BF200" s="192">
        <v>43768</v>
      </c>
      <c r="BG200" s="464">
        <f t="shared" si="80"/>
        <v>35810.977599999998</v>
      </c>
      <c r="BH200" s="467"/>
      <c r="BI200" s="203"/>
      <c r="BJ200" s="462">
        <f t="shared" si="81"/>
        <v>0</v>
      </c>
      <c r="BK200" s="192">
        <v>1</v>
      </c>
      <c r="BL200" s="192">
        <v>37785</v>
      </c>
      <c r="BM200" s="464">
        <f t="shared" si="82"/>
        <v>30915.687000000002</v>
      </c>
      <c r="BN200" s="467"/>
      <c r="BO200" s="203"/>
      <c r="BP200" s="462">
        <f t="shared" si="83"/>
        <v>0</v>
      </c>
      <c r="BQ200" s="192"/>
      <c r="BR200" s="192"/>
      <c r="BS200" s="464">
        <f t="shared" si="84"/>
        <v>0</v>
      </c>
      <c r="BT200" s="467"/>
      <c r="BU200" s="203"/>
      <c r="BV200" s="462">
        <f t="shared" si="85"/>
        <v>0</v>
      </c>
      <c r="BW200" s="192"/>
      <c r="BX200" s="192"/>
      <c r="BY200" s="463">
        <f t="shared" si="86"/>
        <v>0</v>
      </c>
    </row>
    <row r="201" spans="1:77" x14ac:dyDescent="0.2">
      <c r="A201" s="301" t="s">
        <v>115</v>
      </c>
      <c r="B201" s="302" t="s">
        <v>469</v>
      </c>
      <c r="C201" s="303"/>
      <c r="D201" s="197">
        <v>157483</v>
      </c>
      <c r="E201" s="199">
        <v>9</v>
      </c>
      <c r="F201" s="234">
        <v>43</v>
      </c>
      <c r="G201" s="208">
        <v>56987.372093023259</v>
      </c>
      <c r="H201" s="461">
        <f t="shared" ref="H201:H263" si="87">F201*G201</f>
        <v>2450457</v>
      </c>
      <c r="I201" s="194">
        <f>12+23</f>
        <v>35</v>
      </c>
      <c r="J201" s="194">
        <f>+(717862+1345950)/(12+23)</f>
        <v>58966.057142857142</v>
      </c>
      <c r="K201" s="464">
        <f t="shared" ref="K201:K263" si="88">I201*J201</f>
        <v>2063812</v>
      </c>
      <c r="L201" s="467">
        <v>25</v>
      </c>
      <c r="M201" s="203">
        <v>46760.68</v>
      </c>
      <c r="N201" s="462">
        <f t="shared" ref="N201:N263" si="89">L201*M201</f>
        <v>1169017</v>
      </c>
      <c r="O201" s="192">
        <f>13+16</f>
        <v>29</v>
      </c>
      <c r="P201" s="192">
        <f>+(643244+741388)/(13+16)</f>
        <v>47745.931034482761</v>
      </c>
      <c r="Q201" s="464">
        <f t="shared" ref="Q201:Q263" si="90">O201*P201</f>
        <v>1384632</v>
      </c>
      <c r="R201" s="467">
        <v>19</v>
      </c>
      <c r="S201" s="203">
        <v>41952.684210526313</v>
      </c>
      <c r="T201" s="462">
        <f t="shared" ref="T201:T263" si="91">R201*S201</f>
        <v>797101</v>
      </c>
      <c r="U201" s="191">
        <v>17</v>
      </c>
      <c r="V201" s="191">
        <f>+(343129+367697)/17</f>
        <v>41813.294117647056</v>
      </c>
      <c r="W201" s="464">
        <f t="shared" ref="W201:W263" si="92">U201*V201</f>
        <v>710826</v>
      </c>
      <c r="X201" s="467">
        <v>12</v>
      </c>
      <c r="Y201" s="203">
        <v>37900</v>
      </c>
      <c r="Z201" s="462">
        <f t="shared" ref="Z201:Z263" si="93">X201*Y201</f>
        <v>454800</v>
      </c>
      <c r="AA201" s="192">
        <v>11</v>
      </c>
      <c r="AB201" s="192">
        <f>+(121580+298887)/11</f>
        <v>38224.272727272728</v>
      </c>
      <c r="AC201" s="464">
        <f t="shared" ref="AC201:AC263" si="94">AA201*AB201</f>
        <v>420467</v>
      </c>
      <c r="AD201" s="467"/>
      <c r="AE201" s="203"/>
      <c r="AF201" s="462">
        <f t="shared" ref="AF201:AF263" si="95">AD201*AE201</f>
        <v>0</v>
      </c>
      <c r="AG201" s="192"/>
      <c r="AH201" s="192"/>
      <c r="AI201" s="464">
        <f t="shared" ref="AI201:AI263" si="96">AG201*AH201</f>
        <v>0</v>
      </c>
      <c r="AJ201" s="467"/>
      <c r="AK201" s="203"/>
      <c r="AL201" s="462">
        <f t="shared" ref="AL201:AL263" si="97">AJ201*AK201</f>
        <v>0</v>
      </c>
      <c r="AM201" s="192"/>
      <c r="AN201" s="192"/>
      <c r="AO201" s="206">
        <f t="shared" ref="AO201:AO263" si="98">AM201*AN201</f>
        <v>0</v>
      </c>
      <c r="AP201" s="203">
        <v>9</v>
      </c>
      <c r="AQ201" s="203">
        <v>69761</v>
      </c>
      <c r="AR201" s="462">
        <f t="shared" ref="AR201:AR263" si="99">(AP201*AQ201)*0.8182</f>
        <v>513706.05180000002</v>
      </c>
      <c r="AS201" s="192">
        <v>15</v>
      </c>
      <c r="AT201" s="192">
        <f>+(228025+834649)/15</f>
        <v>70844.933333333334</v>
      </c>
      <c r="AU201" s="464">
        <f t="shared" ref="AU201:AU263" si="100">(AS201*AT201)*0.8182</f>
        <v>869479.86680000008</v>
      </c>
      <c r="AV201" s="467">
        <v>7</v>
      </c>
      <c r="AW201" s="203">
        <v>55117.571428571428</v>
      </c>
      <c r="AX201" s="462">
        <f t="shared" ref="AX201:AX263" si="101">(AV201*AW201)*0.8182</f>
        <v>315680.3786</v>
      </c>
      <c r="AY201" s="192">
        <v>7</v>
      </c>
      <c r="AZ201" s="192">
        <f>+(230002+171398)/7</f>
        <v>57342.857142857145</v>
      </c>
      <c r="BA201" s="464">
        <f t="shared" ref="BA201:BA263" si="102">(AY201*AZ201)*0.8182</f>
        <v>328425.48000000004</v>
      </c>
      <c r="BB201" s="467">
        <v>5</v>
      </c>
      <c r="BC201" s="203">
        <v>51202.6</v>
      </c>
      <c r="BD201" s="462">
        <f t="shared" ref="BD201:BD263" si="103">(BB201*BC201)*0.8182</f>
        <v>209469.83660000001</v>
      </c>
      <c r="BE201" s="192">
        <v>4</v>
      </c>
      <c r="BF201" s="192">
        <f>+(55096+158342)/4</f>
        <v>53359.5</v>
      </c>
      <c r="BG201" s="464">
        <f t="shared" ref="BG201:BG263" si="104">(BE201*BF201)*0.8182</f>
        <v>174634.97160000002</v>
      </c>
      <c r="BH201" s="467">
        <v>19</v>
      </c>
      <c r="BI201" s="203">
        <v>48098.947368421053</v>
      </c>
      <c r="BJ201" s="462">
        <f t="shared" ref="BJ201:BJ263" si="105">(BH201*BI201)*0.8182</f>
        <v>747736.61600000004</v>
      </c>
      <c r="BK201" s="192">
        <v>22</v>
      </c>
      <c r="BL201" s="192">
        <f>+(691491+387897)/22</f>
        <v>49063.090909090912</v>
      </c>
      <c r="BM201" s="464">
        <f t="shared" ref="BM201:BM263" si="106">(BK201*BL201)*0.8182</f>
        <v>883155.26160000009</v>
      </c>
      <c r="BN201" s="467"/>
      <c r="BO201" s="203"/>
      <c r="BP201" s="462">
        <f t="shared" ref="BP201:BP263" si="107">(BN201*BO201)*0.8182</f>
        <v>0</v>
      </c>
      <c r="BQ201" s="192"/>
      <c r="BR201" s="192"/>
      <c r="BS201" s="464">
        <f t="shared" ref="BS201:BS263" si="108">(BQ201*BR201)*0.8182</f>
        <v>0</v>
      </c>
      <c r="BT201" s="467"/>
      <c r="BU201" s="203"/>
      <c r="BV201" s="462">
        <f t="shared" ref="BV201:BV263" si="109">(BT201*BU201)*0.8182</f>
        <v>0</v>
      </c>
      <c r="BW201" s="192"/>
      <c r="BX201" s="192"/>
      <c r="BY201" s="463">
        <f t="shared" ref="BY201:BY263" si="110">(BW201*BX201)*0.8182</f>
        <v>0</v>
      </c>
    </row>
    <row r="202" spans="1:77" x14ac:dyDescent="0.2">
      <c r="A202" s="197" t="s">
        <v>115</v>
      </c>
      <c r="B202" s="304" t="s">
        <v>470</v>
      </c>
      <c r="C202" s="305" t="s">
        <v>517</v>
      </c>
      <c r="D202" s="197">
        <v>156790</v>
      </c>
      <c r="E202" s="199">
        <v>10</v>
      </c>
      <c r="F202" s="234">
        <v>43</v>
      </c>
      <c r="G202" s="208">
        <v>57005.627906976741</v>
      </c>
      <c r="H202" s="461">
        <f t="shared" si="87"/>
        <v>2451242</v>
      </c>
      <c r="I202" s="194">
        <f>13+30</f>
        <v>43</v>
      </c>
      <c r="J202" s="194">
        <f>+(725189+1789477)/(13+30)</f>
        <v>58480.604651162794</v>
      </c>
      <c r="K202" s="464">
        <f t="shared" si="88"/>
        <v>2514666</v>
      </c>
      <c r="L202" s="467">
        <v>21</v>
      </c>
      <c r="M202" s="203">
        <v>47891.809523809527</v>
      </c>
      <c r="N202" s="462">
        <f t="shared" si="89"/>
        <v>1005728</v>
      </c>
      <c r="O202" s="192">
        <f>14+6</f>
        <v>20</v>
      </c>
      <c r="P202" s="192">
        <f>+(703109+288833)/(14+6)</f>
        <v>49597.1</v>
      </c>
      <c r="Q202" s="464">
        <f t="shared" si="90"/>
        <v>991942</v>
      </c>
      <c r="R202" s="467">
        <v>8</v>
      </c>
      <c r="S202" s="203">
        <v>41445.875</v>
      </c>
      <c r="T202" s="462">
        <f t="shared" si="91"/>
        <v>331567</v>
      </c>
      <c r="U202" s="191">
        <v>9</v>
      </c>
      <c r="V202" s="191">
        <f>+(119069+268504)/9</f>
        <v>43063.666666666664</v>
      </c>
      <c r="W202" s="464">
        <f t="shared" si="92"/>
        <v>387573</v>
      </c>
      <c r="X202" s="467">
        <v>14</v>
      </c>
      <c r="Y202" s="203">
        <v>36584</v>
      </c>
      <c r="Z202" s="462">
        <f t="shared" si="93"/>
        <v>512176</v>
      </c>
      <c r="AA202" s="192">
        <v>11</v>
      </c>
      <c r="AB202" s="192">
        <f>+(178205+235715)/11</f>
        <v>37629.090909090912</v>
      </c>
      <c r="AC202" s="464">
        <f t="shared" si="94"/>
        <v>413920</v>
      </c>
      <c r="AD202" s="467"/>
      <c r="AE202" s="203"/>
      <c r="AF202" s="462">
        <f t="shared" si="95"/>
        <v>0</v>
      </c>
      <c r="AG202" s="192"/>
      <c r="AH202" s="192"/>
      <c r="AI202" s="464">
        <f t="shared" si="96"/>
        <v>0</v>
      </c>
      <c r="AJ202" s="467"/>
      <c r="AK202" s="203"/>
      <c r="AL202" s="462">
        <f t="shared" si="97"/>
        <v>0</v>
      </c>
      <c r="AM202" s="192"/>
      <c r="AN202" s="192"/>
      <c r="AO202" s="206">
        <f t="shared" si="98"/>
        <v>0</v>
      </c>
      <c r="AP202" s="203">
        <v>10</v>
      </c>
      <c r="AQ202" s="203">
        <v>72654.7</v>
      </c>
      <c r="AR202" s="462">
        <f t="shared" si="99"/>
        <v>594460.75540000002</v>
      </c>
      <c r="AS202" s="192">
        <v>11</v>
      </c>
      <c r="AT202" s="192">
        <f>+(294793+529378)/11</f>
        <v>74924.636363636368</v>
      </c>
      <c r="AU202" s="464">
        <f t="shared" si="100"/>
        <v>674336.71220000007</v>
      </c>
      <c r="AV202" s="467">
        <v>6</v>
      </c>
      <c r="AW202" s="203">
        <v>57631.833333333336</v>
      </c>
      <c r="AX202" s="462">
        <f t="shared" si="101"/>
        <v>282926.19620000001</v>
      </c>
      <c r="AY202" s="192">
        <v>5</v>
      </c>
      <c r="AZ202" s="192">
        <f>+(172385+110251)/5</f>
        <v>56527.199999999997</v>
      </c>
      <c r="BA202" s="464">
        <f t="shared" si="102"/>
        <v>231252.7752</v>
      </c>
      <c r="BB202" s="467">
        <v>1</v>
      </c>
      <c r="BC202" s="203">
        <v>59007</v>
      </c>
      <c r="BD202" s="462">
        <f t="shared" si="103"/>
        <v>48279.527399999999</v>
      </c>
      <c r="BE202" s="192">
        <v>3</v>
      </c>
      <c r="BF202" s="192">
        <f>175984/3</f>
        <v>58661.333333333336</v>
      </c>
      <c r="BG202" s="464">
        <f t="shared" si="104"/>
        <v>143990.10880000002</v>
      </c>
      <c r="BH202" s="467">
        <v>6</v>
      </c>
      <c r="BI202" s="203">
        <v>48735.333333333336</v>
      </c>
      <c r="BJ202" s="462">
        <f t="shared" si="105"/>
        <v>239251.49840000001</v>
      </c>
      <c r="BK202" s="192">
        <v>9</v>
      </c>
      <c r="BL202" s="192">
        <f>+(240549+179755)/9</f>
        <v>46700.444444444445</v>
      </c>
      <c r="BM202" s="464">
        <f t="shared" si="106"/>
        <v>343892.7328</v>
      </c>
      <c r="BN202" s="467"/>
      <c r="BO202" s="203"/>
      <c r="BP202" s="462">
        <f t="shared" si="107"/>
        <v>0</v>
      </c>
      <c r="BQ202" s="192"/>
      <c r="BR202" s="192"/>
      <c r="BS202" s="464">
        <f t="shared" si="108"/>
        <v>0</v>
      </c>
      <c r="BT202" s="467"/>
      <c r="BU202" s="203"/>
      <c r="BV202" s="462">
        <f t="shared" si="109"/>
        <v>0</v>
      </c>
      <c r="BW202" s="192"/>
      <c r="BX202" s="192"/>
      <c r="BY202" s="463">
        <f t="shared" si="110"/>
        <v>0</v>
      </c>
    </row>
    <row r="203" spans="1:77" x14ac:dyDescent="0.2">
      <c r="A203" s="301" t="s">
        <v>115</v>
      </c>
      <c r="B203" s="302" t="s">
        <v>471</v>
      </c>
      <c r="C203" s="303"/>
      <c r="D203" s="197">
        <v>156851</v>
      </c>
      <c r="E203" s="199">
        <v>10</v>
      </c>
      <c r="F203" s="234">
        <v>23</v>
      </c>
      <c r="G203" s="208">
        <v>58337.17391304348</v>
      </c>
      <c r="H203" s="461">
        <f t="shared" si="87"/>
        <v>1341755</v>
      </c>
      <c r="I203" s="194">
        <f>8+14</f>
        <v>22</v>
      </c>
      <c r="J203" s="194">
        <f>+(495380+821485)/(8+14)</f>
        <v>59857.5</v>
      </c>
      <c r="K203" s="464">
        <f t="shared" si="88"/>
        <v>1316865</v>
      </c>
      <c r="L203" s="467">
        <v>10</v>
      </c>
      <c r="M203" s="203">
        <v>48494.400000000001</v>
      </c>
      <c r="N203" s="462">
        <f t="shared" si="89"/>
        <v>484944</v>
      </c>
      <c r="O203" s="192">
        <v>10</v>
      </c>
      <c r="P203" s="192">
        <f>+(156637+340076)/10</f>
        <v>49671.3</v>
      </c>
      <c r="Q203" s="464">
        <f t="shared" si="90"/>
        <v>496713</v>
      </c>
      <c r="R203" s="467">
        <v>6</v>
      </c>
      <c r="S203" s="203">
        <v>39481.666666666664</v>
      </c>
      <c r="T203" s="462">
        <f t="shared" si="91"/>
        <v>236890</v>
      </c>
      <c r="U203" s="191">
        <v>6</v>
      </c>
      <c r="V203" s="191">
        <f>+(41528+220128)/6</f>
        <v>43609.333333333336</v>
      </c>
      <c r="W203" s="464">
        <f t="shared" si="92"/>
        <v>261656</v>
      </c>
      <c r="X203" s="467">
        <v>5</v>
      </c>
      <c r="Y203" s="203">
        <v>44000</v>
      </c>
      <c r="Z203" s="462">
        <f t="shared" si="93"/>
        <v>220000</v>
      </c>
      <c r="AA203" s="192">
        <v>6</v>
      </c>
      <c r="AB203" s="192">
        <f>+(82030+170960)/6</f>
        <v>42165</v>
      </c>
      <c r="AC203" s="464">
        <f t="shared" si="94"/>
        <v>252990</v>
      </c>
      <c r="AD203" s="467"/>
      <c r="AE203" s="203"/>
      <c r="AF203" s="462">
        <f t="shared" si="95"/>
        <v>0</v>
      </c>
      <c r="AG203" s="192"/>
      <c r="AH203" s="192"/>
      <c r="AI203" s="464">
        <f t="shared" si="96"/>
        <v>0</v>
      </c>
      <c r="AJ203" s="467"/>
      <c r="AK203" s="203"/>
      <c r="AL203" s="462">
        <f t="shared" si="97"/>
        <v>0</v>
      </c>
      <c r="AM203" s="192"/>
      <c r="AN203" s="192"/>
      <c r="AO203" s="206">
        <f t="shared" si="98"/>
        <v>0</v>
      </c>
      <c r="AP203" s="203">
        <v>3</v>
      </c>
      <c r="AQ203" s="203">
        <v>77340.333333333328</v>
      </c>
      <c r="AR203" s="462">
        <f t="shared" si="99"/>
        <v>189839.5822</v>
      </c>
      <c r="AS203" s="192">
        <v>3</v>
      </c>
      <c r="AT203" s="192">
        <f>+(78161+160821)/3</f>
        <v>79660.666666666672</v>
      </c>
      <c r="AU203" s="464">
        <f t="shared" si="100"/>
        <v>195535.0724</v>
      </c>
      <c r="AV203" s="467"/>
      <c r="AW203" s="203"/>
      <c r="AX203" s="462">
        <f t="shared" si="101"/>
        <v>0</v>
      </c>
      <c r="AY203" s="192"/>
      <c r="AZ203" s="192"/>
      <c r="BA203" s="464">
        <f t="shared" si="102"/>
        <v>0</v>
      </c>
      <c r="BB203" s="467">
        <v>1</v>
      </c>
      <c r="BC203" s="203">
        <v>46856</v>
      </c>
      <c r="BD203" s="462">
        <f t="shared" si="103"/>
        <v>38337.5792</v>
      </c>
      <c r="BE203" s="192">
        <v>1</v>
      </c>
      <c r="BF203" s="192">
        <v>48262</v>
      </c>
      <c r="BG203" s="464">
        <f t="shared" si="104"/>
        <v>39487.968400000005</v>
      </c>
      <c r="BH203" s="467"/>
      <c r="BI203" s="203"/>
      <c r="BJ203" s="462">
        <f t="shared" si="105"/>
        <v>0</v>
      </c>
      <c r="BK203" s="192"/>
      <c r="BL203" s="192"/>
      <c r="BM203" s="464">
        <f t="shared" si="106"/>
        <v>0</v>
      </c>
      <c r="BN203" s="467"/>
      <c r="BO203" s="203"/>
      <c r="BP203" s="462">
        <f t="shared" si="107"/>
        <v>0</v>
      </c>
      <c r="BQ203" s="192"/>
      <c r="BR203" s="192"/>
      <c r="BS203" s="464">
        <f t="shared" si="108"/>
        <v>0</v>
      </c>
      <c r="BT203" s="467"/>
      <c r="BU203" s="203"/>
      <c r="BV203" s="462">
        <f t="shared" si="109"/>
        <v>0</v>
      </c>
      <c r="BW203" s="192"/>
      <c r="BX203" s="192"/>
      <c r="BY203" s="463">
        <f t="shared" si="110"/>
        <v>0</v>
      </c>
    </row>
    <row r="204" spans="1:77" x14ac:dyDescent="0.2">
      <c r="A204" s="197" t="s">
        <v>115</v>
      </c>
      <c r="B204" s="302" t="s">
        <v>473</v>
      </c>
      <c r="C204" s="303"/>
      <c r="D204" s="197">
        <v>156338</v>
      </c>
      <c r="E204" s="199">
        <v>12</v>
      </c>
      <c r="F204" s="234">
        <v>4</v>
      </c>
      <c r="G204" s="208">
        <v>60589.5</v>
      </c>
      <c r="H204" s="461">
        <f t="shared" si="87"/>
        <v>242358</v>
      </c>
      <c r="I204" s="194">
        <v>4</v>
      </c>
      <c r="J204" s="194">
        <f>+(54425+180278)/4</f>
        <v>58675.75</v>
      </c>
      <c r="K204" s="464">
        <f t="shared" si="88"/>
        <v>234703</v>
      </c>
      <c r="L204" s="467">
        <v>14</v>
      </c>
      <c r="M204" s="203">
        <v>48078.928571428572</v>
      </c>
      <c r="N204" s="462">
        <f t="shared" si="89"/>
        <v>673105</v>
      </c>
      <c r="O204" s="192">
        <v>15</v>
      </c>
      <c r="P204" s="192">
        <f>+(546184+186284)/15</f>
        <v>48831.199999999997</v>
      </c>
      <c r="Q204" s="464">
        <f t="shared" si="90"/>
        <v>732468</v>
      </c>
      <c r="R204" s="467">
        <v>9</v>
      </c>
      <c r="S204" s="203">
        <v>41388.444444444445</v>
      </c>
      <c r="T204" s="462">
        <f t="shared" si="91"/>
        <v>372496</v>
      </c>
      <c r="U204" s="191">
        <v>11</v>
      </c>
      <c r="V204" s="191">
        <f>458614/11</f>
        <v>41692.181818181816</v>
      </c>
      <c r="W204" s="464">
        <f t="shared" si="92"/>
        <v>458614</v>
      </c>
      <c r="X204" s="467">
        <v>17</v>
      </c>
      <c r="Y204" s="203">
        <v>35310.705882352944</v>
      </c>
      <c r="Z204" s="462">
        <f t="shared" si="93"/>
        <v>600282</v>
      </c>
      <c r="AA204" s="192">
        <v>22</v>
      </c>
      <c r="AB204" s="192">
        <f>+(406623+387625)/22</f>
        <v>36102.181818181816</v>
      </c>
      <c r="AC204" s="464">
        <f t="shared" si="94"/>
        <v>794248</v>
      </c>
      <c r="AD204" s="467"/>
      <c r="AE204" s="203"/>
      <c r="AF204" s="462">
        <f t="shared" si="95"/>
        <v>0</v>
      </c>
      <c r="AG204" s="192"/>
      <c r="AH204" s="192"/>
      <c r="AI204" s="464">
        <f t="shared" si="96"/>
        <v>0</v>
      </c>
      <c r="AJ204" s="467"/>
      <c r="AK204" s="203"/>
      <c r="AL204" s="462">
        <f t="shared" si="97"/>
        <v>0</v>
      </c>
      <c r="AM204" s="192"/>
      <c r="AN204" s="192"/>
      <c r="AO204" s="206">
        <f t="shared" si="98"/>
        <v>0</v>
      </c>
      <c r="AP204" s="203">
        <v>3</v>
      </c>
      <c r="AQ204" s="203">
        <v>64285.666666666664</v>
      </c>
      <c r="AR204" s="462">
        <f t="shared" si="99"/>
        <v>157795.5974</v>
      </c>
      <c r="AS204" s="192">
        <v>3</v>
      </c>
      <c r="AT204" s="192">
        <f>198642/3</f>
        <v>66214</v>
      </c>
      <c r="AU204" s="464">
        <f t="shared" si="100"/>
        <v>162528.88440000001</v>
      </c>
      <c r="AV204" s="467">
        <v>7</v>
      </c>
      <c r="AW204" s="203">
        <v>54324</v>
      </c>
      <c r="AX204" s="462">
        <f t="shared" si="101"/>
        <v>311135.27760000003</v>
      </c>
      <c r="AY204" s="192">
        <v>7</v>
      </c>
      <c r="AZ204" s="192">
        <f>+(224818+166859)/7</f>
        <v>55953.857142857145</v>
      </c>
      <c r="BA204" s="464">
        <f t="shared" si="102"/>
        <v>320470.1214</v>
      </c>
      <c r="BB204" s="467">
        <v>2</v>
      </c>
      <c r="BC204" s="203">
        <v>46356</v>
      </c>
      <c r="BD204" s="462">
        <f t="shared" si="103"/>
        <v>75856.958400000003</v>
      </c>
      <c r="BE204" s="192">
        <v>5</v>
      </c>
      <c r="BF204" s="192">
        <f>+(52478+189394)/5</f>
        <v>48374.400000000001</v>
      </c>
      <c r="BG204" s="464">
        <f t="shared" si="104"/>
        <v>197899.6704</v>
      </c>
      <c r="BH204" s="467">
        <v>14</v>
      </c>
      <c r="BI204" s="203">
        <v>43733.357142857145</v>
      </c>
      <c r="BJ204" s="462">
        <f t="shared" si="105"/>
        <v>500956.85940000002</v>
      </c>
      <c r="BK204" s="192">
        <v>11</v>
      </c>
      <c r="BL204" s="192">
        <f>+(84914+401293)/11</f>
        <v>44200.63636363636</v>
      </c>
      <c r="BM204" s="464">
        <f t="shared" si="106"/>
        <v>397814.5674</v>
      </c>
      <c r="BN204" s="467"/>
      <c r="BO204" s="203"/>
      <c r="BP204" s="462">
        <f t="shared" si="107"/>
        <v>0</v>
      </c>
      <c r="BQ204" s="192"/>
      <c r="BR204" s="192"/>
      <c r="BS204" s="464">
        <f t="shared" si="108"/>
        <v>0</v>
      </c>
      <c r="BT204" s="467"/>
      <c r="BU204" s="203"/>
      <c r="BV204" s="462">
        <f t="shared" si="109"/>
        <v>0</v>
      </c>
      <c r="BW204" s="192"/>
      <c r="BX204" s="192"/>
      <c r="BY204" s="463">
        <f t="shared" si="110"/>
        <v>0</v>
      </c>
    </row>
    <row r="205" spans="1:77" x14ac:dyDescent="0.2">
      <c r="A205" s="197" t="s">
        <v>115</v>
      </c>
      <c r="B205" s="198" t="s">
        <v>474</v>
      </c>
      <c r="C205" s="235"/>
      <c r="D205" s="197">
        <v>157438</v>
      </c>
      <c r="E205" s="200">
        <v>12</v>
      </c>
      <c r="F205" s="234">
        <v>3</v>
      </c>
      <c r="G205" s="208">
        <v>71875.666666666672</v>
      </c>
      <c r="H205" s="461">
        <f t="shared" si="87"/>
        <v>215627</v>
      </c>
      <c r="I205" s="194">
        <v>5</v>
      </c>
      <c r="J205" s="194">
        <f>+(123661+209512)/5</f>
        <v>66634.600000000006</v>
      </c>
      <c r="K205" s="464">
        <f t="shared" si="88"/>
        <v>333173</v>
      </c>
      <c r="L205" s="467">
        <v>16</v>
      </c>
      <c r="M205" s="203">
        <v>52627.5</v>
      </c>
      <c r="N205" s="462">
        <f t="shared" si="89"/>
        <v>842040</v>
      </c>
      <c r="O205" s="192">
        <v>16</v>
      </c>
      <c r="P205" s="192">
        <f>+(573271+244601)/16</f>
        <v>51117</v>
      </c>
      <c r="Q205" s="464">
        <f t="shared" si="90"/>
        <v>817872</v>
      </c>
      <c r="R205" s="467">
        <v>17</v>
      </c>
      <c r="S205" s="203">
        <v>46901.117647058825</v>
      </c>
      <c r="T205" s="462">
        <f t="shared" si="91"/>
        <v>797319</v>
      </c>
      <c r="U205" s="191">
        <v>17</v>
      </c>
      <c r="V205" s="191">
        <f>+(443750+376451)/17</f>
        <v>48247.117647058825</v>
      </c>
      <c r="W205" s="464">
        <f t="shared" si="92"/>
        <v>820201</v>
      </c>
      <c r="X205" s="467">
        <v>24</v>
      </c>
      <c r="Y205" s="203">
        <v>42298.25</v>
      </c>
      <c r="Z205" s="462">
        <f t="shared" si="93"/>
        <v>1015158</v>
      </c>
      <c r="AA205" s="192">
        <f>9+14</f>
        <v>23</v>
      </c>
      <c r="AB205" s="192">
        <f>+(389466+605460)/(9+14)</f>
        <v>43257.65217391304</v>
      </c>
      <c r="AC205" s="464">
        <f t="shared" si="94"/>
        <v>994925.99999999988</v>
      </c>
      <c r="AD205" s="467"/>
      <c r="AE205" s="203"/>
      <c r="AF205" s="462">
        <f t="shared" si="95"/>
        <v>0</v>
      </c>
      <c r="AG205" s="192"/>
      <c r="AH205" s="192"/>
      <c r="AI205" s="464">
        <f t="shared" si="96"/>
        <v>0</v>
      </c>
      <c r="AJ205" s="467"/>
      <c r="AK205" s="203"/>
      <c r="AL205" s="462">
        <f t="shared" si="97"/>
        <v>0</v>
      </c>
      <c r="AM205" s="192"/>
      <c r="AN205" s="192"/>
      <c r="AO205" s="206">
        <f t="shared" si="98"/>
        <v>0</v>
      </c>
      <c r="AP205" s="203"/>
      <c r="AQ205" s="203"/>
      <c r="AR205" s="462">
        <f t="shared" si="99"/>
        <v>0</v>
      </c>
      <c r="AS205" s="192"/>
      <c r="AT205" s="192"/>
      <c r="AU205" s="464">
        <f t="shared" si="100"/>
        <v>0</v>
      </c>
      <c r="AV205" s="467">
        <v>3</v>
      </c>
      <c r="AW205" s="203">
        <v>61173.333333333336</v>
      </c>
      <c r="AX205" s="462">
        <f t="shared" si="101"/>
        <v>150156.06400000001</v>
      </c>
      <c r="AY205" s="192">
        <v>4</v>
      </c>
      <c r="AZ205" s="192">
        <f>244301/4</f>
        <v>61075.25</v>
      </c>
      <c r="BA205" s="464">
        <f t="shared" si="102"/>
        <v>199887.07820000002</v>
      </c>
      <c r="BB205" s="467">
        <v>9</v>
      </c>
      <c r="BC205" s="203">
        <v>53147.222222222219</v>
      </c>
      <c r="BD205" s="462">
        <f t="shared" si="103"/>
        <v>391365.51500000001</v>
      </c>
      <c r="BE205" s="192">
        <v>7</v>
      </c>
      <c r="BF205" s="192">
        <f>+(113208+263012)/7</f>
        <v>53745.714285714283</v>
      </c>
      <c r="BG205" s="464">
        <f t="shared" si="104"/>
        <v>307823.20400000003</v>
      </c>
      <c r="BH205" s="467">
        <v>16</v>
      </c>
      <c r="BI205" s="203">
        <v>47240.25</v>
      </c>
      <c r="BJ205" s="462">
        <f t="shared" si="105"/>
        <v>618431.56079999998</v>
      </c>
      <c r="BK205" s="192">
        <v>16</v>
      </c>
      <c r="BL205" s="192">
        <f>+(330043+433870)/16</f>
        <v>47744.5625</v>
      </c>
      <c r="BM205" s="464">
        <f t="shared" si="106"/>
        <v>625033.61660000007</v>
      </c>
      <c r="BN205" s="467"/>
      <c r="BO205" s="203"/>
      <c r="BP205" s="462">
        <f t="shared" si="107"/>
        <v>0</v>
      </c>
      <c r="BQ205" s="192"/>
      <c r="BR205" s="192"/>
      <c r="BS205" s="464">
        <f t="shared" si="108"/>
        <v>0</v>
      </c>
      <c r="BT205" s="467"/>
      <c r="BU205" s="203"/>
      <c r="BV205" s="462">
        <f t="shared" si="109"/>
        <v>0</v>
      </c>
      <c r="BW205" s="192"/>
      <c r="BX205" s="192"/>
      <c r="BY205" s="463">
        <f t="shared" si="110"/>
        <v>0</v>
      </c>
    </row>
    <row r="206" spans="1:77" x14ac:dyDescent="0.2">
      <c r="A206" s="306" t="s">
        <v>76</v>
      </c>
      <c r="B206" s="307" t="s">
        <v>475</v>
      </c>
      <c r="C206" s="308"/>
      <c r="D206" s="306">
        <v>159391</v>
      </c>
      <c r="E206" s="309">
        <v>1</v>
      </c>
      <c r="F206" s="234">
        <v>368</v>
      </c>
      <c r="G206" s="208">
        <v>111520</v>
      </c>
      <c r="H206" s="461">
        <f t="shared" si="87"/>
        <v>41039360</v>
      </c>
      <c r="I206" s="310">
        <v>352</v>
      </c>
      <c r="J206" s="311">
        <v>110536</v>
      </c>
      <c r="K206" s="464">
        <f t="shared" si="88"/>
        <v>38908672</v>
      </c>
      <c r="L206" s="467">
        <v>271</v>
      </c>
      <c r="M206" s="203">
        <v>78635</v>
      </c>
      <c r="N206" s="462">
        <f t="shared" si="89"/>
        <v>21310085</v>
      </c>
      <c r="O206" s="312">
        <v>277</v>
      </c>
      <c r="P206" s="313">
        <v>79386</v>
      </c>
      <c r="Q206" s="464">
        <f t="shared" si="90"/>
        <v>21989922</v>
      </c>
      <c r="R206" s="467">
        <v>251</v>
      </c>
      <c r="S206" s="203">
        <v>67922</v>
      </c>
      <c r="T206" s="462">
        <f t="shared" si="91"/>
        <v>17048422</v>
      </c>
      <c r="U206" s="191">
        <v>220</v>
      </c>
      <c r="V206" s="191">
        <v>67237</v>
      </c>
      <c r="W206" s="464">
        <f t="shared" si="92"/>
        <v>14792140</v>
      </c>
      <c r="X206" s="467">
        <v>196</v>
      </c>
      <c r="Y206" s="203">
        <v>43530</v>
      </c>
      <c r="Z206" s="462">
        <f t="shared" si="93"/>
        <v>8531880</v>
      </c>
      <c r="AA206" s="314">
        <v>175</v>
      </c>
      <c r="AB206" s="315">
        <v>43611</v>
      </c>
      <c r="AC206" s="464">
        <f t="shared" si="94"/>
        <v>7631925</v>
      </c>
      <c r="AD206" s="467">
        <v>17</v>
      </c>
      <c r="AE206" s="203">
        <v>64359</v>
      </c>
      <c r="AF206" s="462">
        <f t="shared" si="95"/>
        <v>1094103</v>
      </c>
      <c r="AG206" s="316">
        <v>15</v>
      </c>
      <c r="AH206" s="317">
        <v>60373</v>
      </c>
      <c r="AI206" s="464">
        <f t="shared" si="96"/>
        <v>905595</v>
      </c>
      <c r="AJ206" s="467"/>
      <c r="AK206" s="203"/>
      <c r="AL206" s="462">
        <f t="shared" si="97"/>
        <v>0</v>
      </c>
      <c r="AM206" s="192">
        <v>0</v>
      </c>
      <c r="AN206" s="192">
        <v>0</v>
      </c>
      <c r="AO206" s="206">
        <f t="shared" si="98"/>
        <v>0</v>
      </c>
      <c r="AP206" s="203">
        <v>61</v>
      </c>
      <c r="AQ206" s="203">
        <v>126427</v>
      </c>
      <c r="AR206" s="462">
        <f t="shared" si="99"/>
        <v>6309996.8554000007</v>
      </c>
      <c r="AS206" s="192">
        <v>56</v>
      </c>
      <c r="AT206" s="192">
        <v>126280</v>
      </c>
      <c r="AU206" s="464">
        <f t="shared" si="100"/>
        <v>5786048.5760000004</v>
      </c>
      <c r="AV206" s="467">
        <v>26</v>
      </c>
      <c r="AW206" s="203">
        <v>88533</v>
      </c>
      <c r="AX206" s="462">
        <f t="shared" si="101"/>
        <v>1883380.2156</v>
      </c>
      <c r="AY206" s="316">
        <v>21</v>
      </c>
      <c r="AZ206" s="317">
        <v>87847</v>
      </c>
      <c r="BA206" s="464">
        <f t="shared" si="102"/>
        <v>1509404.7234</v>
      </c>
      <c r="BB206" s="467">
        <v>27</v>
      </c>
      <c r="BC206" s="203">
        <v>99548</v>
      </c>
      <c r="BD206" s="462">
        <f t="shared" si="103"/>
        <v>2199154.6872</v>
      </c>
      <c r="BE206" s="316">
        <v>32</v>
      </c>
      <c r="BF206" s="317">
        <v>101083</v>
      </c>
      <c r="BG206" s="464">
        <f t="shared" si="104"/>
        <v>2646595.5392</v>
      </c>
      <c r="BH206" s="467">
        <v>17</v>
      </c>
      <c r="BI206" s="203">
        <v>59056</v>
      </c>
      <c r="BJ206" s="462">
        <f t="shared" si="105"/>
        <v>821433.52640000009</v>
      </c>
      <c r="BK206" s="316">
        <v>14</v>
      </c>
      <c r="BL206" s="317">
        <v>61349</v>
      </c>
      <c r="BM206" s="464">
        <f t="shared" si="106"/>
        <v>702740.52520000003</v>
      </c>
      <c r="BN206" s="467">
        <v>4</v>
      </c>
      <c r="BO206" s="203">
        <v>77362</v>
      </c>
      <c r="BP206" s="462">
        <f t="shared" si="107"/>
        <v>253190.3536</v>
      </c>
      <c r="BQ206" s="316">
        <v>4</v>
      </c>
      <c r="BR206" s="317">
        <v>77362</v>
      </c>
      <c r="BS206" s="464">
        <f t="shared" si="108"/>
        <v>253190.3536</v>
      </c>
      <c r="BT206" s="467"/>
      <c r="BU206" s="203"/>
      <c r="BV206" s="462">
        <f t="shared" si="109"/>
        <v>0</v>
      </c>
      <c r="BW206" s="316">
        <v>0</v>
      </c>
      <c r="BX206" s="317">
        <v>0</v>
      </c>
      <c r="BY206" s="463">
        <f t="shared" si="110"/>
        <v>0</v>
      </c>
    </row>
    <row r="207" spans="1:77" x14ac:dyDescent="0.2">
      <c r="A207" s="306" t="s">
        <v>76</v>
      </c>
      <c r="B207" s="307" t="s">
        <v>476</v>
      </c>
      <c r="C207" s="308"/>
      <c r="D207" s="306">
        <v>159647</v>
      </c>
      <c r="E207" s="309">
        <v>2</v>
      </c>
      <c r="F207" s="318">
        <v>45</v>
      </c>
      <c r="G207" s="319">
        <v>79917</v>
      </c>
      <c r="H207" s="461">
        <f t="shared" si="87"/>
        <v>3596265</v>
      </c>
      <c r="I207" s="310">
        <v>45</v>
      </c>
      <c r="J207" s="311">
        <v>78637</v>
      </c>
      <c r="K207" s="464">
        <f t="shared" si="88"/>
        <v>3538665</v>
      </c>
      <c r="L207" s="467">
        <v>89</v>
      </c>
      <c r="M207" s="203">
        <v>68193</v>
      </c>
      <c r="N207" s="462">
        <f t="shared" si="89"/>
        <v>6069177</v>
      </c>
      <c r="O207" s="312">
        <v>85</v>
      </c>
      <c r="P207" s="313">
        <v>68426</v>
      </c>
      <c r="Q207" s="464">
        <f t="shared" si="90"/>
        <v>5816210</v>
      </c>
      <c r="R207" s="467">
        <v>120</v>
      </c>
      <c r="S207" s="203">
        <v>60258</v>
      </c>
      <c r="T207" s="462">
        <f t="shared" si="91"/>
        <v>7230960</v>
      </c>
      <c r="U207" s="191">
        <v>118</v>
      </c>
      <c r="V207" s="191">
        <v>59226</v>
      </c>
      <c r="W207" s="464">
        <f t="shared" si="92"/>
        <v>6988668</v>
      </c>
      <c r="X207" s="467">
        <v>44</v>
      </c>
      <c r="Y207" s="203">
        <v>39334</v>
      </c>
      <c r="Z207" s="462">
        <f t="shared" si="93"/>
        <v>1730696</v>
      </c>
      <c r="AA207" s="314">
        <v>45</v>
      </c>
      <c r="AB207" s="315">
        <v>38882</v>
      </c>
      <c r="AC207" s="464">
        <f t="shared" si="94"/>
        <v>1749690</v>
      </c>
      <c r="AD207" s="467">
        <v>16</v>
      </c>
      <c r="AE207" s="203">
        <v>62343</v>
      </c>
      <c r="AF207" s="462">
        <f t="shared" si="95"/>
        <v>997488</v>
      </c>
      <c r="AG207" s="316">
        <v>16</v>
      </c>
      <c r="AH207" s="317">
        <v>62277</v>
      </c>
      <c r="AI207" s="464">
        <f t="shared" si="96"/>
        <v>996432</v>
      </c>
      <c r="AJ207" s="467"/>
      <c r="AK207" s="203"/>
      <c r="AL207" s="462">
        <f t="shared" si="97"/>
        <v>0</v>
      </c>
      <c r="AM207" s="192">
        <v>0</v>
      </c>
      <c r="AN207" s="192">
        <v>0</v>
      </c>
      <c r="AO207" s="206">
        <f t="shared" si="98"/>
        <v>0</v>
      </c>
      <c r="AP207" s="203">
        <v>29</v>
      </c>
      <c r="AQ207" s="203">
        <v>113356</v>
      </c>
      <c r="AR207" s="462">
        <f t="shared" si="99"/>
        <v>2689688.4968000003</v>
      </c>
      <c r="AS207" s="320">
        <v>30</v>
      </c>
      <c r="AT207" s="321">
        <v>110524</v>
      </c>
      <c r="AU207" s="464">
        <f t="shared" si="100"/>
        <v>2712922.1040000003</v>
      </c>
      <c r="AV207" s="467">
        <v>15</v>
      </c>
      <c r="AW207" s="203">
        <v>90277</v>
      </c>
      <c r="AX207" s="462">
        <f t="shared" si="101"/>
        <v>1107969.621</v>
      </c>
      <c r="AY207" s="316">
        <v>11</v>
      </c>
      <c r="AZ207" s="317">
        <v>92596</v>
      </c>
      <c r="BA207" s="464">
        <f t="shared" si="102"/>
        <v>833382.5192000001</v>
      </c>
      <c r="BB207" s="467">
        <v>8</v>
      </c>
      <c r="BC207" s="203">
        <v>77589</v>
      </c>
      <c r="BD207" s="462">
        <f t="shared" si="103"/>
        <v>507866.55840000004</v>
      </c>
      <c r="BE207" s="316">
        <v>8</v>
      </c>
      <c r="BF207" s="317">
        <v>83142</v>
      </c>
      <c r="BG207" s="464">
        <f t="shared" si="104"/>
        <v>544214.27520000003</v>
      </c>
      <c r="BH207" s="467">
        <v>7</v>
      </c>
      <c r="BI207" s="203">
        <v>48640</v>
      </c>
      <c r="BJ207" s="462">
        <f t="shared" si="105"/>
        <v>278580.73600000003</v>
      </c>
      <c r="BK207" s="316">
        <v>8</v>
      </c>
      <c r="BL207" s="317">
        <v>46310</v>
      </c>
      <c r="BM207" s="464">
        <f t="shared" si="106"/>
        <v>303126.73600000003</v>
      </c>
      <c r="BN207" s="467">
        <v>0</v>
      </c>
      <c r="BO207" s="203">
        <v>0</v>
      </c>
      <c r="BP207" s="462">
        <f t="shared" si="107"/>
        <v>0</v>
      </c>
      <c r="BQ207" s="316">
        <v>0</v>
      </c>
      <c r="BR207" s="317">
        <v>0</v>
      </c>
      <c r="BS207" s="464">
        <f t="shared" si="108"/>
        <v>0</v>
      </c>
      <c r="BT207" s="467"/>
      <c r="BU207" s="203"/>
      <c r="BV207" s="462">
        <f t="shared" si="109"/>
        <v>0</v>
      </c>
      <c r="BW207" s="316">
        <v>0</v>
      </c>
      <c r="BX207" s="317">
        <v>0</v>
      </c>
      <c r="BY207" s="463">
        <f t="shared" si="110"/>
        <v>0</v>
      </c>
    </row>
    <row r="208" spans="1:77" x14ac:dyDescent="0.2">
      <c r="A208" s="306" t="s">
        <v>76</v>
      </c>
      <c r="B208" s="307" t="s">
        <v>477</v>
      </c>
      <c r="C208" s="308"/>
      <c r="D208" s="306">
        <v>160658</v>
      </c>
      <c r="E208" s="309">
        <v>2</v>
      </c>
      <c r="F208" s="318">
        <v>141</v>
      </c>
      <c r="G208" s="319">
        <v>103265</v>
      </c>
      <c r="H208" s="461">
        <f t="shared" si="87"/>
        <v>14560365</v>
      </c>
      <c r="I208" s="310">
        <v>141</v>
      </c>
      <c r="J208" s="311">
        <v>101582</v>
      </c>
      <c r="K208" s="464">
        <f t="shared" si="88"/>
        <v>14323062</v>
      </c>
      <c r="L208" s="467">
        <v>140</v>
      </c>
      <c r="M208" s="203">
        <v>74535</v>
      </c>
      <c r="N208" s="462">
        <f t="shared" si="89"/>
        <v>10434900</v>
      </c>
      <c r="O208" s="312">
        <v>131</v>
      </c>
      <c r="P208" s="313">
        <v>74412</v>
      </c>
      <c r="Q208" s="464">
        <f t="shared" si="90"/>
        <v>9747972</v>
      </c>
      <c r="R208" s="467">
        <v>156</v>
      </c>
      <c r="S208" s="203">
        <v>59922</v>
      </c>
      <c r="T208" s="462">
        <f t="shared" si="91"/>
        <v>9347832</v>
      </c>
      <c r="U208" s="191">
        <v>147</v>
      </c>
      <c r="V208" s="191">
        <v>59718</v>
      </c>
      <c r="W208" s="464">
        <f t="shared" si="92"/>
        <v>8778546</v>
      </c>
      <c r="X208" s="467">
        <v>152</v>
      </c>
      <c r="Y208" s="203">
        <v>44193</v>
      </c>
      <c r="Z208" s="462">
        <f t="shared" si="93"/>
        <v>6717336</v>
      </c>
      <c r="AA208" s="314">
        <v>158</v>
      </c>
      <c r="AB208" s="315">
        <v>44727</v>
      </c>
      <c r="AC208" s="464">
        <f t="shared" si="94"/>
        <v>7066866</v>
      </c>
      <c r="AD208" s="467">
        <v>0</v>
      </c>
      <c r="AE208" s="203">
        <v>0</v>
      </c>
      <c r="AF208" s="462">
        <f t="shared" si="95"/>
        <v>0</v>
      </c>
      <c r="AG208" s="316">
        <v>0</v>
      </c>
      <c r="AH208" s="317">
        <v>0</v>
      </c>
      <c r="AI208" s="464">
        <f t="shared" si="96"/>
        <v>0</v>
      </c>
      <c r="AJ208" s="467"/>
      <c r="AK208" s="203"/>
      <c r="AL208" s="462">
        <f t="shared" si="97"/>
        <v>0</v>
      </c>
      <c r="AM208" s="192">
        <v>0</v>
      </c>
      <c r="AN208" s="192">
        <v>0</v>
      </c>
      <c r="AO208" s="206">
        <f t="shared" si="98"/>
        <v>0</v>
      </c>
      <c r="AP208" s="203">
        <v>1</v>
      </c>
      <c r="AQ208" s="203">
        <v>95000</v>
      </c>
      <c r="AR208" s="462">
        <f t="shared" si="99"/>
        <v>77729</v>
      </c>
      <c r="AS208" s="320">
        <v>1</v>
      </c>
      <c r="AT208" s="321">
        <v>95000</v>
      </c>
      <c r="AU208" s="464">
        <f t="shared" si="100"/>
        <v>77729</v>
      </c>
      <c r="AV208" s="467">
        <v>1</v>
      </c>
      <c r="AW208" s="203">
        <v>106619</v>
      </c>
      <c r="AX208" s="462">
        <f t="shared" si="101"/>
        <v>87235.665800000002</v>
      </c>
      <c r="AY208" s="316">
        <v>1</v>
      </c>
      <c r="AZ208" s="317">
        <v>106619</v>
      </c>
      <c r="BA208" s="464">
        <f t="shared" si="102"/>
        <v>87235.665800000002</v>
      </c>
      <c r="BB208" s="467">
        <v>2</v>
      </c>
      <c r="BC208" s="203">
        <v>55250</v>
      </c>
      <c r="BD208" s="462">
        <f t="shared" si="103"/>
        <v>90411.1</v>
      </c>
      <c r="BE208" s="316">
        <v>1</v>
      </c>
      <c r="BF208" s="317">
        <v>50000</v>
      </c>
      <c r="BG208" s="464">
        <f t="shared" si="104"/>
        <v>40910</v>
      </c>
      <c r="BH208" s="467">
        <v>3</v>
      </c>
      <c r="BI208" s="203">
        <v>59255</v>
      </c>
      <c r="BJ208" s="462">
        <f t="shared" si="105"/>
        <v>145447.323</v>
      </c>
      <c r="BK208" s="316">
        <v>4</v>
      </c>
      <c r="BL208" s="317">
        <v>55108</v>
      </c>
      <c r="BM208" s="464">
        <f t="shared" si="106"/>
        <v>180357.46240000002</v>
      </c>
      <c r="BN208" s="467">
        <v>0</v>
      </c>
      <c r="BO208" s="203">
        <v>0</v>
      </c>
      <c r="BP208" s="462">
        <f t="shared" si="107"/>
        <v>0</v>
      </c>
      <c r="BQ208" s="316">
        <v>0</v>
      </c>
      <c r="BR208" s="317">
        <v>0</v>
      </c>
      <c r="BS208" s="464">
        <f t="shared" si="108"/>
        <v>0</v>
      </c>
      <c r="BT208" s="467"/>
      <c r="BU208" s="203"/>
      <c r="BV208" s="462">
        <f t="shared" si="109"/>
        <v>0</v>
      </c>
      <c r="BW208" s="316">
        <v>0</v>
      </c>
      <c r="BX208" s="317">
        <v>0</v>
      </c>
      <c r="BY208" s="463">
        <f t="shared" si="110"/>
        <v>0</v>
      </c>
    </row>
    <row r="209" spans="1:77" x14ac:dyDescent="0.2">
      <c r="A209" s="306" t="s">
        <v>76</v>
      </c>
      <c r="B209" s="307" t="s">
        <v>478</v>
      </c>
      <c r="C209" s="308"/>
      <c r="D209" s="306">
        <v>159939</v>
      </c>
      <c r="E209" s="309">
        <v>2</v>
      </c>
      <c r="F209" s="318">
        <v>131</v>
      </c>
      <c r="G209" s="319">
        <v>87771</v>
      </c>
      <c r="H209" s="461">
        <f t="shared" si="87"/>
        <v>11498001</v>
      </c>
      <c r="I209" s="310">
        <v>121</v>
      </c>
      <c r="J209" s="311">
        <v>88316</v>
      </c>
      <c r="K209" s="464">
        <f t="shared" si="88"/>
        <v>10686236</v>
      </c>
      <c r="L209" s="467">
        <v>89</v>
      </c>
      <c r="M209" s="203">
        <v>66696</v>
      </c>
      <c r="N209" s="462">
        <f t="shared" si="89"/>
        <v>5935944</v>
      </c>
      <c r="O209" s="312">
        <v>90</v>
      </c>
      <c r="P209" s="313">
        <v>64572</v>
      </c>
      <c r="Q209" s="464">
        <f t="shared" si="90"/>
        <v>5811480</v>
      </c>
      <c r="R209" s="467">
        <v>79</v>
      </c>
      <c r="S209" s="203">
        <v>61064</v>
      </c>
      <c r="T209" s="462">
        <f t="shared" si="91"/>
        <v>4824056</v>
      </c>
      <c r="U209" s="191">
        <v>70</v>
      </c>
      <c r="V209" s="191">
        <v>61358</v>
      </c>
      <c r="W209" s="464">
        <f t="shared" si="92"/>
        <v>4295060</v>
      </c>
      <c r="X209" s="467">
        <v>93</v>
      </c>
      <c r="Y209" s="203">
        <v>42212</v>
      </c>
      <c r="Z209" s="462">
        <f t="shared" si="93"/>
        <v>3925716</v>
      </c>
      <c r="AA209" s="314">
        <v>66</v>
      </c>
      <c r="AB209" s="315">
        <v>39041</v>
      </c>
      <c r="AC209" s="464">
        <f t="shared" si="94"/>
        <v>2576706</v>
      </c>
      <c r="AD209" s="467">
        <v>0</v>
      </c>
      <c r="AE209" s="203">
        <v>0</v>
      </c>
      <c r="AF209" s="462">
        <f t="shared" si="95"/>
        <v>0</v>
      </c>
      <c r="AG209" s="316">
        <v>0</v>
      </c>
      <c r="AH209" s="317">
        <v>0</v>
      </c>
      <c r="AI209" s="464">
        <f t="shared" si="96"/>
        <v>0</v>
      </c>
      <c r="AJ209" s="467"/>
      <c r="AK209" s="203"/>
      <c r="AL209" s="462">
        <f t="shared" si="97"/>
        <v>0</v>
      </c>
      <c r="AM209" s="192">
        <v>0</v>
      </c>
      <c r="AN209" s="192">
        <v>0</v>
      </c>
      <c r="AO209" s="206">
        <f t="shared" si="98"/>
        <v>0</v>
      </c>
      <c r="AP209" s="203">
        <v>9</v>
      </c>
      <c r="AQ209" s="203">
        <v>74280</v>
      </c>
      <c r="AR209" s="462">
        <f t="shared" si="99"/>
        <v>546983.06400000001</v>
      </c>
      <c r="AS209" s="320">
        <v>6</v>
      </c>
      <c r="AT209" s="321">
        <v>76345</v>
      </c>
      <c r="AU209" s="464">
        <f t="shared" si="100"/>
        <v>374792.87400000001</v>
      </c>
      <c r="AV209" s="467">
        <v>8</v>
      </c>
      <c r="AW209" s="203">
        <v>65107</v>
      </c>
      <c r="AX209" s="462">
        <f t="shared" si="101"/>
        <v>426164.37920000002</v>
      </c>
      <c r="AY209" s="316">
        <v>8</v>
      </c>
      <c r="AZ209" s="317">
        <v>61875</v>
      </c>
      <c r="BA209" s="464">
        <f t="shared" si="102"/>
        <v>405009</v>
      </c>
      <c r="BB209" s="467">
        <v>2</v>
      </c>
      <c r="BC209" s="203">
        <v>40000</v>
      </c>
      <c r="BD209" s="462">
        <f t="shared" si="103"/>
        <v>65456</v>
      </c>
      <c r="BE209" s="316">
        <v>1</v>
      </c>
      <c r="BF209" s="317">
        <v>40000</v>
      </c>
      <c r="BG209" s="464">
        <f t="shared" si="104"/>
        <v>32728</v>
      </c>
      <c r="BH209" s="467">
        <v>1</v>
      </c>
      <c r="BI209" s="203">
        <v>62350</v>
      </c>
      <c r="BJ209" s="462">
        <f t="shared" si="105"/>
        <v>51014.770000000004</v>
      </c>
      <c r="BK209" s="316">
        <v>1</v>
      </c>
      <c r="BL209" s="317">
        <v>62350</v>
      </c>
      <c r="BM209" s="464">
        <f t="shared" si="106"/>
        <v>51014.770000000004</v>
      </c>
      <c r="BN209" s="467">
        <v>0</v>
      </c>
      <c r="BO209" s="203">
        <v>0</v>
      </c>
      <c r="BP209" s="462">
        <f t="shared" si="107"/>
        <v>0</v>
      </c>
      <c r="BQ209" s="316">
        <v>0</v>
      </c>
      <c r="BR209" s="317">
        <v>0</v>
      </c>
      <c r="BS209" s="464">
        <f t="shared" si="108"/>
        <v>0</v>
      </c>
      <c r="BT209" s="467"/>
      <c r="BU209" s="203"/>
      <c r="BV209" s="462">
        <f t="shared" si="109"/>
        <v>0</v>
      </c>
      <c r="BW209" s="316">
        <v>0</v>
      </c>
      <c r="BX209" s="317">
        <v>0</v>
      </c>
      <c r="BY209" s="463">
        <f t="shared" si="110"/>
        <v>0</v>
      </c>
    </row>
    <row r="210" spans="1:77" x14ac:dyDescent="0.2">
      <c r="A210" s="306" t="s">
        <v>76</v>
      </c>
      <c r="B210" s="307" t="s">
        <v>479</v>
      </c>
      <c r="C210" s="308"/>
      <c r="D210" s="306">
        <v>160612</v>
      </c>
      <c r="E210" s="309">
        <v>3</v>
      </c>
      <c r="F210" s="631">
        <v>87</v>
      </c>
      <c r="G210" s="632">
        <v>76286</v>
      </c>
      <c r="H210" s="633">
        <f t="shared" si="87"/>
        <v>6636882</v>
      </c>
      <c r="I210" s="634">
        <v>91</v>
      </c>
      <c r="J210" s="634">
        <v>76798</v>
      </c>
      <c r="K210" s="635">
        <f t="shared" si="88"/>
        <v>6988618</v>
      </c>
      <c r="L210" s="636">
        <v>103</v>
      </c>
      <c r="M210" s="636">
        <v>66002</v>
      </c>
      <c r="N210" s="637">
        <f t="shared" si="89"/>
        <v>6798206</v>
      </c>
      <c r="O210" s="638">
        <v>101</v>
      </c>
      <c r="P210" s="638">
        <v>65332</v>
      </c>
      <c r="Q210" s="635">
        <f t="shared" si="90"/>
        <v>6598532</v>
      </c>
      <c r="R210" s="636">
        <v>89</v>
      </c>
      <c r="S210" s="636">
        <v>57388</v>
      </c>
      <c r="T210" s="637">
        <f t="shared" si="91"/>
        <v>5107532</v>
      </c>
      <c r="U210" s="639">
        <v>74</v>
      </c>
      <c r="V210" s="639">
        <v>57642</v>
      </c>
      <c r="W210" s="635">
        <f t="shared" si="92"/>
        <v>4265508</v>
      </c>
      <c r="X210" s="636">
        <v>178</v>
      </c>
      <c r="Y210" s="636">
        <v>44892</v>
      </c>
      <c r="Z210" s="637">
        <f t="shared" si="93"/>
        <v>7990776</v>
      </c>
      <c r="AA210" s="638">
        <v>215</v>
      </c>
      <c r="AB210" s="638">
        <v>44708</v>
      </c>
      <c r="AC210" s="635">
        <f t="shared" si="94"/>
        <v>9612220</v>
      </c>
      <c r="AD210" s="636">
        <v>0</v>
      </c>
      <c r="AE210" s="636">
        <v>0</v>
      </c>
      <c r="AF210" s="637">
        <f t="shared" si="95"/>
        <v>0</v>
      </c>
      <c r="AG210" s="638">
        <v>0</v>
      </c>
      <c r="AH210" s="638">
        <v>0</v>
      </c>
      <c r="AI210" s="635">
        <f t="shared" si="96"/>
        <v>0</v>
      </c>
      <c r="AJ210" s="636"/>
      <c r="AK210" s="636"/>
      <c r="AL210" s="637">
        <f t="shared" si="97"/>
        <v>0</v>
      </c>
      <c r="AM210" s="638">
        <v>0</v>
      </c>
      <c r="AN210" s="638">
        <v>0</v>
      </c>
      <c r="AO210" s="640">
        <f t="shared" si="98"/>
        <v>0</v>
      </c>
      <c r="AP210" s="636">
        <v>14</v>
      </c>
      <c r="AQ210" s="636">
        <v>110557</v>
      </c>
      <c r="AR210" s="637">
        <f t="shared" si="99"/>
        <v>1266408.3236</v>
      </c>
      <c r="AS210" s="638">
        <v>12</v>
      </c>
      <c r="AT210" s="638">
        <v>110007</v>
      </c>
      <c r="AU210" s="635">
        <f t="shared" si="100"/>
        <v>1080092.7288000002</v>
      </c>
      <c r="AV210" s="636">
        <v>5</v>
      </c>
      <c r="AW210" s="636">
        <v>109531</v>
      </c>
      <c r="AX210" s="637">
        <f t="shared" si="101"/>
        <v>448091.321</v>
      </c>
      <c r="AY210" s="638">
        <v>5</v>
      </c>
      <c r="AZ210" s="638">
        <v>108236</v>
      </c>
      <c r="BA210" s="635">
        <f t="shared" si="102"/>
        <v>442793.47600000002</v>
      </c>
      <c r="BB210" s="636">
        <v>0</v>
      </c>
      <c r="BC210" s="636">
        <v>0</v>
      </c>
      <c r="BD210" s="637">
        <f t="shared" si="103"/>
        <v>0</v>
      </c>
      <c r="BE210" s="638">
        <v>1</v>
      </c>
      <c r="BF210" s="638">
        <v>102999</v>
      </c>
      <c r="BG210" s="635">
        <f t="shared" si="104"/>
        <v>84273.781799999997</v>
      </c>
      <c r="BH210" s="636">
        <v>1</v>
      </c>
      <c r="BI210" s="636">
        <v>68024</v>
      </c>
      <c r="BJ210" s="637">
        <f t="shared" si="105"/>
        <v>55657.236800000006</v>
      </c>
      <c r="BK210" s="638">
        <v>1</v>
      </c>
      <c r="BL210" s="638">
        <v>68024</v>
      </c>
      <c r="BM210" s="635">
        <f t="shared" si="106"/>
        <v>55657.236800000006</v>
      </c>
      <c r="BN210" s="636">
        <v>0</v>
      </c>
      <c r="BO210" s="636">
        <v>0</v>
      </c>
      <c r="BP210" s="637">
        <f t="shared" si="107"/>
        <v>0</v>
      </c>
      <c r="BQ210" s="638">
        <v>0</v>
      </c>
      <c r="BR210" s="638">
        <v>0</v>
      </c>
      <c r="BS210" s="635">
        <f t="shared" si="108"/>
        <v>0</v>
      </c>
      <c r="BT210" s="636"/>
      <c r="BU210" s="636"/>
      <c r="BV210" s="637">
        <f t="shared" si="109"/>
        <v>0</v>
      </c>
      <c r="BW210" s="638">
        <v>0</v>
      </c>
      <c r="BX210" s="638">
        <v>0</v>
      </c>
      <c r="BY210" s="641">
        <f t="shared" si="110"/>
        <v>0</v>
      </c>
    </row>
    <row r="211" spans="1:77" x14ac:dyDescent="0.2">
      <c r="A211" s="306" t="s">
        <v>76</v>
      </c>
      <c r="B211" s="307" t="s">
        <v>480</v>
      </c>
      <c r="C211" s="308"/>
      <c r="D211" s="306">
        <v>160621</v>
      </c>
      <c r="E211" s="309">
        <v>3</v>
      </c>
      <c r="F211" s="631">
        <v>126</v>
      </c>
      <c r="G211" s="632">
        <v>77037</v>
      </c>
      <c r="H211" s="633">
        <f t="shared" si="87"/>
        <v>9706662</v>
      </c>
      <c r="I211" s="634">
        <v>127</v>
      </c>
      <c r="J211" s="642">
        <v>79797</v>
      </c>
      <c r="K211" s="635">
        <f t="shared" si="88"/>
        <v>10134219</v>
      </c>
      <c r="L211" s="636">
        <v>84</v>
      </c>
      <c r="M211" s="636">
        <v>62788</v>
      </c>
      <c r="N211" s="637">
        <f t="shared" si="89"/>
        <v>5274192</v>
      </c>
      <c r="O211" s="638">
        <v>79</v>
      </c>
      <c r="P211" s="642">
        <v>64307</v>
      </c>
      <c r="Q211" s="635">
        <f t="shared" si="90"/>
        <v>5080253</v>
      </c>
      <c r="R211" s="636">
        <v>107</v>
      </c>
      <c r="S211" s="636">
        <v>52606</v>
      </c>
      <c r="T211" s="637">
        <f t="shared" si="91"/>
        <v>5628842</v>
      </c>
      <c r="U211" s="639">
        <v>98</v>
      </c>
      <c r="V211" s="642">
        <v>53218</v>
      </c>
      <c r="W211" s="635">
        <f t="shared" si="92"/>
        <v>5215364</v>
      </c>
      <c r="X211" s="636">
        <v>60</v>
      </c>
      <c r="Y211" s="636">
        <v>37674</v>
      </c>
      <c r="Z211" s="637">
        <f t="shared" si="93"/>
        <v>2260440</v>
      </c>
      <c r="AA211" s="638">
        <v>48</v>
      </c>
      <c r="AB211" s="638">
        <v>51671</v>
      </c>
      <c r="AC211" s="635">
        <f t="shared" si="94"/>
        <v>2480208</v>
      </c>
      <c r="AD211" s="636">
        <v>6</v>
      </c>
      <c r="AE211" s="636">
        <v>75824</v>
      </c>
      <c r="AF211" s="637">
        <f t="shared" si="95"/>
        <v>454944</v>
      </c>
      <c r="AG211" s="638">
        <v>3</v>
      </c>
      <c r="AH211" s="638">
        <v>48996</v>
      </c>
      <c r="AI211" s="635">
        <f t="shared" si="96"/>
        <v>146988</v>
      </c>
      <c r="AJ211" s="636"/>
      <c r="AK211" s="636"/>
      <c r="AL211" s="637">
        <f t="shared" si="97"/>
        <v>0</v>
      </c>
      <c r="AM211" s="638">
        <v>0</v>
      </c>
      <c r="AN211" s="638">
        <v>0</v>
      </c>
      <c r="AO211" s="640">
        <f t="shared" si="98"/>
        <v>0</v>
      </c>
      <c r="AP211" s="636">
        <v>10</v>
      </c>
      <c r="AQ211" s="636">
        <v>78178</v>
      </c>
      <c r="AR211" s="637">
        <f t="shared" si="99"/>
        <v>639652.39600000007</v>
      </c>
      <c r="AS211" s="638">
        <v>6</v>
      </c>
      <c r="AT211" s="638">
        <v>67133</v>
      </c>
      <c r="AU211" s="635">
        <f t="shared" si="100"/>
        <v>329569.3236</v>
      </c>
      <c r="AV211" s="636">
        <v>1</v>
      </c>
      <c r="AW211" s="636">
        <v>70907</v>
      </c>
      <c r="AX211" s="637">
        <f t="shared" si="101"/>
        <v>58016.107400000001</v>
      </c>
      <c r="AY211" s="638">
        <v>3</v>
      </c>
      <c r="AZ211" s="638">
        <v>54302</v>
      </c>
      <c r="BA211" s="635">
        <f t="shared" si="102"/>
        <v>133289.68919999999</v>
      </c>
      <c r="BB211" s="636">
        <v>8</v>
      </c>
      <c r="BC211" s="636">
        <v>62018</v>
      </c>
      <c r="BD211" s="637">
        <f t="shared" si="103"/>
        <v>405945.0208</v>
      </c>
      <c r="BE211" s="638">
        <v>3</v>
      </c>
      <c r="BF211" s="638">
        <v>66859</v>
      </c>
      <c r="BG211" s="635">
        <f t="shared" si="104"/>
        <v>164112.10140000001</v>
      </c>
      <c r="BH211" s="636">
        <v>14</v>
      </c>
      <c r="BI211" s="636">
        <v>46309</v>
      </c>
      <c r="BJ211" s="637">
        <f t="shared" si="105"/>
        <v>530460.33319999999</v>
      </c>
      <c r="BK211" s="638">
        <v>4</v>
      </c>
      <c r="BL211" s="638">
        <v>56015</v>
      </c>
      <c r="BM211" s="635">
        <f t="shared" si="106"/>
        <v>183325.89200000002</v>
      </c>
      <c r="BN211" s="636">
        <v>0</v>
      </c>
      <c r="BO211" s="636">
        <v>0</v>
      </c>
      <c r="BP211" s="637">
        <f t="shared" si="107"/>
        <v>0</v>
      </c>
      <c r="BQ211" s="638">
        <v>1</v>
      </c>
      <c r="BR211" s="638">
        <v>47000</v>
      </c>
      <c r="BS211" s="635">
        <f t="shared" si="108"/>
        <v>38455.4</v>
      </c>
      <c r="BT211" s="636"/>
      <c r="BU211" s="636"/>
      <c r="BV211" s="637">
        <f t="shared" si="109"/>
        <v>0</v>
      </c>
      <c r="BW211" s="638">
        <v>0</v>
      </c>
      <c r="BX211" s="638">
        <v>0</v>
      </c>
      <c r="BY211" s="641">
        <f t="shared" si="110"/>
        <v>0</v>
      </c>
    </row>
    <row r="212" spans="1:77" x14ac:dyDescent="0.2">
      <c r="A212" s="306" t="s">
        <v>76</v>
      </c>
      <c r="B212" s="307" t="s">
        <v>481</v>
      </c>
      <c r="C212" s="308"/>
      <c r="D212" s="306">
        <v>159993</v>
      </c>
      <c r="E212" s="309">
        <v>3</v>
      </c>
      <c r="F212" s="631">
        <v>45</v>
      </c>
      <c r="G212" s="632">
        <v>77221</v>
      </c>
      <c r="H212" s="633">
        <f t="shared" si="87"/>
        <v>3474945</v>
      </c>
      <c r="I212" s="634">
        <v>50</v>
      </c>
      <c r="J212" s="634">
        <v>77871</v>
      </c>
      <c r="K212" s="635">
        <f t="shared" si="88"/>
        <v>3893550</v>
      </c>
      <c r="L212" s="636">
        <v>75</v>
      </c>
      <c r="M212" s="636">
        <v>63667</v>
      </c>
      <c r="N212" s="637">
        <f t="shared" si="89"/>
        <v>4775025</v>
      </c>
      <c r="O212" s="638">
        <v>91</v>
      </c>
      <c r="P212" s="638">
        <v>68161</v>
      </c>
      <c r="Q212" s="635">
        <f t="shared" si="90"/>
        <v>6202651</v>
      </c>
      <c r="R212" s="636">
        <v>101</v>
      </c>
      <c r="S212" s="636">
        <v>55044</v>
      </c>
      <c r="T212" s="637">
        <f t="shared" si="91"/>
        <v>5559444</v>
      </c>
      <c r="U212" s="639">
        <v>125</v>
      </c>
      <c r="V212" s="639">
        <v>61052</v>
      </c>
      <c r="W212" s="635">
        <f t="shared" si="92"/>
        <v>7631500</v>
      </c>
      <c r="X212" s="636">
        <v>52</v>
      </c>
      <c r="Y212" s="636">
        <v>40392</v>
      </c>
      <c r="Z212" s="637">
        <f t="shared" si="93"/>
        <v>2100384</v>
      </c>
      <c r="AA212" s="638">
        <v>56</v>
      </c>
      <c r="AB212" s="638">
        <v>40343</v>
      </c>
      <c r="AC212" s="635">
        <f t="shared" si="94"/>
        <v>2259208</v>
      </c>
      <c r="AD212" s="636">
        <v>4</v>
      </c>
      <c r="AE212" s="636">
        <v>50578</v>
      </c>
      <c r="AF212" s="637">
        <f t="shared" si="95"/>
        <v>202312</v>
      </c>
      <c r="AG212" s="638">
        <v>0</v>
      </c>
      <c r="AH212" s="638">
        <v>0</v>
      </c>
      <c r="AI212" s="635">
        <f t="shared" si="96"/>
        <v>0</v>
      </c>
      <c r="AJ212" s="636"/>
      <c r="AK212" s="636"/>
      <c r="AL212" s="637">
        <f t="shared" si="97"/>
        <v>0</v>
      </c>
      <c r="AM212" s="638">
        <v>0</v>
      </c>
      <c r="AN212" s="638">
        <v>0</v>
      </c>
      <c r="AO212" s="640">
        <f t="shared" si="98"/>
        <v>0</v>
      </c>
      <c r="AP212" s="636">
        <v>13</v>
      </c>
      <c r="AQ212" s="636">
        <v>117166</v>
      </c>
      <c r="AR212" s="637">
        <f t="shared" si="99"/>
        <v>1246247.8756000001</v>
      </c>
      <c r="AS212" s="638">
        <v>6</v>
      </c>
      <c r="AT212" s="638">
        <v>117938</v>
      </c>
      <c r="AU212" s="635">
        <f t="shared" si="100"/>
        <v>578981.22960000008</v>
      </c>
      <c r="AV212" s="636">
        <v>18</v>
      </c>
      <c r="AW212" s="636">
        <v>99759</v>
      </c>
      <c r="AX212" s="637">
        <f t="shared" si="101"/>
        <v>1469210.6484000001</v>
      </c>
      <c r="AY212" s="638">
        <v>5</v>
      </c>
      <c r="AZ212" s="638">
        <v>109489</v>
      </c>
      <c r="BA212" s="635">
        <f t="shared" si="102"/>
        <v>447919.49900000001</v>
      </c>
      <c r="BB212" s="636">
        <v>32</v>
      </c>
      <c r="BC212" s="636">
        <v>91264</v>
      </c>
      <c r="BD212" s="637">
        <f t="shared" si="103"/>
        <v>2389510.5536000002</v>
      </c>
      <c r="BE212" s="638">
        <v>3</v>
      </c>
      <c r="BF212" s="638">
        <v>72324</v>
      </c>
      <c r="BG212" s="635">
        <f t="shared" si="104"/>
        <v>177526.49040000001</v>
      </c>
      <c r="BH212" s="636">
        <v>3</v>
      </c>
      <c r="BI212" s="636">
        <v>48695</v>
      </c>
      <c r="BJ212" s="637">
        <f t="shared" si="105"/>
        <v>119526.747</v>
      </c>
      <c r="BK212" s="638">
        <v>2</v>
      </c>
      <c r="BL212" s="638">
        <v>53700</v>
      </c>
      <c r="BM212" s="635">
        <f t="shared" si="106"/>
        <v>87874.680000000008</v>
      </c>
      <c r="BN212" s="636">
        <v>0</v>
      </c>
      <c r="BO212" s="636">
        <v>0</v>
      </c>
      <c r="BP212" s="637">
        <f t="shared" si="107"/>
        <v>0</v>
      </c>
      <c r="BQ212" s="638">
        <v>0</v>
      </c>
      <c r="BR212" s="638">
        <v>0</v>
      </c>
      <c r="BS212" s="635">
        <f t="shared" si="108"/>
        <v>0</v>
      </c>
      <c r="BT212" s="636"/>
      <c r="BU212" s="636"/>
      <c r="BV212" s="637">
        <f t="shared" si="109"/>
        <v>0</v>
      </c>
      <c r="BW212" s="638">
        <v>0</v>
      </c>
      <c r="BX212" s="638">
        <v>0</v>
      </c>
      <c r="BY212" s="641">
        <f t="shared" si="110"/>
        <v>0</v>
      </c>
    </row>
    <row r="213" spans="1:77" x14ac:dyDescent="0.2">
      <c r="A213" s="322" t="s">
        <v>76</v>
      </c>
      <c r="B213" s="307" t="s">
        <v>482</v>
      </c>
      <c r="C213" s="308"/>
      <c r="D213" s="306">
        <v>159009</v>
      </c>
      <c r="E213" s="309">
        <v>4</v>
      </c>
      <c r="F213" s="631">
        <v>44</v>
      </c>
      <c r="G213" s="632">
        <v>70721</v>
      </c>
      <c r="H213" s="633">
        <f t="shared" si="87"/>
        <v>3111724</v>
      </c>
      <c r="I213" s="634">
        <v>43</v>
      </c>
      <c r="J213" s="634">
        <v>70766</v>
      </c>
      <c r="K213" s="635">
        <f t="shared" si="88"/>
        <v>3042938</v>
      </c>
      <c r="L213" s="636">
        <v>35</v>
      </c>
      <c r="M213" s="636">
        <v>62677</v>
      </c>
      <c r="N213" s="637">
        <f t="shared" si="89"/>
        <v>2193695</v>
      </c>
      <c r="O213" s="638">
        <v>37</v>
      </c>
      <c r="P213" s="638">
        <v>60003</v>
      </c>
      <c r="Q213" s="635">
        <f t="shared" si="90"/>
        <v>2220111</v>
      </c>
      <c r="R213" s="636">
        <v>78</v>
      </c>
      <c r="S213" s="636">
        <v>53806</v>
      </c>
      <c r="T213" s="637">
        <f t="shared" si="91"/>
        <v>4196868</v>
      </c>
      <c r="U213" s="639">
        <v>72</v>
      </c>
      <c r="V213" s="639">
        <v>54173</v>
      </c>
      <c r="W213" s="635">
        <f t="shared" si="92"/>
        <v>3900456</v>
      </c>
      <c r="X213" s="636">
        <v>24</v>
      </c>
      <c r="Y213" s="636">
        <v>41059</v>
      </c>
      <c r="Z213" s="637">
        <f t="shared" si="93"/>
        <v>985416</v>
      </c>
      <c r="AA213" s="638">
        <v>17</v>
      </c>
      <c r="AB213" s="638">
        <v>41009</v>
      </c>
      <c r="AC213" s="635">
        <f t="shared" si="94"/>
        <v>697153</v>
      </c>
      <c r="AD213" s="636">
        <v>18</v>
      </c>
      <c r="AE213" s="636">
        <v>48108</v>
      </c>
      <c r="AF213" s="637">
        <f t="shared" si="95"/>
        <v>865944</v>
      </c>
      <c r="AG213" s="638">
        <v>22</v>
      </c>
      <c r="AH213" s="638">
        <v>41853</v>
      </c>
      <c r="AI213" s="635">
        <f t="shared" si="96"/>
        <v>920766</v>
      </c>
      <c r="AJ213" s="636"/>
      <c r="AK213" s="636"/>
      <c r="AL213" s="637">
        <f t="shared" si="97"/>
        <v>0</v>
      </c>
      <c r="AM213" s="638">
        <v>0</v>
      </c>
      <c r="AN213" s="638">
        <v>0</v>
      </c>
      <c r="AO213" s="640">
        <f t="shared" si="98"/>
        <v>0</v>
      </c>
      <c r="AP213" s="636">
        <v>7</v>
      </c>
      <c r="AQ213" s="636">
        <v>85843</v>
      </c>
      <c r="AR213" s="637">
        <f t="shared" si="99"/>
        <v>491657.19820000004</v>
      </c>
      <c r="AS213" s="638">
        <v>7</v>
      </c>
      <c r="AT213" s="638">
        <v>71440</v>
      </c>
      <c r="AU213" s="635">
        <f t="shared" si="100"/>
        <v>409165.45600000001</v>
      </c>
      <c r="AV213" s="636">
        <v>8</v>
      </c>
      <c r="AW213" s="636">
        <v>77716</v>
      </c>
      <c r="AX213" s="637">
        <f t="shared" si="101"/>
        <v>508697.84960000002</v>
      </c>
      <c r="AY213" s="638">
        <v>6</v>
      </c>
      <c r="AZ213" s="638">
        <v>64751</v>
      </c>
      <c r="BA213" s="635">
        <f t="shared" si="102"/>
        <v>317875.60920000001</v>
      </c>
      <c r="BB213" s="636">
        <v>17</v>
      </c>
      <c r="BC213" s="636">
        <v>68744</v>
      </c>
      <c r="BD213" s="637">
        <f t="shared" si="103"/>
        <v>956187.79360000009</v>
      </c>
      <c r="BE213" s="638">
        <v>17</v>
      </c>
      <c r="BF213" s="638">
        <v>66205</v>
      </c>
      <c r="BG213" s="635">
        <f t="shared" si="104"/>
        <v>920871.82700000005</v>
      </c>
      <c r="BH213" s="636">
        <v>6</v>
      </c>
      <c r="BI213" s="636">
        <v>44152</v>
      </c>
      <c r="BJ213" s="637">
        <f t="shared" si="105"/>
        <v>216750.99840000001</v>
      </c>
      <c r="BK213" s="638">
        <v>7</v>
      </c>
      <c r="BL213" s="638">
        <v>40507</v>
      </c>
      <c r="BM213" s="635">
        <f t="shared" si="106"/>
        <v>231999.79180000001</v>
      </c>
      <c r="BN213" s="636">
        <v>1</v>
      </c>
      <c r="BO213" s="636">
        <v>69644</v>
      </c>
      <c r="BP213" s="637">
        <f t="shared" si="107"/>
        <v>56982.720800000003</v>
      </c>
      <c r="BQ213" s="638">
        <v>1</v>
      </c>
      <c r="BR213" s="638">
        <v>69644</v>
      </c>
      <c r="BS213" s="635">
        <f t="shared" si="108"/>
        <v>56982.720800000003</v>
      </c>
      <c r="BT213" s="636"/>
      <c r="BU213" s="636"/>
      <c r="BV213" s="637">
        <f t="shared" si="109"/>
        <v>0</v>
      </c>
      <c r="BW213" s="638">
        <v>0</v>
      </c>
      <c r="BX213" s="638">
        <v>0</v>
      </c>
      <c r="BY213" s="641">
        <f t="shared" si="110"/>
        <v>0</v>
      </c>
    </row>
    <row r="214" spans="1:77" x14ac:dyDescent="0.2">
      <c r="A214" s="322" t="s">
        <v>76</v>
      </c>
      <c r="B214" s="307" t="s">
        <v>483</v>
      </c>
      <c r="C214" s="308"/>
      <c r="D214" s="306">
        <v>159416</v>
      </c>
      <c r="E214" s="309">
        <v>4</v>
      </c>
      <c r="F214" s="631">
        <v>28</v>
      </c>
      <c r="G214" s="632">
        <v>61552</v>
      </c>
      <c r="H214" s="633">
        <f t="shared" si="87"/>
        <v>1723456</v>
      </c>
      <c r="I214" s="634">
        <v>26</v>
      </c>
      <c r="J214" s="634">
        <v>61088</v>
      </c>
      <c r="K214" s="635">
        <f t="shared" si="88"/>
        <v>1588288</v>
      </c>
      <c r="L214" s="636">
        <v>35</v>
      </c>
      <c r="M214" s="636">
        <v>57446</v>
      </c>
      <c r="N214" s="637">
        <f t="shared" si="89"/>
        <v>2010610</v>
      </c>
      <c r="O214" s="638">
        <v>35</v>
      </c>
      <c r="P214" s="638">
        <v>58215</v>
      </c>
      <c r="Q214" s="635">
        <f t="shared" si="90"/>
        <v>2037525</v>
      </c>
      <c r="R214" s="636">
        <v>29</v>
      </c>
      <c r="S214" s="636">
        <v>51867</v>
      </c>
      <c r="T214" s="637">
        <f t="shared" si="91"/>
        <v>1504143</v>
      </c>
      <c r="U214" s="639">
        <v>21</v>
      </c>
      <c r="V214" s="639">
        <v>51672</v>
      </c>
      <c r="W214" s="635">
        <f t="shared" si="92"/>
        <v>1085112</v>
      </c>
      <c r="X214" s="636">
        <v>16</v>
      </c>
      <c r="Y214" s="636">
        <v>36202</v>
      </c>
      <c r="Z214" s="637">
        <f t="shared" si="93"/>
        <v>579232</v>
      </c>
      <c r="AA214" s="638">
        <v>17</v>
      </c>
      <c r="AB214" s="638">
        <v>35588</v>
      </c>
      <c r="AC214" s="635">
        <f t="shared" si="94"/>
        <v>604996</v>
      </c>
      <c r="AD214" s="636">
        <v>8</v>
      </c>
      <c r="AE214" s="636">
        <v>45338</v>
      </c>
      <c r="AF214" s="637">
        <f t="shared" si="95"/>
        <v>362704</v>
      </c>
      <c r="AG214" s="638">
        <v>1</v>
      </c>
      <c r="AH214" s="638">
        <v>19846</v>
      </c>
      <c r="AI214" s="635">
        <f t="shared" si="96"/>
        <v>19846</v>
      </c>
      <c r="AJ214" s="636"/>
      <c r="AK214" s="636"/>
      <c r="AL214" s="637">
        <f t="shared" si="97"/>
        <v>0</v>
      </c>
      <c r="AM214" s="638"/>
      <c r="AN214" s="638"/>
      <c r="AO214" s="640">
        <f t="shared" si="98"/>
        <v>0</v>
      </c>
      <c r="AP214" s="636">
        <v>2</v>
      </c>
      <c r="AQ214" s="636">
        <v>86675</v>
      </c>
      <c r="AR214" s="637">
        <f t="shared" si="99"/>
        <v>141834.97</v>
      </c>
      <c r="AS214" s="638">
        <v>2</v>
      </c>
      <c r="AT214" s="638">
        <v>86675</v>
      </c>
      <c r="AU214" s="635">
        <f t="shared" si="100"/>
        <v>141834.97</v>
      </c>
      <c r="AV214" s="636">
        <v>0</v>
      </c>
      <c r="AW214" s="636">
        <v>0</v>
      </c>
      <c r="AX214" s="637">
        <f t="shared" si="101"/>
        <v>0</v>
      </c>
      <c r="AY214" s="638">
        <v>0</v>
      </c>
      <c r="AZ214" s="638">
        <v>0</v>
      </c>
      <c r="BA214" s="635">
        <f t="shared" si="102"/>
        <v>0</v>
      </c>
      <c r="BB214" s="636">
        <v>0</v>
      </c>
      <c r="BC214" s="636">
        <v>0</v>
      </c>
      <c r="BD214" s="637">
        <f t="shared" si="103"/>
        <v>0</v>
      </c>
      <c r="BE214" s="638">
        <v>0</v>
      </c>
      <c r="BF214" s="638">
        <v>0</v>
      </c>
      <c r="BG214" s="635">
        <f t="shared" si="104"/>
        <v>0</v>
      </c>
      <c r="BH214" s="636">
        <v>5</v>
      </c>
      <c r="BI214" s="636">
        <v>74185</v>
      </c>
      <c r="BJ214" s="637">
        <f t="shared" si="105"/>
        <v>303490.83500000002</v>
      </c>
      <c r="BK214" s="638">
        <v>5</v>
      </c>
      <c r="BL214" s="638">
        <v>74185</v>
      </c>
      <c r="BM214" s="635">
        <f t="shared" si="106"/>
        <v>303490.83500000002</v>
      </c>
      <c r="BN214" s="636">
        <v>0</v>
      </c>
      <c r="BO214" s="636">
        <v>0</v>
      </c>
      <c r="BP214" s="637">
        <f t="shared" si="107"/>
        <v>0</v>
      </c>
      <c r="BQ214" s="638">
        <v>0</v>
      </c>
      <c r="BR214" s="638">
        <v>0</v>
      </c>
      <c r="BS214" s="635">
        <f t="shared" si="108"/>
        <v>0</v>
      </c>
      <c r="BT214" s="636"/>
      <c r="BU214" s="636"/>
      <c r="BV214" s="637">
        <f t="shared" si="109"/>
        <v>0</v>
      </c>
      <c r="BW214" s="638">
        <v>0</v>
      </c>
      <c r="BX214" s="638">
        <v>0</v>
      </c>
      <c r="BY214" s="641">
        <f t="shared" si="110"/>
        <v>0</v>
      </c>
    </row>
    <row r="215" spans="1:77" x14ac:dyDescent="0.2">
      <c r="A215" s="322" t="s">
        <v>76</v>
      </c>
      <c r="B215" s="307" t="s">
        <v>484</v>
      </c>
      <c r="C215" s="308"/>
      <c r="D215" s="306">
        <v>159717</v>
      </c>
      <c r="E215" s="309">
        <v>4</v>
      </c>
      <c r="F215" s="631">
        <v>61</v>
      </c>
      <c r="G215" s="632">
        <v>80852</v>
      </c>
      <c r="H215" s="633">
        <f t="shared" si="87"/>
        <v>4931972</v>
      </c>
      <c r="I215" s="634">
        <v>53</v>
      </c>
      <c r="J215" s="634">
        <v>82305</v>
      </c>
      <c r="K215" s="635">
        <f t="shared" si="88"/>
        <v>4362165</v>
      </c>
      <c r="L215" s="636">
        <v>52</v>
      </c>
      <c r="M215" s="636">
        <v>65030</v>
      </c>
      <c r="N215" s="637">
        <f t="shared" si="89"/>
        <v>3381560</v>
      </c>
      <c r="O215" s="638">
        <v>53</v>
      </c>
      <c r="P215" s="638">
        <v>64028</v>
      </c>
      <c r="Q215" s="635">
        <f t="shared" si="90"/>
        <v>3393484</v>
      </c>
      <c r="R215" s="636">
        <v>134</v>
      </c>
      <c r="S215" s="636">
        <v>55600</v>
      </c>
      <c r="T215" s="637">
        <f t="shared" si="91"/>
        <v>7450400</v>
      </c>
      <c r="U215" s="639">
        <v>122</v>
      </c>
      <c r="V215" s="639">
        <v>55716</v>
      </c>
      <c r="W215" s="635">
        <f t="shared" si="92"/>
        <v>6797352</v>
      </c>
      <c r="X215" s="636">
        <v>50</v>
      </c>
      <c r="Y215" s="636">
        <v>41984</v>
      </c>
      <c r="Z215" s="637">
        <f t="shared" si="93"/>
        <v>2099200</v>
      </c>
      <c r="AA215" s="638">
        <v>56</v>
      </c>
      <c r="AB215" s="638">
        <v>42485</v>
      </c>
      <c r="AC215" s="635">
        <f t="shared" si="94"/>
        <v>2379160</v>
      </c>
      <c r="AD215" s="636">
        <v>0</v>
      </c>
      <c r="AE215" s="636">
        <v>0</v>
      </c>
      <c r="AF215" s="637">
        <f t="shared" si="95"/>
        <v>0</v>
      </c>
      <c r="AG215" s="638">
        <v>0</v>
      </c>
      <c r="AH215" s="638">
        <v>0</v>
      </c>
      <c r="AI215" s="635">
        <f t="shared" si="96"/>
        <v>0</v>
      </c>
      <c r="AJ215" s="636"/>
      <c r="AK215" s="636"/>
      <c r="AL215" s="637">
        <f t="shared" si="97"/>
        <v>0</v>
      </c>
      <c r="AM215" s="638">
        <v>0</v>
      </c>
      <c r="AN215" s="638">
        <v>0</v>
      </c>
      <c r="AO215" s="640">
        <f t="shared" si="98"/>
        <v>0</v>
      </c>
      <c r="AP215" s="636">
        <v>0</v>
      </c>
      <c r="AQ215" s="636">
        <v>0</v>
      </c>
      <c r="AR215" s="637">
        <f t="shared" si="99"/>
        <v>0</v>
      </c>
      <c r="AS215" s="638">
        <v>0</v>
      </c>
      <c r="AT215" s="638">
        <v>0</v>
      </c>
      <c r="AU215" s="635">
        <f t="shared" si="100"/>
        <v>0</v>
      </c>
      <c r="AV215" s="636">
        <v>2</v>
      </c>
      <c r="AW215" s="636">
        <v>65530</v>
      </c>
      <c r="AX215" s="637">
        <f t="shared" si="101"/>
        <v>107233.292</v>
      </c>
      <c r="AY215" s="638">
        <v>0</v>
      </c>
      <c r="AZ215" s="638">
        <v>0</v>
      </c>
      <c r="BA215" s="635">
        <f t="shared" si="102"/>
        <v>0</v>
      </c>
      <c r="BB215" s="636">
        <v>16</v>
      </c>
      <c r="BC215" s="636">
        <v>56280</v>
      </c>
      <c r="BD215" s="637">
        <f t="shared" si="103"/>
        <v>736772.73600000003</v>
      </c>
      <c r="BE215" s="638">
        <v>14</v>
      </c>
      <c r="BF215" s="638">
        <v>55144</v>
      </c>
      <c r="BG215" s="635">
        <f t="shared" si="104"/>
        <v>631663.49120000005</v>
      </c>
      <c r="BH215" s="636">
        <v>1</v>
      </c>
      <c r="BI215" s="636">
        <v>42000</v>
      </c>
      <c r="BJ215" s="637">
        <f t="shared" si="105"/>
        <v>34364.400000000001</v>
      </c>
      <c r="BK215" s="638">
        <v>0</v>
      </c>
      <c r="BL215" s="638">
        <v>0</v>
      </c>
      <c r="BM215" s="635">
        <f t="shared" si="106"/>
        <v>0</v>
      </c>
      <c r="BN215" s="636">
        <v>0</v>
      </c>
      <c r="BO215" s="636">
        <v>0</v>
      </c>
      <c r="BP215" s="637">
        <f t="shared" si="107"/>
        <v>0</v>
      </c>
      <c r="BQ215" s="638">
        <v>0</v>
      </c>
      <c r="BR215" s="638">
        <v>0</v>
      </c>
      <c r="BS215" s="635">
        <f t="shared" si="108"/>
        <v>0</v>
      </c>
      <c r="BT215" s="636"/>
      <c r="BU215" s="636"/>
      <c r="BV215" s="637">
        <f t="shared" si="109"/>
        <v>0</v>
      </c>
      <c r="BW215" s="638">
        <v>0</v>
      </c>
      <c r="BX215" s="638">
        <v>0</v>
      </c>
      <c r="BY215" s="641">
        <f t="shared" si="110"/>
        <v>0</v>
      </c>
    </row>
    <row r="216" spans="1:77" x14ac:dyDescent="0.2">
      <c r="A216" s="322" t="s">
        <v>76</v>
      </c>
      <c r="B216" s="307" t="s">
        <v>485</v>
      </c>
      <c r="C216" s="308"/>
      <c r="D216" s="306">
        <v>159966</v>
      </c>
      <c r="E216" s="309">
        <v>4</v>
      </c>
      <c r="F216" s="631">
        <v>31</v>
      </c>
      <c r="G216" s="632">
        <v>72067</v>
      </c>
      <c r="H216" s="633">
        <f t="shared" si="87"/>
        <v>2234077</v>
      </c>
      <c r="I216" s="634">
        <v>29</v>
      </c>
      <c r="J216" s="634">
        <v>71210</v>
      </c>
      <c r="K216" s="635">
        <f t="shared" si="88"/>
        <v>2065090</v>
      </c>
      <c r="L216" s="636">
        <v>54</v>
      </c>
      <c r="M216" s="636">
        <v>58662</v>
      </c>
      <c r="N216" s="637">
        <f t="shared" si="89"/>
        <v>3167748</v>
      </c>
      <c r="O216" s="638">
        <v>60</v>
      </c>
      <c r="P216" s="638">
        <v>58696</v>
      </c>
      <c r="Q216" s="635">
        <f t="shared" si="90"/>
        <v>3521760</v>
      </c>
      <c r="R216" s="636">
        <v>78</v>
      </c>
      <c r="S216" s="636">
        <v>50197</v>
      </c>
      <c r="T216" s="637">
        <f t="shared" si="91"/>
        <v>3915366</v>
      </c>
      <c r="U216" s="639">
        <v>71</v>
      </c>
      <c r="V216" s="639">
        <v>51280</v>
      </c>
      <c r="W216" s="635">
        <f t="shared" si="92"/>
        <v>3640880</v>
      </c>
      <c r="X216" s="636">
        <v>71</v>
      </c>
      <c r="Y216" s="636">
        <v>39265</v>
      </c>
      <c r="Z216" s="637">
        <f t="shared" si="93"/>
        <v>2787815</v>
      </c>
      <c r="AA216" s="638">
        <v>80</v>
      </c>
      <c r="AB216" s="638">
        <v>39467</v>
      </c>
      <c r="AC216" s="635">
        <f t="shared" si="94"/>
        <v>3157360</v>
      </c>
      <c r="AD216" s="636">
        <v>0</v>
      </c>
      <c r="AE216" s="636">
        <v>0</v>
      </c>
      <c r="AF216" s="637">
        <f t="shared" si="95"/>
        <v>0</v>
      </c>
      <c r="AG216" s="638">
        <v>0</v>
      </c>
      <c r="AH216" s="638">
        <v>0</v>
      </c>
      <c r="AI216" s="635">
        <f t="shared" si="96"/>
        <v>0</v>
      </c>
      <c r="AJ216" s="636"/>
      <c r="AK216" s="636"/>
      <c r="AL216" s="637">
        <f t="shared" si="97"/>
        <v>0</v>
      </c>
      <c r="AM216" s="638">
        <v>0</v>
      </c>
      <c r="AN216" s="638">
        <v>0</v>
      </c>
      <c r="AO216" s="640">
        <f t="shared" si="98"/>
        <v>0</v>
      </c>
      <c r="AP216" s="636">
        <v>4</v>
      </c>
      <c r="AQ216" s="636">
        <v>92547</v>
      </c>
      <c r="AR216" s="637">
        <f t="shared" si="99"/>
        <v>302887.82160000002</v>
      </c>
      <c r="AS216" s="638">
        <v>3</v>
      </c>
      <c r="AT216" s="638">
        <v>90662</v>
      </c>
      <c r="AU216" s="635">
        <f t="shared" si="100"/>
        <v>222538.94520000002</v>
      </c>
      <c r="AV216" s="636">
        <v>7</v>
      </c>
      <c r="AW216" s="636">
        <v>60756</v>
      </c>
      <c r="AX216" s="637">
        <f t="shared" si="101"/>
        <v>347973.91440000001</v>
      </c>
      <c r="AY216" s="638">
        <v>8</v>
      </c>
      <c r="AZ216" s="638">
        <v>63239</v>
      </c>
      <c r="BA216" s="635">
        <f t="shared" si="102"/>
        <v>413937.19839999999</v>
      </c>
      <c r="BB216" s="636">
        <v>8</v>
      </c>
      <c r="BC216" s="636">
        <v>52472</v>
      </c>
      <c r="BD216" s="637">
        <f t="shared" si="103"/>
        <v>343460.72320000001</v>
      </c>
      <c r="BE216" s="638">
        <v>8</v>
      </c>
      <c r="BF216" s="638">
        <v>53505</v>
      </c>
      <c r="BG216" s="635">
        <f t="shared" si="104"/>
        <v>350222.32800000004</v>
      </c>
      <c r="BH216" s="636">
        <v>3</v>
      </c>
      <c r="BI216" s="636">
        <v>63858</v>
      </c>
      <c r="BJ216" s="637">
        <f t="shared" si="105"/>
        <v>156745.8468</v>
      </c>
      <c r="BK216" s="638">
        <v>1</v>
      </c>
      <c r="BL216" s="638">
        <v>75000</v>
      </c>
      <c r="BM216" s="635">
        <f t="shared" si="106"/>
        <v>61365</v>
      </c>
      <c r="BN216" s="636">
        <v>0</v>
      </c>
      <c r="BO216" s="636">
        <v>0</v>
      </c>
      <c r="BP216" s="637">
        <f t="shared" si="107"/>
        <v>0</v>
      </c>
      <c r="BQ216" s="638">
        <v>0</v>
      </c>
      <c r="BR216" s="638">
        <v>0</v>
      </c>
      <c r="BS216" s="635">
        <f t="shared" si="108"/>
        <v>0</v>
      </c>
      <c r="BT216" s="636"/>
      <c r="BU216" s="636"/>
      <c r="BV216" s="637">
        <f t="shared" si="109"/>
        <v>0</v>
      </c>
      <c r="BW216" s="638">
        <v>0</v>
      </c>
      <c r="BX216" s="638">
        <v>0</v>
      </c>
      <c r="BY216" s="641">
        <f t="shared" si="110"/>
        <v>0</v>
      </c>
    </row>
    <row r="217" spans="1:77" x14ac:dyDescent="0.2">
      <c r="A217" s="322" t="s">
        <v>76</v>
      </c>
      <c r="B217" s="307" t="s">
        <v>486</v>
      </c>
      <c r="C217" s="308"/>
      <c r="D217" s="306">
        <v>160038</v>
      </c>
      <c r="E217" s="309">
        <v>4</v>
      </c>
      <c r="F217" s="631">
        <v>53</v>
      </c>
      <c r="G217" s="632">
        <v>71766</v>
      </c>
      <c r="H217" s="633">
        <f t="shared" si="87"/>
        <v>3803598</v>
      </c>
      <c r="I217" s="634">
        <v>47</v>
      </c>
      <c r="J217" s="634">
        <v>70532</v>
      </c>
      <c r="K217" s="635">
        <f t="shared" si="88"/>
        <v>3315004</v>
      </c>
      <c r="L217" s="636">
        <v>57</v>
      </c>
      <c r="M217" s="636">
        <v>57224</v>
      </c>
      <c r="N217" s="637">
        <f t="shared" si="89"/>
        <v>3261768</v>
      </c>
      <c r="O217" s="638">
        <v>55</v>
      </c>
      <c r="P217" s="638">
        <v>56005</v>
      </c>
      <c r="Q217" s="635">
        <f t="shared" si="90"/>
        <v>3080275</v>
      </c>
      <c r="R217" s="636">
        <v>98</v>
      </c>
      <c r="S217" s="636">
        <v>48738</v>
      </c>
      <c r="T217" s="637">
        <f t="shared" si="91"/>
        <v>4776324</v>
      </c>
      <c r="U217" s="639">
        <v>85</v>
      </c>
      <c r="V217" s="639">
        <v>48485</v>
      </c>
      <c r="W217" s="635">
        <f t="shared" si="92"/>
        <v>4121225</v>
      </c>
      <c r="X217" s="636">
        <v>39</v>
      </c>
      <c r="Y217" s="636">
        <v>41737</v>
      </c>
      <c r="Z217" s="637">
        <f t="shared" si="93"/>
        <v>1627743</v>
      </c>
      <c r="AA217" s="638">
        <v>48</v>
      </c>
      <c r="AB217" s="638">
        <v>40750</v>
      </c>
      <c r="AC217" s="635">
        <f t="shared" si="94"/>
        <v>1956000</v>
      </c>
      <c r="AD217" s="636">
        <v>0</v>
      </c>
      <c r="AE217" s="636">
        <v>0</v>
      </c>
      <c r="AF217" s="637">
        <f t="shared" si="95"/>
        <v>0</v>
      </c>
      <c r="AG217" s="638">
        <v>0</v>
      </c>
      <c r="AH217" s="638">
        <v>0</v>
      </c>
      <c r="AI217" s="635">
        <f t="shared" si="96"/>
        <v>0</v>
      </c>
      <c r="AJ217" s="636"/>
      <c r="AK217" s="636"/>
      <c r="AL217" s="637">
        <f t="shared" si="97"/>
        <v>0</v>
      </c>
      <c r="AM217" s="638">
        <v>0</v>
      </c>
      <c r="AN217" s="638">
        <v>0</v>
      </c>
      <c r="AO217" s="640">
        <f t="shared" si="98"/>
        <v>0</v>
      </c>
      <c r="AP217" s="636">
        <v>4</v>
      </c>
      <c r="AQ217" s="636">
        <v>87216</v>
      </c>
      <c r="AR217" s="637">
        <f t="shared" si="99"/>
        <v>285440.52480000001</v>
      </c>
      <c r="AS217" s="638">
        <v>3</v>
      </c>
      <c r="AT217" s="638">
        <v>102022</v>
      </c>
      <c r="AU217" s="635">
        <f t="shared" si="100"/>
        <v>250423.20120000001</v>
      </c>
      <c r="AV217" s="636">
        <v>9</v>
      </c>
      <c r="AW217" s="636">
        <v>73437</v>
      </c>
      <c r="AX217" s="637">
        <f t="shared" si="101"/>
        <v>540775.38060000003</v>
      </c>
      <c r="AY217" s="638">
        <v>9</v>
      </c>
      <c r="AZ217" s="638">
        <v>70474</v>
      </c>
      <c r="BA217" s="635">
        <f t="shared" si="102"/>
        <v>518956.4412</v>
      </c>
      <c r="BB217" s="636">
        <v>11</v>
      </c>
      <c r="BC217" s="636">
        <v>58855</v>
      </c>
      <c r="BD217" s="637">
        <f t="shared" si="103"/>
        <v>529706.77100000007</v>
      </c>
      <c r="BE217" s="638">
        <v>11</v>
      </c>
      <c r="BF217" s="638">
        <v>57658</v>
      </c>
      <c r="BG217" s="635">
        <f t="shared" si="104"/>
        <v>518933.53160000005</v>
      </c>
      <c r="BH217" s="636">
        <v>4</v>
      </c>
      <c r="BI217" s="636">
        <v>55910</v>
      </c>
      <c r="BJ217" s="637">
        <f t="shared" si="105"/>
        <v>182982.24800000002</v>
      </c>
      <c r="BK217" s="638">
        <v>4</v>
      </c>
      <c r="BL217" s="638">
        <v>56555</v>
      </c>
      <c r="BM217" s="635">
        <f t="shared" si="106"/>
        <v>185093.204</v>
      </c>
      <c r="BN217" s="636">
        <v>0</v>
      </c>
      <c r="BO217" s="636">
        <v>0</v>
      </c>
      <c r="BP217" s="637">
        <f t="shared" si="107"/>
        <v>0</v>
      </c>
      <c r="BQ217" s="638">
        <v>0</v>
      </c>
      <c r="BR217" s="638">
        <v>0</v>
      </c>
      <c r="BS217" s="635">
        <f t="shared" si="108"/>
        <v>0</v>
      </c>
      <c r="BT217" s="636"/>
      <c r="BU217" s="636"/>
      <c r="BV217" s="637">
        <f t="shared" si="109"/>
        <v>0</v>
      </c>
      <c r="BW217" s="638">
        <v>0</v>
      </c>
      <c r="BX217" s="638">
        <v>0</v>
      </c>
      <c r="BY217" s="641">
        <f t="shared" si="110"/>
        <v>0</v>
      </c>
    </row>
    <row r="218" spans="1:77" x14ac:dyDescent="0.2">
      <c r="A218" s="322" t="s">
        <v>76</v>
      </c>
      <c r="B218" s="323" t="s">
        <v>487</v>
      </c>
      <c r="C218" s="324"/>
      <c r="D218" s="306">
        <v>160630</v>
      </c>
      <c r="E218" s="309">
        <v>4</v>
      </c>
      <c r="F218" s="631">
        <v>13</v>
      </c>
      <c r="G218" s="632">
        <v>63524</v>
      </c>
      <c r="H218" s="633">
        <f t="shared" si="87"/>
        <v>825812</v>
      </c>
      <c r="I218" s="634">
        <v>15</v>
      </c>
      <c r="J218" s="634">
        <v>61008</v>
      </c>
      <c r="K218" s="635">
        <f t="shared" si="88"/>
        <v>915120</v>
      </c>
      <c r="L218" s="636">
        <v>26</v>
      </c>
      <c r="M218" s="636">
        <v>53389</v>
      </c>
      <c r="N218" s="637">
        <f t="shared" si="89"/>
        <v>1388114</v>
      </c>
      <c r="O218" s="638">
        <v>22</v>
      </c>
      <c r="P218" s="638">
        <v>53926</v>
      </c>
      <c r="Q218" s="635">
        <f t="shared" si="90"/>
        <v>1186372</v>
      </c>
      <c r="R218" s="636">
        <v>54</v>
      </c>
      <c r="S218" s="636">
        <v>48602</v>
      </c>
      <c r="T218" s="637">
        <f t="shared" si="91"/>
        <v>2624508</v>
      </c>
      <c r="U218" s="639">
        <v>60</v>
      </c>
      <c r="V218" s="639">
        <v>49900</v>
      </c>
      <c r="W218" s="635">
        <f t="shared" si="92"/>
        <v>2994000</v>
      </c>
      <c r="X218" s="636">
        <v>4</v>
      </c>
      <c r="Y218" s="636">
        <v>39000</v>
      </c>
      <c r="Z218" s="637">
        <f t="shared" si="93"/>
        <v>156000</v>
      </c>
      <c r="AA218" s="638">
        <v>7</v>
      </c>
      <c r="AB218" s="638">
        <v>41571</v>
      </c>
      <c r="AC218" s="635">
        <f t="shared" si="94"/>
        <v>290997</v>
      </c>
      <c r="AD218" s="636">
        <v>0</v>
      </c>
      <c r="AE218" s="636">
        <v>0</v>
      </c>
      <c r="AF218" s="637">
        <f t="shared" si="95"/>
        <v>0</v>
      </c>
      <c r="AG218" s="638">
        <v>0</v>
      </c>
      <c r="AH218" s="638">
        <v>0</v>
      </c>
      <c r="AI218" s="635">
        <f t="shared" si="96"/>
        <v>0</v>
      </c>
      <c r="AJ218" s="636"/>
      <c r="AK218" s="636"/>
      <c r="AL218" s="637">
        <f t="shared" si="97"/>
        <v>0</v>
      </c>
      <c r="AM218" s="638">
        <v>0</v>
      </c>
      <c r="AN218" s="638">
        <v>0</v>
      </c>
      <c r="AO218" s="640">
        <f t="shared" si="98"/>
        <v>0</v>
      </c>
      <c r="AP218" s="636">
        <v>1</v>
      </c>
      <c r="AQ218" s="636">
        <v>86882</v>
      </c>
      <c r="AR218" s="637">
        <f t="shared" si="99"/>
        <v>71086.852400000003</v>
      </c>
      <c r="AS218" s="638">
        <v>1</v>
      </c>
      <c r="AT218" s="638">
        <v>86882</v>
      </c>
      <c r="AU218" s="635">
        <f t="shared" si="100"/>
        <v>71086.852400000003</v>
      </c>
      <c r="AV218" s="636">
        <v>2</v>
      </c>
      <c r="AW218" s="636">
        <v>64055</v>
      </c>
      <c r="AX218" s="637">
        <f t="shared" si="101"/>
        <v>104819.602</v>
      </c>
      <c r="AY218" s="638">
        <v>0</v>
      </c>
      <c r="AZ218" s="638">
        <v>0</v>
      </c>
      <c r="BA218" s="635">
        <f t="shared" si="102"/>
        <v>0</v>
      </c>
      <c r="BB218" s="636">
        <v>6</v>
      </c>
      <c r="BC218" s="636">
        <v>61009</v>
      </c>
      <c r="BD218" s="637">
        <f t="shared" si="103"/>
        <v>299505.38280000002</v>
      </c>
      <c r="BE218" s="638">
        <v>4</v>
      </c>
      <c r="BF218" s="638">
        <v>63076</v>
      </c>
      <c r="BG218" s="635">
        <f t="shared" si="104"/>
        <v>206435.13280000002</v>
      </c>
      <c r="BH218" s="636">
        <v>1</v>
      </c>
      <c r="BI218" s="636">
        <v>36500</v>
      </c>
      <c r="BJ218" s="637">
        <f t="shared" si="105"/>
        <v>29864.300000000003</v>
      </c>
      <c r="BK218" s="638">
        <v>1</v>
      </c>
      <c r="BL218" s="638">
        <v>36500</v>
      </c>
      <c r="BM218" s="635">
        <f t="shared" si="106"/>
        <v>29864.300000000003</v>
      </c>
      <c r="BN218" s="636">
        <v>0</v>
      </c>
      <c r="BO218" s="636">
        <v>0</v>
      </c>
      <c r="BP218" s="637">
        <f t="shared" si="107"/>
        <v>0</v>
      </c>
      <c r="BQ218" s="638">
        <v>0</v>
      </c>
      <c r="BR218" s="638">
        <v>0</v>
      </c>
      <c r="BS218" s="635">
        <f t="shared" si="108"/>
        <v>0</v>
      </c>
      <c r="BT218" s="636"/>
      <c r="BU218" s="636"/>
      <c r="BV218" s="637">
        <f t="shared" si="109"/>
        <v>0</v>
      </c>
      <c r="BW218" s="638">
        <v>0</v>
      </c>
      <c r="BX218" s="638">
        <v>0</v>
      </c>
      <c r="BY218" s="641">
        <f t="shared" si="110"/>
        <v>0</v>
      </c>
    </row>
    <row r="219" spans="1:77" x14ac:dyDescent="0.2">
      <c r="A219" s="322" t="s">
        <v>76</v>
      </c>
      <c r="B219" s="323" t="s">
        <v>488</v>
      </c>
      <c r="C219" s="342" t="s">
        <v>518</v>
      </c>
      <c r="D219" s="306">
        <v>159382</v>
      </c>
      <c r="E219" s="343">
        <v>6</v>
      </c>
      <c r="F219" s="631">
        <v>15</v>
      </c>
      <c r="G219" s="632">
        <v>58388</v>
      </c>
      <c r="H219" s="633">
        <f t="shared" si="87"/>
        <v>875820</v>
      </c>
      <c r="I219" s="634">
        <v>12</v>
      </c>
      <c r="J219" s="634">
        <v>59021</v>
      </c>
      <c r="K219" s="635">
        <f t="shared" si="88"/>
        <v>708252</v>
      </c>
      <c r="L219" s="636">
        <v>23</v>
      </c>
      <c r="M219" s="636">
        <v>47223</v>
      </c>
      <c r="N219" s="637">
        <f t="shared" si="89"/>
        <v>1086129</v>
      </c>
      <c r="O219" s="638">
        <v>28</v>
      </c>
      <c r="P219" s="638">
        <v>47132</v>
      </c>
      <c r="Q219" s="635">
        <f t="shared" si="90"/>
        <v>1319696</v>
      </c>
      <c r="R219" s="636">
        <v>34</v>
      </c>
      <c r="S219" s="636">
        <v>46573</v>
      </c>
      <c r="T219" s="637">
        <f t="shared" si="91"/>
        <v>1583482</v>
      </c>
      <c r="U219" s="639">
        <v>34</v>
      </c>
      <c r="V219" s="639">
        <v>46420</v>
      </c>
      <c r="W219" s="635">
        <f t="shared" si="92"/>
        <v>1578280</v>
      </c>
      <c r="X219" s="636">
        <v>13</v>
      </c>
      <c r="Y219" s="636">
        <v>38955</v>
      </c>
      <c r="Z219" s="637">
        <f t="shared" si="93"/>
        <v>506415</v>
      </c>
      <c r="AA219" s="638">
        <v>10</v>
      </c>
      <c r="AB219" s="638">
        <v>39224</v>
      </c>
      <c r="AC219" s="635">
        <f t="shared" si="94"/>
        <v>392240</v>
      </c>
      <c r="AD219" s="636">
        <v>0</v>
      </c>
      <c r="AE219" s="636">
        <v>0</v>
      </c>
      <c r="AF219" s="637">
        <f t="shared" si="95"/>
        <v>0</v>
      </c>
      <c r="AG219" s="638">
        <v>0</v>
      </c>
      <c r="AH219" s="638">
        <v>0</v>
      </c>
      <c r="AI219" s="635">
        <f t="shared" si="96"/>
        <v>0</v>
      </c>
      <c r="AJ219" s="636"/>
      <c r="AK219" s="636"/>
      <c r="AL219" s="637">
        <f t="shared" si="97"/>
        <v>0</v>
      </c>
      <c r="AM219" s="638">
        <v>0</v>
      </c>
      <c r="AN219" s="638">
        <v>0</v>
      </c>
      <c r="AO219" s="640">
        <f t="shared" si="98"/>
        <v>0</v>
      </c>
      <c r="AP219" s="636">
        <v>5</v>
      </c>
      <c r="AQ219" s="636">
        <v>79821</v>
      </c>
      <c r="AR219" s="637">
        <f t="shared" si="99"/>
        <v>326547.71100000001</v>
      </c>
      <c r="AS219" s="638">
        <v>5</v>
      </c>
      <c r="AT219" s="638">
        <v>84764</v>
      </c>
      <c r="AU219" s="635">
        <f t="shared" si="100"/>
        <v>346769.52400000003</v>
      </c>
      <c r="AV219" s="636">
        <v>5</v>
      </c>
      <c r="AW219" s="636">
        <v>58701</v>
      </c>
      <c r="AX219" s="637">
        <f t="shared" si="101"/>
        <v>240145.791</v>
      </c>
      <c r="AY219" s="638">
        <v>5</v>
      </c>
      <c r="AZ219" s="638">
        <v>65983</v>
      </c>
      <c r="BA219" s="635">
        <f t="shared" si="102"/>
        <v>269936.45300000004</v>
      </c>
      <c r="BB219" s="636">
        <v>2</v>
      </c>
      <c r="BC219" s="636">
        <v>45014</v>
      </c>
      <c r="BD219" s="637">
        <f t="shared" si="103"/>
        <v>73660.909599999999</v>
      </c>
      <c r="BE219" s="638">
        <v>1</v>
      </c>
      <c r="BF219" s="638">
        <v>42000</v>
      </c>
      <c r="BG219" s="635">
        <f t="shared" si="104"/>
        <v>34364.400000000001</v>
      </c>
      <c r="BH219" s="636">
        <v>0</v>
      </c>
      <c r="BI219" s="636">
        <v>0</v>
      </c>
      <c r="BJ219" s="637">
        <f t="shared" si="105"/>
        <v>0</v>
      </c>
      <c r="BK219" s="638">
        <v>0</v>
      </c>
      <c r="BL219" s="638">
        <v>0</v>
      </c>
      <c r="BM219" s="635">
        <f t="shared" si="106"/>
        <v>0</v>
      </c>
      <c r="BN219" s="636">
        <v>0</v>
      </c>
      <c r="BO219" s="636">
        <v>0</v>
      </c>
      <c r="BP219" s="637">
        <f t="shared" si="107"/>
        <v>0</v>
      </c>
      <c r="BQ219" s="638">
        <v>0</v>
      </c>
      <c r="BR219" s="638">
        <v>0</v>
      </c>
      <c r="BS219" s="635">
        <f t="shared" si="108"/>
        <v>0</v>
      </c>
      <c r="BT219" s="636"/>
      <c r="BU219" s="636"/>
      <c r="BV219" s="637">
        <f t="shared" si="109"/>
        <v>0</v>
      </c>
      <c r="BW219" s="638">
        <v>0</v>
      </c>
      <c r="BX219" s="638">
        <v>0</v>
      </c>
      <c r="BY219" s="641">
        <f t="shared" si="110"/>
        <v>0</v>
      </c>
    </row>
    <row r="220" spans="1:77" x14ac:dyDescent="0.2">
      <c r="A220" s="322" t="s">
        <v>76</v>
      </c>
      <c r="B220" s="325" t="s">
        <v>489</v>
      </c>
      <c r="C220" s="326"/>
      <c r="D220" s="306">
        <v>437103</v>
      </c>
      <c r="E220" s="327">
        <v>8</v>
      </c>
      <c r="F220" s="631">
        <v>3</v>
      </c>
      <c r="G220" s="632">
        <v>54135</v>
      </c>
      <c r="H220" s="633">
        <f t="shared" si="87"/>
        <v>162405</v>
      </c>
      <c r="I220" s="634">
        <v>3</v>
      </c>
      <c r="J220" s="634">
        <v>57335</v>
      </c>
      <c r="K220" s="635">
        <f t="shared" si="88"/>
        <v>172005</v>
      </c>
      <c r="L220" s="636">
        <v>41</v>
      </c>
      <c r="M220" s="636">
        <v>47295</v>
      </c>
      <c r="N220" s="637">
        <f t="shared" si="89"/>
        <v>1939095</v>
      </c>
      <c r="O220" s="638">
        <v>40</v>
      </c>
      <c r="P220" s="638">
        <v>49526</v>
      </c>
      <c r="Q220" s="635">
        <f t="shared" si="90"/>
        <v>1981040</v>
      </c>
      <c r="R220" s="636">
        <v>33</v>
      </c>
      <c r="S220" s="636">
        <v>49853</v>
      </c>
      <c r="T220" s="637">
        <f t="shared" si="91"/>
        <v>1645149</v>
      </c>
      <c r="U220" s="639">
        <v>40</v>
      </c>
      <c r="V220" s="639">
        <v>44437</v>
      </c>
      <c r="W220" s="635">
        <f t="shared" si="92"/>
        <v>1777480</v>
      </c>
      <c r="X220" s="636">
        <v>54</v>
      </c>
      <c r="Y220" s="636">
        <v>41628</v>
      </c>
      <c r="Z220" s="637">
        <f t="shared" si="93"/>
        <v>2247912</v>
      </c>
      <c r="AA220" s="638">
        <v>58</v>
      </c>
      <c r="AB220" s="638">
        <v>42382</v>
      </c>
      <c r="AC220" s="635">
        <f t="shared" si="94"/>
        <v>2458156</v>
      </c>
      <c r="AD220" s="636">
        <v>0</v>
      </c>
      <c r="AE220" s="636">
        <v>0</v>
      </c>
      <c r="AF220" s="637">
        <f t="shared" si="95"/>
        <v>0</v>
      </c>
      <c r="AG220" s="638">
        <v>0</v>
      </c>
      <c r="AH220" s="638">
        <v>0</v>
      </c>
      <c r="AI220" s="635">
        <f t="shared" si="96"/>
        <v>0</v>
      </c>
      <c r="AJ220" s="636"/>
      <c r="AK220" s="636"/>
      <c r="AL220" s="637">
        <f t="shared" si="97"/>
        <v>0</v>
      </c>
      <c r="AM220" s="638">
        <v>0</v>
      </c>
      <c r="AN220" s="638">
        <v>0</v>
      </c>
      <c r="AO220" s="640">
        <f t="shared" si="98"/>
        <v>0</v>
      </c>
      <c r="AP220" s="636">
        <v>0</v>
      </c>
      <c r="AQ220" s="636">
        <v>0</v>
      </c>
      <c r="AR220" s="637">
        <f t="shared" si="99"/>
        <v>0</v>
      </c>
      <c r="AS220" s="638">
        <v>0</v>
      </c>
      <c r="AT220" s="638">
        <v>0</v>
      </c>
      <c r="AU220" s="635">
        <f t="shared" si="100"/>
        <v>0</v>
      </c>
      <c r="AV220" s="636">
        <v>4</v>
      </c>
      <c r="AW220" s="636">
        <v>64761</v>
      </c>
      <c r="AX220" s="637">
        <f t="shared" si="101"/>
        <v>211949.8008</v>
      </c>
      <c r="AY220" s="638">
        <v>6</v>
      </c>
      <c r="AZ220" s="638">
        <v>65329</v>
      </c>
      <c r="BA220" s="635">
        <f t="shared" si="102"/>
        <v>320713.12680000003</v>
      </c>
      <c r="BB220" s="636">
        <v>2</v>
      </c>
      <c r="BC220" s="636">
        <v>48172</v>
      </c>
      <c r="BD220" s="637">
        <f t="shared" si="103"/>
        <v>78828.660799999998</v>
      </c>
      <c r="BE220" s="638">
        <v>0</v>
      </c>
      <c r="BF220" s="638">
        <v>0</v>
      </c>
      <c r="BG220" s="635">
        <f t="shared" si="104"/>
        <v>0</v>
      </c>
      <c r="BH220" s="636">
        <v>0</v>
      </c>
      <c r="BI220" s="636">
        <v>0</v>
      </c>
      <c r="BJ220" s="637">
        <f t="shared" si="105"/>
        <v>0</v>
      </c>
      <c r="BK220" s="638">
        <v>0</v>
      </c>
      <c r="BL220" s="638">
        <v>0</v>
      </c>
      <c r="BM220" s="635">
        <f t="shared" si="106"/>
        <v>0</v>
      </c>
      <c r="BN220" s="636">
        <v>0</v>
      </c>
      <c r="BO220" s="636">
        <v>0</v>
      </c>
      <c r="BP220" s="637">
        <f t="shared" si="107"/>
        <v>0</v>
      </c>
      <c r="BQ220" s="638">
        <v>0</v>
      </c>
      <c r="BR220" s="638">
        <v>0</v>
      </c>
      <c r="BS220" s="635">
        <f t="shared" si="108"/>
        <v>0</v>
      </c>
      <c r="BT220" s="636"/>
      <c r="BU220" s="636"/>
      <c r="BV220" s="637">
        <f t="shared" si="109"/>
        <v>0</v>
      </c>
      <c r="BW220" s="638">
        <v>0</v>
      </c>
      <c r="BX220" s="638">
        <v>0</v>
      </c>
      <c r="BY220" s="641">
        <f t="shared" si="110"/>
        <v>0</v>
      </c>
    </row>
    <row r="221" spans="1:77" x14ac:dyDescent="0.2">
      <c r="A221" s="328" t="s">
        <v>76</v>
      </c>
      <c r="B221" s="325" t="s">
        <v>490</v>
      </c>
      <c r="C221" s="326"/>
      <c r="D221" s="306">
        <v>158662</v>
      </c>
      <c r="E221" s="309">
        <v>8</v>
      </c>
      <c r="F221" s="631">
        <v>68</v>
      </c>
      <c r="G221" s="632">
        <v>79913</v>
      </c>
      <c r="H221" s="633">
        <f t="shared" si="87"/>
        <v>5434084</v>
      </c>
      <c r="I221" s="634">
        <v>63</v>
      </c>
      <c r="J221" s="634">
        <v>79455</v>
      </c>
      <c r="K221" s="635">
        <f t="shared" si="88"/>
        <v>5005665</v>
      </c>
      <c r="L221" s="636">
        <v>49</v>
      </c>
      <c r="M221" s="636">
        <v>73252</v>
      </c>
      <c r="N221" s="637">
        <f t="shared" si="89"/>
        <v>3589348</v>
      </c>
      <c r="O221" s="638">
        <v>55</v>
      </c>
      <c r="P221" s="638">
        <v>71363</v>
      </c>
      <c r="Q221" s="635">
        <f t="shared" si="90"/>
        <v>3924965</v>
      </c>
      <c r="R221" s="636">
        <v>101</v>
      </c>
      <c r="S221" s="636">
        <v>65509</v>
      </c>
      <c r="T221" s="637">
        <f t="shared" si="91"/>
        <v>6616409</v>
      </c>
      <c r="U221" s="639">
        <v>94</v>
      </c>
      <c r="V221" s="639">
        <v>62507</v>
      </c>
      <c r="W221" s="635">
        <f t="shared" si="92"/>
        <v>5875658</v>
      </c>
      <c r="X221" s="636">
        <v>126</v>
      </c>
      <c r="Y221" s="636">
        <v>50844</v>
      </c>
      <c r="Z221" s="637">
        <f t="shared" si="93"/>
        <v>6406344</v>
      </c>
      <c r="AA221" s="638">
        <v>165</v>
      </c>
      <c r="AB221" s="638">
        <v>49300</v>
      </c>
      <c r="AC221" s="635">
        <f t="shared" si="94"/>
        <v>8134500</v>
      </c>
      <c r="AD221" s="636">
        <v>125</v>
      </c>
      <c r="AE221" s="636">
        <v>38882</v>
      </c>
      <c r="AF221" s="637">
        <f t="shared" si="95"/>
        <v>4860250</v>
      </c>
      <c r="AG221" s="638">
        <v>0</v>
      </c>
      <c r="AH221" s="638">
        <v>0</v>
      </c>
      <c r="AI221" s="635">
        <f t="shared" si="96"/>
        <v>0</v>
      </c>
      <c r="AJ221" s="636">
        <v>8</v>
      </c>
      <c r="AK221" s="636">
        <v>39308</v>
      </c>
      <c r="AL221" s="637">
        <f t="shared" si="97"/>
        <v>314464</v>
      </c>
      <c r="AM221" s="638">
        <v>115</v>
      </c>
      <c r="AN221" s="638">
        <v>39627</v>
      </c>
      <c r="AO221" s="640">
        <f t="shared" si="98"/>
        <v>4557105</v>
      </c>
      <c r="AP221" s="636">
        <v>5</v>
      </c>
      <c r="AQ221" s="636">
        <v>92073</v>
      </c>
      <c r="AR221" s="637">
        <f t="shared" si="99"/>
        <v>376670.64300000004</v>
      </c>
      <c r="AS221" s="638">
        <v>5</v>
      </c>
      <c r="AT221" s="638">
        <v>97486</v>
      </c>
      <c r="AU221" s="635">
        <f t="shared" si="100"/>
        <v>398815.22600000002</v>
      </c>
      <c r="AV221" s="636">
        <v>1</v>
      </c>
      <c r="AW221" s="636">
        <v>83511</v>
      </c>
      <c r="AX221" s="637">
        <f t="shared" si="101"/>
        <v>68328.700200000007</v>
      </c>
      <c r="AY221" s="638">
        <v>1</v>
      </c>
      <c r="AZ221" s="638">
        <v>79011</v>
      </c>
      <c r="BA221" s="635">
        <f t="shared" si="102"/>
        <v>64646.800200000005</v>
      </c>
      <c r="BB221" s="636">
        <v>6</v>
      </c>
      <c r="BC221" s="636">
        <v>58954</v>
      </c>
      <c r="BD221" s="637">
        <f t="shared" si="103"/>
        <v>289416.9768</v>
      </c>
      <c r="BE221" s="638">
        <v>6</v>
      </c>
      <c r="BF221" s="638">
        <v>65484</v>
      </c>
      <c r="BG221" s="635">
        <f t="shared" si="104"/>
        <v>321474.0528</v>
      </c>
      <c r="BH221" s="636">
        <v>6</v>
      </c>
      <c r="BI221" s="636">
        <v>57098</v>
      </c>
      <c r="BJ221" s="637">
        <f t="shared" si="105"/>
        <v>280305.50160000002</v>
      </c>
      <c r="BK221" s="638">
        <v>8</v>
      </c>
      <c r="BL221" s="638">
        <v>51312</v>
      </c>
      <c r="BM221" s="635">
        <f t="shared" si="106"/>
        <v>335867.8272</v>
      </c>
      <c r="BN221" s="636">
        <v>0</v>
      </c>
      <c r="BO221" s="636">
        <v>0</v>
      </c>
      <c r="BP221" s="637">
        <f t="shared" si="107"/>
        <v>0</v>
      </c>
      <c r="BQ221" s="638">
        <v>0</v>
      </c>
      <c r="BR221" s="638">
        <v>0</v>
      </c>
      <c r="BS221" s="635">
        <f t="shared" si="108"/>
        <v>0</v>
      </c>
      <c r="BT221" s="636"/>
      <c r="BU221" s="636"/>
      <c r="BV221" s="637">
        <f t="shared" si="109"/>
        <v>0</v>
      </c>
      <c r="BW221" s="638">
        <v>6</v>
      </c>
      <c r="BX221" s="638">
        <v>38635</v>
      </c>
      <c r="BY221" s="641">
        <f t="shared" si="110"/>
        <v>189666.94200000001</v>
      </c>
    </row>
    <row r="222" spans="1:77" x14ac:dyDescent="0.2">
      <c r="A222" s="322" t="s">
        <v>76</v>
      </c>
      <c r="B222" s="323" t="s">
        <v>491</v>
      </c>
      <c r="C222" s="324" t="s">
        <v>519</v>
      </c>
      <c r="D222" s="306">
        <v>158431</v>
      </c>
      <c r="E222" s="309">
        <v>9</v>
      </c>
      <c r="F222" s="631">
        <v>19</v>
      </c>
      <c r="G222" s="632">
        <v>53030</v>
      </c>
      <c r="H222" s="633">
        <f t="shared" si="87"/>
        <v>1007570</v>
      </c>
      <c r="I222" s="634">
        <v>23</v>
      </c>
      <c r="J222" s="634">
        <v>69350</v>
      </c>
      <c r="K222" s="635">
        <f t="shared" si="88"/>
        <v>1595050</v>
      </c>
      <c r="L222" s="636">
        <v>20</v>
      </c>
      <c r="M222" s="636">
        <v>49710</v>
      </c>
      <c r="N222" s="637">
        <f t="shared" si="89"/>
        <v>994200</v>
      </c>
      <c r="O222" s="638">
        <v>19</v>
      </c>
      <c r="P222" s="638">
        <v>63221</v>
      </c>
      <c r="Q222" s="635">
        <f t="shared" si="90"/>
        <v>1201199</v>
      </c>
      <c r="R222" s="636">
        <v>29</v>
      </c>
      <c r="S222" s="636">
        <v>41124</v>
      </c>
      <c r="T222" s="637">
        <f t="shared" si="91"/>
        <v>1192596</v>
      </c>
      <c r="U222" s="639">
        <v>26</v>
      </c>
      <c r="V222" s="639">
        <v>52167</v>
      </c>
      <c r="W222" s="635">
        <f t="shared" si="92"/>
        <v>1356342</v>
      </c>
      <c r="X222" s="636">
        <v>49</v>
      </c>
      <c r="Y222" s="636">
        <v>40430</v>
      </c>
      <c r="Z222" s="637">
        <f t="shared" si="93"/>
        <v>1981070</v>
      </c>
      <c r="AA222" s="638">
        <v>63</v>
      </c>
      <c r="AB222" s="638">
        <v>51959</v>
      </c>
      <c r="AC222" s="635">
        <f t="shared" si="94"/>
        <v>3273417</v>
      </c>
      <c r="AD222" s="636">
        <v>0</v>
      </c>
      <c r="AE222" s="636">
        <v>0</v>
      </c>
      <c r="AF222" s="637">
        <f t="shared" si="95"/>
        <v>0</v>
      </c>
      <c r="AG222" s="638">
        <v>0</v>
      </c>
      <c r="AH222" s="638">
        <v>0</v>
      </c>
      <c r="AI222" s="635">
        <f t="shared" si="96"/>
        <v>0</v>
      </c>
      <c r="AJ222" s="636"/>
      <c r="AK222" s="636"/>
      <c r="AL222" s="637">
        <f t="shared" si="97"/>
        <v>0</v>
      </c>
      <c r="AM222" s="638">
        <v>0</v>
      </c>
      <c r="AN222" s="638">
        <v>0</v>
      </c>
      <c r="AO222" s="640">
        <f t="shared" si="98"/>
        <v>0</v>
      </c>
      <c r="AP222" s="636">
        <v>0</v>
      </c>
      <c r="AQ222" s="636">
        <v>0</v>
      </c>
      <c r="AR222" s="637">
        <f t="shared" si="99"/>
        <v>0</v>
      </c>
      <c r="AS222" s="638">
        <v>0</v>
      </c>
      <c r="AT222" s="638">
        <v>0</v>
      </c>
      <c r="AU222" s="635">
        <f t="shared" si="100"/>
        <v>0</v>
      </c>
      <c r="AV222" s="636">
        <v>0</v>
      </c>
      <c r="AW222" s="636">
        <v>0</v>
      </c>
      <c r="AX222" s="637">
        <f t="shared" si="101"/>
        <v>0</v>
      </c>
      <c r="AY222" s="638">
        <v>0</v>
      </c>
      <c r="AZ222" s="638">
        <v>0</v>
      </c>
      <c r="BA222" s="635">
        <f t="shared" si="102"/>
        <v>0</v>
      </c>
      <c r="BB222" s="636">
        <v>0</v>
      </c>
      <c r="BC222" s="636">
        <v>0</v>
      </c>
      <c r="BD222" s="637">
        <f t="shared" si="103"/>
        <v>0</v>
      </c>
      <c r="BE222" s="638">
        <v>0</v>
      </c>
      <c r="BF222" s="638">
        <v>0</v>
      </c>
      <c r="BG222" s="635">
        <f t="shared" si="104"/>
        <v>0</v>
      </c>
      <c r="BH222" s="636">
        <v>0</v>
      </c>
      <c r="BI222" s="636">
        <v>0</v>
      </c>
      <c r="BJ222" s="637">
        <f t="shared" si="105"/>
        <v>0</v>
      </c>
      <c r="BK222" s="638">
        <v>1</v>
      </c>
      <c r="BL222" s="638">
        <v>46000</v>
      </c>
      <c r="BM222" s="635">
        <f t="shared" si="106"/>
        <v>37637.200000000004</v>
      </c>
      <c r="BN222" s="636">
        <v>0</v>
      </c>
      <c r="BO222" s="636">
        <v>0</v>
      </c>
      <c r="BP222" s="637">
        <f t="shared" si="107"/>
        <v>0</v>
      </c>
      <c r="BQ222" s="638">
        <v>0</v>
      </c>
      <c r="BR222" s="638">
        <v>0</v>
      </c>
      <c r="BS222" s="635">
        <f t="shared" si="108"/>
        <v>0</v>
      </c>
      <c r="BT222" s="636"/>
      <c r="BU222" s="636"/>
      <c r="BV222" s="637">
        <f t="shared" si="109"/>
        <v>0</v>
      </c>
      <c r="BW222" s="638">
        <v>0</v>
      </c>
      <c r="BX222" s="638">
        <v>0</v>
      </c>
      <c r="BY222" s="641">
        <f t="shared" si="110"/>
        <v>0</v>
      </c>
    </row>
    <row r="223" spans="1:77" x14ac:dyDescent="0.2">
      <c r="A223" s="322" t="s">
        <v>76</v>
      </c>
      <c r="B223" s="329" t="s">
        <v>492</v>
      </c>
      <c r="C223" s="330"/>
      <c r="D223" s="306">
        <v>159407</v>
      </c>
      <c r="E223" s="309">
        <v>9</v>
      </c>
      <c r="F223" s="631">
        <v>14</v>
      </c>
      <c r="G223" s="632">
        <v>59879</v>
      </c>
      <c r="H223" s="633">
        <f t="shared" si="87"/>
        <v>838306</v>
      </c>
      <c r="I223" s="634">
        <v>14</v>
      </c>
      <c r="J223" s="634">
        <v>58191</v>
      </c>
      <c r="K223" s="635">
        <f t="shared" si="88"/>
        <v>814674</v>
      </c>
      <c r="L223" s="636">
        <v>13</v>
      </c>
      <c r="M223" s="636">
        <v>48535</v>
      </c>
      <c r="N223" s="637">
        <f t="shared" si="89"/>
        <v>630955</v>
      </c>
      <c r="O223" s="638">
        <v>13</v>
      </c>
      <c r="P223" s="638">
        <v>48340</v>
      </c>
      <c r="Q223" s="635">
        <f t="shared" si="90"/>
        <v>628420</v>
      </c>
      <c r="R223" s="636">
        <v>8</v>
      </c>
      <c r="S223" s="636">
        <v>41115</v>
      </c>
      <c r="T223" s="637">
        <f t="shared" si="91"/>
        <v>328920</v>
      </c>
      <c r="U223" s="639">
        <v>6</v>
      </c>
      <c r="V223" s="639">
        <v>41466</v>
      </c>
      <c r="W223" s="635">
        <f t="shared" si="92"/>
        <v>248796</v>
      </c>
      <c r="X223" s="636">
        <v>21</v>
      </c>
      <c r="Y223" s="636">
        <v>39899</v>
      </c>
      <c r="Z223" s="637">
        <f t="shared" si="93"/>
        <v>837879</v>
      </c>
      <c r="AA223" s="638">
        <v>24</v>
      </c>
      <c r="AB223" s="638">
        <v>39905</v>
      </c>
      <c r="AC223" s="635">
        <f t="shared" si="94"/>
        <v>957720</v>
      </c>
      <c r="AD223" s="636">
        <v>0</v>
      </c>
      <c r="AE223" s="636">
        <v>0</v>
      </c>
      <c r="AF223" s="637">
        <f t="shared" si="95"/>
        <v>0</v>
      </c>
      <c r="AG223" s="638">
        <v>0</v>
      </c>
      <c r="AH223" s="638">
        <v>0</v>
      </c>
      <c r="AI223" s="635">
        <f t="shared" si="96"/>
        <v>0</v>
      </c>
      <c r="AJ223" s="636"/>
      <c r="AK223" s="636"/>
      <c r="AL223" s="637">
        <f t="shared" si="97"/>
        <v>0</v>
      </c>
      <c r="AM223" s="638">
        <v>0</v>
      </c>
      <c r="AN223" s="638">
        <v>0</v>
      </c>
      <c r="AO223" s="640">
        <f t="shared" si="98"/>
        <v>0</v>
      </c>
      <c r="AP223" s="636">
        <v>1</v>
      </c>
      <c r="AQ223" s="636">
        <v>69473</v>
      </c>
      <c r="AR223" s="637">
        <f t="shared" si="99"/>
        <v>56842.808600000004</v>
      </c>
      <c r="AS223" s="638">
        <v>2</v>
      </c>
      <c r="AT223" s="638">
        <v>74411</v>
      </c>
      <c r="AU223" s="635">
        <f t="shared" si="100"/>
        <v>121766.16040000001</v>
      </c>
      <c r="AV223" s="636">
        <v>3</v>
      </c>
      <c r="AW223" s="636">
        <v>72783</v>
      </c>
      <c r="AX223" s="637">
        <f t="shared" si="101"/>
        <v>178653.15180000002</v>
      </c>
      <c r="AY223" s="638">
        <v>4</v>
      </c>
      <c r="AZ223" s="638">
        <v>66135</v>
      </c>
      <c r="BA223" s="635">
        <f t="shared" si="102"/>
        <v>216446.628</v>
      </c>
      <c r="BB223" s="636">
        <v>2</v>
      </c>
      <c r="BC223" s="636">
        <v>58770</v>
      </c>
      <c r="BD223" s="637">
        <f t="shared" si="103"/>
        <v>96171.228000000003</v>
      </c>
      <c r="BE223" s="638">
        <v>0</v>
      </c>
      <c r="BF223" s="638">
        <v>0</v>
      </c>
      <c r="BG223" s="635">
        <f t="shared" si="104"/>
        <v>0</v>
      </c>
      <c r="BH223" s="636">
        <v>3</v>
      </c>
      <c r="BI223" s="636">
        <v>49867</v>
      </c>
      <c r="BJ223" s="637">
        <f t="shared" si="105"/>
        <v>122403.53820000001</v>
      </c>
      <c r="BK223" s="638">
        <v>3</v>
      </c>
      <c r="BL223" s="638">
        <v>49867</v>
      </c>
      <c r="BM223" s="635">
        <f t="shared" si="106"/>
        <v>122403.53820000001</v>
      </c>
      <c r="BN223" s="636">
        <v>0</v>
      </c>
      <c r="BO223" s="636">
        <v>0</v>
      </c>
      <c r="BP223" s="637">
        <f t="shared" si="107"/>
        <v>0</v>
      </c>
      <c r="BQ223" s="638">
        <v>0</v>
      </c>
      <c r="BR223" s="638">
        <v>0</v>
      </c>
      <c r="BS223" s="635">
        <f t="shared" si="108"/>
        <v>0</v>
      </c>
      <c r="BT223" s="636"/>
      <c r="BU223" s="636"/>
      <c r="BV223" s="637">
        <f t="shared" si="109"/>
        <v>0</v>
      </c>
      <c r="BW223" s="638">
        <v>0</v>
      </c>
      <c r="BX223" s="638">
        <v>0</v>
      </c>
      <c r="BY223" s="641">
        <f t="shared" si="110"/>
        <v>0</v>
      </c>
    </row>
    <row r="224" spans="1:77" x14ac:dyDescent="0.2">
      <c r="A224" s="322" t="s">
        <v>76</v>
      </c>
      <c r="B224" s="325" t="s">
        <v>493</v>
      </c>
      <c r="C224" s="326"/>
      <c r="D224" s="306">
        <v>434061</v>
      </c>
      <c r="E224" s="629">
        <v>9</v>
      </c>
      <c r="F224" s="631"/>
      <c r="G224" s="632"/>
      <c r="H224" s="633">
        <f t="shared" si="87"/>
        <v>0</v>
      </c>
      <c r="I224" s="634">
        <v>0</v>
      </c>
      <c r="J224" s="634">
        <v>0</v>
      </c>
      <c r="K224" s="635">
        <f t="shared" si="88"/>
        <v>0</v>
      </c>
      <c r="L224" s="636">
        <v>0</v>
      </c>
      <c r="M224" s="636">
        <v>0</v>
      </c>
      <c r="N224" s="637">
        <f t="shared" si="89"/>
        <v>0</v>
      </c>
      <c r="O224" s="638">
        <v>0</v>
      </c>
      <c r="P224" s="638">
        <v>0</v>
      </c>
      <c r="Q224" s="635">
        <f t="shared" si="90"/>
        <v>0</v>
      </c>
      <c r="R224" s="636">
        <v>5</v>
      </c>
      <c r="S224" s="636">
        <v>47821</v>
      </c>
      <c r="T224" s="637">
        <f t="shared" si="91"/>
        <v>239105</v>
      </c>
      <c r="U224" s="639">
        <v>4</v>
      </c>
      <c r="V224" s="639">
        <v>49697</v>
      </c>
      <c r="W224" s="635">
        <f t="shared" si="92"/>
        <v>198788</v>
      </c>
      <c r="X224" s="636">
        <v>41</v>
      </c>
      <c r="Y224" s="636">
        <v>36328</v>
      </c>
      <c r="Z224" s="637">
        <f t="shared" si="93"/>
        <v>1489448</v>
      </c>
      <c r="AA224" s="638">
        <v>54</v>
      </c>
      <c r="AB224" s="638">
        <v>36784</v>
      </c>
      <c r="AC224" s="635">
        <f t="shared" si="94"/>
        <v>1986336</v>
      </c>
      <c r="AD224" s="636">
        <v>0</v>
      </c>
      <c r="AE224" s="636">
        <v>0</v>
      </c>
      <c r="AF224" s="637">
        <f t="shared" si="95"/>
        <v>0</v>
      </c>
      <c r="AG224" s="638">
        <v>0</v>
      </c>
      <c r="AH224" s="638">
        <v>0</v>
      </c>
      <c r="AI224" s="635">
        <f t="shared" si="96"/>
        <v>0</v>
      </c>
      <c r="AJ224" s="636"/>
      <c r="AK224" s="636"/>
      <c r="AL224" s="637">
        <f t="shared" si="97"/>
        <v>0</v>
      </c>
      <c r="AM224" s="638">
        <v>0</v>
      </c>
      <c r="AN224" s="638">
        <v>0</v>
      </c>
      <c r="AO224" s="640">
        <f t="shared" si="98"/>
        <v>0</v>
      </c>
      <c r="AP224" s="636"/>
      <c r="AQ224" s="636"/>
      <c r="AR224" s="637">
        <f t="shared" si="99"/>
        <v>0</v>
      </c>
      <c r="AS224" s="638">
        <v>0</v>
      </c>
      <c r="AT224" s="638">
        <v>0</v>
      </c>
      <c r="AU224" s="635">
        <f t="shared" si="100"/>
        <v>0</v>
      </c>
      <c r="AV224" s="636">
        <v>0</v>
      </c>
      <c r="AW224" s="636">
        <v>0</v>
      </c>
      <c r="AX224" s="637">
        <f t="shared" si="101"/>
        <v>0</v>
      </c>
      <c r="AY224" s="638">
        <v>0</v>
      </c>
      <c r="AZ224" s="638">
        <v>0</v>
      </c>
      <c r="BA224" s="635">
        <f t="shared" si="102"/>
        <v>0</v>
      </c>
      <c r="BB224" s="636">
        <v>0</v>
      </c>
      <c r="BC224" s="636">
        <v>0</v>
      </c>
      <c r="BD224" s="637">
        <f t="shared" si="103"/>
        <v>0</v>
      </c>
      <c r="BE224" s="638">
        <v>0</v>
      </c>
      <c r="BF224" s="638">
        <v>0</v>
      </c>
      <c r="BG224" s="635">
        <f t="shared" si="104"/>
        <v>0</v>
      </c>
      <c r="BH224" s="636">
        <v>0</v>
      </c>
      <c r="BI224" s="636">
        <v>0</v>
      </c>
      <c r="BJ224" s="637">
        <f t="shared" si="105"/>
        <v>0</v>
      </c>
      <c r="BK224" s="638">
        <v>0</v>
      </c>
      <c r="BL224" s="638">
        <v>0</v>
      </c>
      <c r="BM224" s="635">
        <f t="shared" si="106"/>
        <v>0</v>
      </c>
      <c r="BN224" s="636">
        <v>0</v>
      </c>
      <c r="BO224" s="636">
        <v>0</v>
      </c>
      <c r="BP224" s="637">
        <f t="shared" si="107"/>
        <v>0</v>
      </c>
      <c r="BQ224" s="638">
        <v>0</v>
      </c>
      <c r="BR224" s="638">
        <v>0</v>
      </c>
      <c r="BS224" s="635">
        <f t="shared" si="108"/>
        <v>0</v>
      </c>
      <c r="BT224" s="636"/>
      <c r="BU224" s="636"/>
      <c r="BV224" s="637">
        <f t="shared" si="109"/>
        <v>0</v>
      </c>
      <c r="BW224" s="638">
        <v>0</v>
      </c>
      <c r="BX224" s="638">
        <v>0</v>
      </c>
      <c r="BY224" s="641">
        <f t="shared" si="110"/>
        <v>0</v>
      </c>
    </row>
    <row r="225" spans="1:77" x14ac:dyDescent="0.2">
      <c r="A225" s="331" t="s">
        <v>76</v>
      </c>
      <c r="B225" s="325" t="s">
        <v>494</v>
      </c>
      <c r="C225" s="324" t="s">
        <v>391</v>
      </c>
      <c r="D225" s="306">
        <v>440624</v>
      </c>
      <c r="E225" s="327">
        <v>10</v>
      </c>
      <c r="F225" s="631">
        <v>1</v>
      </c>
      <c r="G225" s="632">
        <v>40000</v>
      </c>
      <c r="H225" s="633">
        <f t="shared" si="87"/>
        <v>40000</v>
      </c>
      <c r="I225" s="634">
        <v>1</v>
      </c>
      <c r="J225" s="634">
        <v>40000</v>
      </c>
      <c r="K225" s="635">
        <f t="shared" si="88"/>
        <v>40000</v>
      </c>
      <c r="L225" s="636">
        <v>9</v>
      </c>
      <c r="M225" s="636">
        <v>43879</v>
      </c>
      <c r="N225" s="637">
        <f t="shared" si="89"/>
        <v>394911</v>
      </c>
      <c r="O225" s="638">
        <v>10</v>
      </c>
      <c r="P225" s="638">
        <v>43704</v>
      </c>
      <c r="Q225" s="635">
        <f t="shared" si="90"/>
        <v>437040</v>
      </c>
      <c r="R225" s="636">
        <v>11</v>
      </c>
      <c r="S225" s="636">
        <v>44348</v>
      </c>
      <c r="T225" s="637">
        <f t="shared" si="91"/>
        <v>487828</v>
      </c>
      <c r="U225" s="639">
        <v>12</v>
      </c>
      <c r="V225" s="639">
        <v>44501</v>
      </c>
      <c r="W225" s="635">
        <f t="shared" si="92"/>
        <v>534012</v>
      </c>
      <c r="X225" s="636">
        <v>15</v>
      </c>
      <c r="Y225" s="636">
        <v>35874</v>
      </c>
      <c r="Z225" s="637">
        <f t="shared" si="93"/>
        <v>538110</v>
      </c>
      <c r="AA225" s="638">
        <v>20</v>
      </c>
      <c r="AB225" s="638">
        <v>35704</v>
      </c>
      <c r="AC225" s="635">
        <f t="shared" si="94"/>
        <v>714080</v>
      </c>
      <c r="AD225" s="636">
        <v>0</v>
      </c>
      <c r="AE225" s="636">
        <v>0</v>
      </c>
      <c r="AF225" s="637">
        <f t="shared" si="95"/>
        <v>0</v>
      </c>
      <c r="AG225" s="638">
        <v>0</v>
      </c>
      <c r="AH225" s="638">
        <v>0</v>
      </c>
      <c r="AI225" s="635">
        <f t="shared" si="96"/>
        <v>0</v>
      </c>
      <c r="AJ225" s="636"/>
      <c r="AK225" s="636"/>
      <c r="AL225" s="637">
        <f t="shared" si="97"/>
        <v>0</v>
      </c>
      <c r="AM225" s="638">
        <v>0</v>
      </c>
      <c r="AN225" s="638">
        <v>0</v>
      </c>
      <c r="AO225" s="640">
        <f t="shared" si="98"/>
        <v>0</v>
      </c>
      <c r="AP225" s="636">
        <v>3</v>
      </c>
      <c r="AQ225" s="636">
        <v>59546</v>
      </c>
      <c r="AR225" s="637">
        <f t="shared" si="99"/>
        <v>146161.6116</v>
      </c>
      <c r="AS225" s="638">
        <v>3</v>
      </c>
      <c r="AT225" s="638">
        <v>59546</v>
      </c>
      <c r="AU225" s="635">
        <f t="shared" si="100"/>
        <v>146161.6116</v>
      </c>
      <c r="AV225" s="636">
        <v>0</v>
      </c>
      <c r="AW225" s="636">
        <v>0</v>
      </c>
      <c r="AX225" s="637">
        <f t="shared" si="101"/>
        <v>0</v>
      </c>
      <c r="AY225" s="638">
        <v>0</v>
      </c>
      <c r="AZ225" s="638">
        <v>0</v>
      </c>
      <c r="BA225" s="635">
        <f t="shared" si="102"/>
        <v>0</v>
      </c>
      <c r="BB225" s="636">
        <v>1</v>
      </c>
      <c r="BC225" s="636">
        <v>55765</v>
      </c>
      <c r="BD225" s="637">
        <f t="shared" si="103"/>
        <v>45626.923000000003</v>
      </c>
      <c r="BE225" s="638">
        <v>1</v>
      </c>
      <c r="BF225" s="638">
        <v>55765</v>
      </c>
      <c r="BG225" s="635">
        <f t="shared" si="104"/>
        <v>45626.923000000003</v>
      </c>
      <c r="BH225" s="636">
        <v>12</v>
      </c>
      <c r="BI225" s="636">
        <v>46810</v>
      </c>
      <c r="BJ225" s="637">
        <f t="shared" si="105"/>
        <v>459599.304</v>
      </c>
      <c r="BK225" s="638">
        <v>12</v>
      </c>
      <c r="BL225" s="638">
        <v>46808</v>
      </c>
      <c r="BM225" s="635">
        <f t="shared" si="106"/>
        <v>459579.66720000003</v>
      </c>
      <c r="BN225" s="636">
        <v>0</v>
      </c>
      <c r="BO225" s="636">
        <v>0</v>
      </c>
      <c r="BP225" s="637">
        <f t="shared" si="107"/>
        <v>0</v>
      </c>
      <c r="BQ225" s="638">
        <v>0</v>
      </c>
      <c r="BR225" s="638">
        <v>0</v>
      </c>
      <c r="BS225" s="635">
        <f t="shared" si="108"/>
        <v>0</v>
      </c>
      <c r="BT225" s="636"/>
      <c r="BU225" s="636"/>
      <c r="BV225" s="637">
        <f t="shared" si="109"/>
        <v>0</v>
      </c>
      <c r="BW225" s="638">
        <v>0</v>
      </c>
      <c r="BX225" s="638">
        <v>0</v>
      </c>
      <c r="BY225" s="641">
        <f t="shared" si="110"/>
        <v>0</v>
      </c>
    </row>
    <row r="226" spans="1:77" x14ac:dyDescent="0.2">
      <c r="A226" s="322" t="s">
        <v>76</v>
      </c>
      <c r="B226" s="307" t="s">
        <v>495</v>
      </c>
      <c r="C226" s="308"/>
      <c r="D226" s="306">
        <v>158884</v>
      </c>
      <c r="E226" s="327">
        <v>10</v>
      </c>
      <c r="F226" s="631">
        <v>5</v>
      </c>
      <c r="G226" s="632">
        <v>54482</v>
      </c>
      <c r="H226" s="633">
        <f t="shared" si="87"/>
        <v>272410</v>
      </c>
      <c r="I226" s="634">
        <v>5</v>
      </c>
      <c r="J226" s="634">
        <v>52920</v>
      </c>
      <c r="K226" s="635">
        <f t="shared" si="88"/>
        <v>264600</v>
      </c>
      <c r="L226" s="636">
        <v>12</v>
      </c>
      <c r="M226" s="636">
        <v>49751</v>
      </c>
      <c r="N226" s="637">
        <f t="shared" si="89"/>
        <v>597012</v>
      </c>
      <c r="O226" s="638">
        <v>15</v>
      </c>
      <c r="P226" s="638">
        <v>48508</v>
      </c>
      <c r="Q226" s="635">
        <f t="shared" si="90"/>
        <v>727620</v>
      </c>
      <c r="R226" s="636">
        <v>10</v>
      </c>
      <c r="S226" s="636">
        <v>43110</v>
      </c>
      <c r="T226" s="637">
        <f t="shared" si="91"/>
        <v>431100</v>
      </c>
      <c r="U226" s="639">
        <v>6</v>
      </c>
      <c r="V226" s="639">
        <v>41550</v>
      </c>
      <c r="W226" s="635">
        <f t="shared" si="92"/>
        <v>249300</v>
      </c>
      <c r="X226" s="636">
        <v>13</v>
      </c>
      <c r="Y226" s="636">
        <v>44385</v>
      </c>
      <c r="Z226" s="637">
        <f t="shared" si="93"/>
        <v>577005</v>
      </c>
      <c r="AA226" s="638">
        <v>10</v>
      </c>
      <c r="AB226" s="638">
        <v>47700</v>
      </c>
      <c r="AC226" s="635">
        <f t="shared" si="94"/>
        <v>477000</v>
      </c>
      <c r="AD226" s="636">
        <v>0</v>
      </c>
      <c r="AE226" s="636">
        <v>0</v>
      </c>
      <c r="AF226" s="637">
        <f t="shared" si="95"/>
        <v>0</v>
      </c>
      <c r="AG226" s="638">
        <v>0</v>
      </c>
      <c r="AH226" s="638">
        <v>0</v>
      </c>
      <c r="AI226" s="635">
        <f t="shared" si="96"/>
        <v>0</v>
      </c>
      <c r="AJ226" s="636"/>
      <c r="AK226" s="636"/>
      <c r="AL226" s="637">
        <f t="shared" si="97"/>
        <v>0</v>
      </c>
      <c r="AM226" s="638">
        <v>0</v>
      </c>
      <c r="AN226" s="638">
        <v>0</v>
      </c>
      <c r="AO226" s="640">
        <f t="shared" si="98"/>
        <v>0</v>
      </c>
      <c r="AP226" s="636"/>
      <c r="AQ226" s="636"/>
      <c r="AR226" s="637">
        <f t="shared" si="99"/>
        <v>0</v>
      </c>
      <c r="AS226" s="638">
        <v>0</v>
      </c>
      <c r="AT226" s="638">
        <v>0</v>
      </c>
      <c r="AU226" s="635">
        <f t="shared" si="100"/>
        <v>0</v>
      </c>
      <c r="AV226" s="636">
        <v>0</v>
      </c>
      <c r="AW226" s="636">
        <v>0</v>
      </c>
      <c r="AX226" s="637">
        <f t="shared" si="101"/>
        <v>0</v>
      </c>
      <c r="AY226" s="638">
        <v>0</v>
      </c>
      <c r="AZ226" s="638">
        <v>0</v>
      </c>
      <c r="BA226" s="635">
        <f t="shared" si="102"/>
        <v>0</v>
      </c>
      <c r="BB226" s="636">
        <v>1</v>
      </c>
      <c r="BC226" s="636">
        <v>71000</v>
      </c>
      <c r="BD226" s="637">
        <f t="shared" si="103"/>
        <v>58092.200000000004</v>
      </c>
      <c r="BE226" s="638">
        <v>1</v>
      </c>
      <c r="BF226" s="638">
        <v>71000</v>
      </c>
      <c r="BG226" s="635">
        <f t="shared" si="104"/>
        <v>58092.200000000004</v>
      </c>
      <c r="BH226" s="636">
        <v>0</v>
      </c>
      <c r="BI226" s="636">
        <v>0</v>
      </c>
      <c r="BJ226" s="637">
        <f t="shared" si="105"/>
        <v>0</v>
      </c>
      <c r="BK226" s="638">
        <v>1</v>
      </c>
      <c r="BL226" s="638">
        <v>75000</v>
      </c>
      <c r="BM226" s="635">
        <f t="shared" si="106"/>
        <v>61365</v>
      </c>
      <c r="BN226" s="636">
        <v>0</v>
      </c>
      <c r="BO226" s="636">
        <v>0</v>
      </c>
      <c r="BP226" s="637">
        <f t="shared" si="107"/>
        <v>0</v>
      </c>
      <c r="BQ226" s="638">
        <v>0</v>
      </c>
      <c r="BR226" s="638">
        <v>0</v>
      </c>
      <c r="BS226" s="635">
        <f t="shared" si="108"/>
        <v>0</v>
      </c>
      <c r="BT226" s="636"/>
      <c r="BU226" s="636"/>
      <c r="BV226" s="637">
        <f t="shared" si="109"/>
        <v>0</v>
      </c>
      <c r="BW226" s="638">
        <v>0</v>
      </c>
      <c r="BX226" s="638">
        <v>0</v>
      </c>
      <c r="BY226" s="641">
        <f t="shared" si="110"/>
        <v>0</v>
      </c>
    </row>
    <row r="227" spans="1:77" x14ac:dyDescent="0.2">
      <c r="A227" s="331" t="s">
        <v>76</v>
      </c>
      <c r="B227" s="325" t="s">
        <v>496</v>
      </c>
      <c r="C227" s="326"/>
      <c r="D227" s="306">
        <v>436304</v>
      </c>
      <c r="E227" s="327">
        <v>10</v>
      </c>
      <c r="F227" s="631"/>
      <c r="G227" s="632"/>
      <c r="H227" s="633">
        <f t="shared" si="87"/>
        <v>0</v>
      </c>
      <c r="I227" s="634">
        <v>0</v>
      </c>
      <c r="J227" s="634">
        <v>0</v>
      </c>
      <c r="K227" s="635">
        <f t="shared" si="88"/>
        <v>0</v>
      </c>
      <c r="L227" s="636">
        <v>2</v>
      </c>
      <c r="M227" s="636">
        <v>52024</v>
      </c>
      <c r="N227" s="637">
        <f t="shared" si="89"/>
        <v>104048</v>
      </c>
      <c r="O227" s="638">
        <v>4</v>
      </c>
      <c r="P227" s="638">
        <v>48518</v>
      </c>
      <c r="Q227" s="635">
        <f t="shared" si="90"/>
        <v>194072</v>
      </c>
      <c r="R227" s="636">
        <v>11</v>
      </c>
      <c r="S227" s="636">
        <v>40693</v>
      </c>
      <c r="T227" s="637">
        <f t="shared" si="91"/>
        <v>447623</v>
      </c>
      <c r="U227" s="639">
        <v>14</v>
      </c>
      <c r="V227" s="639">
        <v>39327</v>
      </c>
      <c r="W227" s="635">
        <f t="shared" si="92"/>
        <v>550578</v>
      </c>
      <c r="X227" s="636">
        <v>16</v>
      </c>
      <c r="Y227" s="636">
        <v>29385</v>
      </c>
      <c r="Z227" s="637">
        <f t="shared" si="93"/>
        <v>470160</v>
      </c>
      <c r="AA227" s="638">
        <v>25</v>
      </c>
      <c r="AB227" s="638">
        <v>35679</v>
      </c>
      <c r="AC227" s="635">
        <f t="shared" si="94"/>
        <v>891975</v>
      </c>
      <c r="AD227" s="636">
        <v>0</v>
      </c>
      <c r="AE227" s="636">
        <v>0</v>
      </c>
      <c r="AF227" s="637">
        <f t="shared" si="95"/>
        <v>0</v>
      </c>
      <c r="AG227" s="638">
        <v>0</v>
      </c>
      <c r="AH227" s="638">
        <v>0</v>
      </c>
      <c r="AI227" s="635">
        <f t="shared" si="96"/>
        <v>0</v>
      </c>
      <c r="AJ227" s="636"/>
      <c r="AK227" s="636"/>
      <c r="AL227" s="637">
        <f t="shared" si="97"/>
        <v>0</v>
      </c>
      <c r="AM227" s="638">
        <v>0</v>
      </c>
      <c r="AN227" s="638">
        <v>0</v>
      </c>
      <c r="AO227" s="640">
        <f t="shared" si="98"/>
        <v>0</v>
      </c>
      <c r="AP227" s="636"/>
      <c r="AQ227" s="636"/>
      <c r="AR227" s="637">
        <f t="shared" si="99"/>
        <v>0</v>
      </c>
      <c r="AS227" s="638">
        <v>0</v>
      </c>
      <c r="AT227" s="638">
        <v>0</v>
      </c>
      <c r="AU227" s="635">
        <f t="shared" si="100"/>
        <v>0</v>
      </c>
      <c r="AV227" s="636">
        <v>0</v>
      </c>
      <c r="AW227" s="636">
        <v>0</v>
      </c>
      <c r="AX227" s="637">
        <f t="shared" si="101"/>
        <v>0</v>
      </c>
      <c r="AY227" s="638">
        <v>1</v>
      </c>
      <c r="AZ227" s="638">
        <v>49409</v>
      </c>
      <c r="BA227" s="635">
        <f t="shared" si="102"/>
        <v>40426.443800000001</v>
      </c>
      <c r="BB227" s="636">
        <v>0</v>
      </c>
      <c r="BC227" s="636">
        <v>0</v>
      </c>
      <c r="BD227" s="637">
        <f t="shared" si="103"/>
        <v>0</v>
      </c>
      <c r="BE227" s="638">
        <v>1</v>
      </c>
      <c r="BF227" s="638">
        <v>55000</v>
      </c>
      <c r="BG227" s="635">
        <f t="shared" si="104"/>
        <v>45001</v>
      </c>
      <c r="BH227" s="636">
        <v>1</v>
      </c>
      <c r="BI227" s="636">
        <v>55000</v>
      </c>
      <c r="BJ227" s="637">
        <f t="shared" si="105"/>
        <v>45001</v>
      </c>
      <c r="BK227" s="638">
        <v>3</v>
      </c>
      <c r="BL227" s="638">
        <v>48698</v>
      </c>
      <c r="BM227" s="635">
        <f t="shared" si="106"/>
        <v>119534.11080000001</v>
      </c>
      <c r="BN227" s="636">
        <v>0</v>
      </c>
      <c r="BO227" s="636">
        <v>0</v>
      </c>
      <c r="BP227" s="637">
        <f t="shared" si="107"/>
        <v>0</v>
      </c>
      <c r="BQ227" s="638">
        <v>0</v>
      </c>
      <c r="BR227" s="638">
        <v>0</v>
      </c>
      <c r="BS227" s="635">
        <f t="shared" si="108"/>
        <v>0</v>
      </c>
      <c r="BT227" s="636"/>
      <c r="BU227" s="636"/>
      <c r="BV227" s="637">
        <f t="shared" si="109"/>
        <v>0</v>
      </c>
      <c r="BW227" s="638">
        <v>0</v>
      </c>
      <c r="BX227" s="638">
        <v>0</v>
      </c>
      <c r="BY227" s="641">
        <f t="shared" si="110"/>
        <v>0</v>
      </c>
    </row>
    <row r="228" spans="1:77" x14ac:dyDescent="0.2">
      <c r="A228" s="332" t="s">
        <v>76</v>
      </c>
      <c r="B228" s="329" t="s">
        <v>497</v>
      </c>
      <c r="C228" s="324" t="s">
        <v>391</v>
      </c>
      <c r="D228" s="333">
        <v>160649</v>
      </c>
      <c r="E228" s="327">
        <v>10</v>
      </c>
      <c r="F228" s="631">
        <v>4</v>
      </c>
      <c r="G228" s="632">
        <v>58234</v>
      </c>
      <c r="H228" s="633">
        <f t="shared" si="87"/>
        <v>232936</v>
      </c>
      <c r="I228" s="634">
        <v>5</v>
      </c>
      <c r="J228" s="634">
        <v>47795</v>
      </c>
      <c r="K228" s="635">
        <f t="shared" si="88"/>
        <v>238975</v>
      </c>
      <c r="L228" s="636">
        <v>17</v>
      </c>
      <c r="M228" s="636">
        <v>46559</v>
      </c>
      <c r="N228" s="637">
        <f t="shared" si="89"/>
        <v>791503</v>
      </c>
      <c r="O228" s="638">
        <v>15</v>
      </c>
      <c r="P228" s="638">
        <v>45888</v>
      </c>
      <c r="Q228" s="635">
        <f t="shared" si="90"/>
        <v>688320</v>
      </c>
      <c r="R228" s="636">
        <v>25</v>
      </c>
      <c r="S228" s="636">
        <v>42548</v>
      </c>
      <c r="T228" s="637">
        <f t="shared" si="91"/>
        <v>1063700</v>
      </c>
      <c r="U228" s="639">
        <v>26</v>
      </c>
      <c r="V228" s="639">
        <v>43489</v>
      </c>
      <c r="W228" s="635">
        <f t="shared" si="92"/>
        <v>1130714</v>
      </c>
      <c r="X228" s="636">
        <v>13</v>
      </c>
      <c r="Y228" s="636">
        <v>41377</v>
      </c>
      <c r="Z228" s="637">
        <f t="shared" si="93"/>
        <v>537901</v>
      </c>
      <c r="AA228" s="638">
        <v>12</v>
      </c>
      <c r="AB228" s="638">
        <v>39626</v>
      </c>
      <c r="AC228" s="635">
        <f t="shared" si="94"/>
        <v>475512</v>
      </c>
      <c r="AD228" s="636">
        <v>0</v>
      </c>
      <c r="AE228" s="636">
        <v>0</v>
      </c>
      <c r="AF228" s="637">
        <f t="shared" si="95"/>
        <v>0</v>
      </c>
      <c r="AG228" s="638">
        <v>0</v>
      </c>
      <c r="AH228" s="638">
        <v>0</v>
      </c>
      <c r="AI228" s="635">
        <f t="shared" si="96"/>
        <v>0</v>
      </c>
      <c r="AJ228" s="636"/>
      <c r="AK228" s="636"/>
      <c r="AL228" s="637">
        <f t="shared" si="97"/>
        <v>0</v>
      </c>
      <c r="AM228" s="638">
        <v>0</v>
      </c>
      <c r="AN228" s="638">
        <v>0</v>
      </c>
      <c r="AO228" s="640">
        <f t="shared" si="98"/>
        <v>0</v>
      </c>
      <c r="AP228" s="636"/>
      <c r="AQ228" s="636"/>
      <c r="AR228" s="637">
        <f t="shared" si="99"/>
        <v>0</v>
      </c>
      <c r="AS228" s="638">
        <v>0</v>
      </c>
      <c r="AT228" s="638">
        <v>0</v>
      </c>
      <c r="AU228" s="635">
        <f t="shared" si="100"/>
        <v>0</v>
      </c>
      <c r="AV228" s="636">
        <v>3</v>
      </c>
      <c r="AW228" s="636">
        <v>90484</v>
      </c>
      <c r="AX228" s="637">
        <f t="shared" si="101"/>
        <v>222102.0264</v>
      </c>
      <c r="AY228" s="638">
        <v>1</v>
      </c>
      <c r="AZ228" s="638">
        <v>85764</v>
      </c>
      <c r="BA228" s="635">
        <f t="shared" si="102"/>
        <v>70172.104800000001</v>
      </c>
      <c r="BB228" s="636">
        <v>8</v>
      </c>
      <c r="BC228" s="636">
        <v>55780</v>
      </c>
      <c r="BD228" s="637">
        <f t="shared" si="103"/>
        <v>365113.56800000003</v>
      </c>
      <c r="BE228" s="638">
        <v>9</v>
      </c>
      <c r="BF228" s="638">
        <v>55945</v>
      </c>
      <c r="BG228" s="635">
        <f t="shared" si="104"/>
        <v>411967.79100000003</v>
      </c>
      <c r="BH228" s="636">
        <v>17</v>
      </c>
      <c r="BI228" s="636">
        <v>42474</v>
      </c>
      <c r="BJ228" s="637">
        <f t="shared" si="105"/>
        <v>590787.85560000001</v>
      </c>
      <c r="BK228" s="638">
        <v>24</v>
      </c>
      <c r="BL228" s="638">
        <v>40001</v>
      </c>
      <c r="BM228" s="635">
        <f t="shared" si="106"/>
        <v>785491.63680000009</v>
      </c>
      <c r="BN228" s="636">
        <v>0</v>
      </c>
      <c r="BO228" s="636">
        <v>0</v>
      </c>
      <c r="BP228" s="637">
        <f t="shared" si="107"/>
        <v>0</v>
      </c>
      <c r="BQ228" s="638">
        <v>0</v>
      </c>
      <c r="BR228" s="638">
        <v>0</v>
      </c>
      <c r="BS228" s="635">
        <f t="shared" si="108"/>
        <v>0</v>
      </c>
      <c r="BT228" s="636"/>
      <c r="BU228" s="636"/>
      <c r="BV228" s="637">
        <f t="shared" si="109"/>
        <v>0</v>
      </c>
      <c r="BW228" s="638">
        <v>0</v>
      </c>
      <c r="BX228" s="638">
        <v>0</v>
      </c>
      <c r="BY228" s="641">
        <f t="shared" si="110"/>
        <v>0</v>
      </c>
    </row>
    <row r="229" spans="1:77" x14ac:dyDescent="0.2">
      <c r="A229" s="328" t="s">
        <v>76</v>
      </c>
      <c r="B229" s="334" t="s">
        <v>498</v>
      </c>
      <c r="C229" s="335"/>
      <c r="D229" s="336">
        <v>159443</v>
      </c>
      <c r="E229" s="327">
        <v>12</v>
      </c>
      <c r="F229" s="631"/>
      <c r="G229" s="632"/>
      <c r="H229" s="633">
        <f t="shared" si="87"/>
        <v>0</v>
      </c>
      <c r="I229" s="642">
        <v>1</v>
      </c>
      <c r="J229" s="642">
        <v>54040</v>
      </c>
      <c r="K229" s="635">
        <f t="shared" si="88"/>
        <v>54040</v>
      </c>
      <c r="L229" s="636"/>
      <c r="M229" s="636"/>
      <c r="N229" s="637">
        <f t="shared" si="89"/>
        <v>0</v>
      </c>
      <c r="O229" s="638">
        <v>0</v>
      </c>
      <c r="P229" s="638">
        <v>0</v>
      </c>
      <c r="Q229" s="635">
        <f t="shared" si="90"/>
        <v>0</v>
      </c>
      <c r="R229" s="636"/>
      <c r="S229" s="636"/>
      <c r="T229" s="637">
        <f t="shared" si="91"/>
        <v>0</v>
      </c>
      <c r="U229" s="643">
        <v>1</v>
      </c>
      <c r="V229" s="643">
        <v>42205</v>
      </c>
      <c r="W229" s="635">
        <f t="shared" si="92"/>
        <v>42205</v>
      </c>
      <c r="X229" s="636"/>
      <c r="Y229" s="636"/>
      <c r="Z229" s="637">
        <f t="shared" si="93"/>
        <v>0</v>
      </c>
      <c r="AA229" s="644">
        <v>19</v>
      </c>
      <c r="AB229" s="644">
        <v>33339</v>
      </c>
      <c r="AC229" s="635">
        <f t="shared" si="94"/>
        <v>633441</v>
      </c>
      <c r="AD229" s="636"/>
      <c r="AE229" s="636"/>
      <c r="AF229" s="637">
        <f t="shared" si="95"/>
        <v>0</v>
      </c>
      <c r="AG229" s="638">
        <v>0</v>
      </c>
      <c r="AH229" s="638">
        <v>0</v>
      </c>
      <c r="AI229" s="635">
        <f t="shared" si="96"/>
        <v>0</v>
      </c>
      <c r="AJ229" s="636"/>
      <c r="AK229" s="636"/>
      <c r="AL229" s="637">
        <f t="shared" si="97"/>
        <v>0</v>
      </c>
      <c r="AM229" s="638">
        <v>0</v>
      </c>
      <c r="AN229" s="638">
        <v>0</v>
      </c>
      <c r="AO229" s="640">
        <f t="shared" si="98"/>
        <v>0</v>
      </c>
      <c r="AP229" s="636"/>
      <c r="AQ229" s="636"/>
      <c r="AR229" s="637">
        <f t="shared" si="99"/>
        <v>0</v>
      </c>
      <c r="AS229" s="644">
        <v>30</v>
      </c>
      <c r="AT229" s="644">
        <v>45899</v>
      </c>
      <c r="AU229" s="635">
        <f t="shared" si="100"/>
        <v>1126636.8540000001</v>
      </c>
      <c r="AV229" s="636"/>
      <c r="AW229" s="636"/>
      <c r="AX229" s="637">
        <f t="shared" si="101"/>
        <v>0</v>
      </c>
      <c r="AY229" s="644">
        <v>6</v>
      </c>
      <c r="AZ229" s="644">
        <v>48941</v>
      </c>
      <c r="BA229" s="635">
        <f t="shared" si="102"/>
        <v>240261.15720000002</v>
      </c>
      <c r="BB229" s="636"/>
      <c r="BC229" s="636"/>
      <c r="BD229" s="637">
        <f t="shared" si="103"/>
        <v>0</v>
      </c>
      <c r="BE229" s="644">
        <v>10</v>
      </c>
      <c r="BF229" s="644">
        <v>48910</v>
      </c>
      <c r="BG229" s="635">
        <f t="shared" si="104"/>
        <v>400181.62</v>
      </c>
      <c r="BH229" s="636"/>
      <c r="BI229" s="636"/>
      <c r="BJ229" s="637">
        <f t="shared" si="105"/>
        <v>0</v>
      </c>
      <c r="BK229" s="644">
        <v>62</v>
      </c>
      <c r="BL229" s="644">
        <v>44505</v>
      </c>
      <c r="BM229" s="635">
        <f t="shared" si="106"/>
        <v>2257667.4420000003</v>
      </c>
      <c r="BN229" s="636"/>
      <c r="BO229" s="636"/>
      <c r="BP229" s="637">
        <f t="shared" si="107"/>
        <v>0</v>
      </c>
      <c r="BQ229" s="638">
        <v>0</v>
      </c>
      <c r="BR229" s="638">
        <v>0</v>
      </c>
      <c r="BS229" s="635">
        <f t="shared" si="108"/>
        <v>0</v>
      </c>
      <c r="BT229" s="636"/>
      <c r="BU229" s="636"/>
      <c r="BV229" s="637">
        <f t="shared" si="109"/>
        <v>0</v>
      </c>
      <c r="BW229" s="638">
        <v>0</v>
      </c>
      <c r="BX229" s="638">
        <v>0</v>
      </c>
      <c r="BY229" s="641">
        <f t="shared" si="110"/>
        <v>0</v>
      </c>
    </row>
    <row r="230" spans="1:77" x14ac:dyDescent="0.2">
      <c r="A230" s="328" t="s">
        <v>76</v>
      </c>
      <c r="B230" s="334" t="s">
        <v>499</v>
      </c>
      <c r="C230" s="335"/>
      <c r="D230" s="336">
        <v>158352</v>
      </c>
      <c r="E230" s="327">
        <v>12</v>
      </c>
      <c r="F230" s="631"/>
      <c r="G230" s="632"/>
      <c r="H230" s="633">
        <f t="shared" si="87"/>
        <v>0</v>
      </c>
      <c r="I230" s="642"/>
      <c r="J230" s="642"/>
      <c r="K230" s="635">
        <f t="shared" si="88"/>
        <v>0</v>
      </c>
      <c r="L230" s="636"/>
      <c r="M230" s="636"/>
      <c r="N230" s="637">
        <f t="shared" si="89"/>
        <v>0</v>
      </c>
      <c r="O230" s="638">
        <v>0</v>
      </c>
      <c r="P230" s="638">
        <v>0</v>
      </c>
      <c r="Q230" s="635">
        <f t="shared" si="90"/>
        <v>0</v>
      </c>
      <c r="R230" s="636"/>
      <c r="S230" s="636"/>
      <c r="T230" s="637">
        <f t="shared" si="91"/>
        <v>0</v>
      </c>
      <c r="U230" s="639">
        <v>0</v>
      </c>
      <c r="V230" s="639">
        <v>0</v>
      </c>
      <c r="W230" s="635">
        <f t="shared" si="92"/>
        <v>0</v>
      </c>
      <c r="X230" s="636"/>
      <c r="Y230" s="636"/>
      <c r="Z230" s="637">
        <f t="shared" si="93"/>
        <v>0</v>
      </c>
      <c r="AA230" s="644">
        <v>2</v>
      </c>
      <c r="AB230" s="644">
        <v>35615</v>
      </c>
      <c r="AC230" s="635">
        <f t="shared" si="94"/>
        <v>71230</v>
      </c>
      <c r="AD230" s="636"/>
      <c r="AE230" s="636"/>
      <c r="AF230" s="637">
        <f t="shared" si="95"/>
        <v>0</v>
      </c>
      <c r="AG230" s="638">
        <v>0</v>
      </c>
      <c r="AH230" s="638">
        <v>0</v>
      </c>
      <c r="AI230" s="635">
        <f t="shared" si="96"/>
        <v>0</v>
      </c>
      <c r="AJ230" s="636"/>
      <c r="AK230" s="636"/>
      <c r="AL230" s="637">
        <f t="shared" si="97"/>
        <v>0</v>
      </c>
      <c r="AM230" s="638">
        <v>0</v>
      </c>
      <c r="AN230" s="638">
        <v>0</v>
      </c>
      <c r="AO230" s="640">
        <f t="shared" si="98"/>
        <v>0</v>
      </c>
      <c r="AP230" s="636"/>
      <c r="AQ230" s="636"/>
      <c r="AR230" s="637">
        <f t="shared" si="99"/>
        <v>0</v>
      </c>
      <c r="AS230" s="644">
        <v>1</v>
      </c>
      <c r="AT230" s="644">
        <v>56886</v>
      </c>
      <c r="AU230" s="635">
        <f t="shared" si="100"/>
        <v>46544.125200000002</v>
      </c>
      <c r="AV230" s="636"/>
      <c r="AW230" s="636"/>
      <c r="AX230" s="637">
        <f t="shared" si="101"/>
        <v>0</v>
      </c>
      <c r="AY230" s="644">
        <v>0</v>
      </c>
      <c r="AZ230" s="644">
        <v>0</v>
      </c>
      <c r="BA230" s="635">
        <f t="shared" si="102"/>
        <v>0</v>
      </c>
      <c r="BB230" s="636"/>
      <c r="BC230" s="636"/>
      <c r="BD230" s="637">
        <f t="shared" si="103"/>
        <v>0</v>
      </c>
      <c r="BE230" s="644">
        <v>6</v>
      </c>
      <c r="BF230" s="644">
        <v>54207</v>
      </c>
      <c r="BG230" s="635">
        <f t="shared" si="104"/>
        <v>266113.00440000003</v>
      </c>
      <c r="BH230" s="636"/>
      <c r="BI230" s="636"/>
      <c r="BJ230" s="637">
        <f t="shared" si="105"/>
        <v>0</v>
      </c>
      <c r="BK230" s="644">
        <v>60</v>
      </c>
      <c r="BL230" s="644">
        <v>49887</v>
      </c>
      <c r="BM230" s="635">
        <f t="shared" si="106"/>
        <v>2449052.6040000003</v>
      </c>
      <c r="BN230" s="636"/>
      <c r="BO230" s="636"/>
      <c r="BP230" s="637">
        <f t="shared" si="107"/>
        <v>0</v>
      </c>
      <c r="BQ230" s="638">
        <v>0</v>
      </c>
      <c r="BR230" s="638">
        <v>0</v>
      </c>
      <c r="BS230" s="635">
        <f t="shared" si="108"/>
        <v>0</v>
      </c>
      <c r="BT230" s="636"/>
      <c r="BU230" s="636"/>
      <c r="BV230" s="637">
        <f t="shared" si="109"/>
        <v>0</v>
      </c>
      <c r="BW230" s="638">
        <v>0</v>
      </c>
      <c r="BX230" s="638">
        <v>0</v>
      </c>
      <c r="BY230" s="641">
        <f t="shared" si="110"/>
        <v>0</v>
      </c>
    </row>
    <row r="231" spans="1:77" x14ac:dyDescent="0.2">
      <c r="A231" s="328" t="s">
        <v>76</v>
      </c>
      <c r="B231" s="334" t="s">
        <v>500</v>
      </c>
      <c r="C231" s="335"/>
      <c r="D231" s="336">
        <v>158088</v>
      </c>
      <c r="E231" s="327">
        <v>12</v>
      </c>
      <c r="F231" s="631"/>
      <c r="G231" s="632"/>
      <c r="H231" s="633">
        <f t="shared" si="87"/>
        <v>0</v>
      </c>
      <c r="I231" s="642">
        <v>1</v>
      </c>
      <c r="J231" s="642">
        <v>38324</v>
      </c>
      <c r="K231" s="635">
        <f t="shared" si="88"/>
        <v>38324</v>
      </c>
      <c r="L231" s="636"/>
      <c r="M231" s="636"/>
      <c r="N231" s="637">
        <f t="shared" si="89"/>
        <v>0</v>
      </c>
      <c r="O231" s="638">
        <v>2</v>
      </c>
      <c r="P231" s="638">
        <v>34852</v>
      </c>
      <c r="Q231" s="635">
        <f t="shared" si="90"/>
        <v>69704</v>
      </c>
      <c r="R231" s="636"/>
      <c r="S231" s="636"/>
      <c r="T231" s="637">
        <f t="shared" si="91"/>
        <v>0</v>
      </c>
      <c r="U231" s="639">
        <v>0</v>
      </c>
      <c r="V231" s="639">
        <v>0</v>
      </c>
      <c r="W231" s="635">
        <f t="shared" si="92"/>
        <v>0</v>
      </c>
      <c r="X231" s="636"/>
      <c r="Y231" s="636"/>
      <c r="Z231" s="637">
        <f t="shared" si="93"/>
        <v>0</v>
      </c>
      <c r="AA231" s="644">
        <v>32</v>
      </c>
      <c r="AB231" s="644">
        <v>34057</v>
      </c>
      <c r="AC231" s="635">
        <f t="shared" si="94"/>
        <v>1089824</v>
      </c>
      <c r="AD231" s="636"/>
      <c r="AE231" s="636"/>
      <c r="AF231" s="637">
        <f t="shared" si="95"/>
        <v>0</v>
      </c>
      <c r="AG231" s="638">
        <v>0</v>
      </c>
      <c r="AH231" s="638">
        <v>0</v>
      </c>
      <c r="AI231" s="635">
        <f t="shared" si="96"/>
        <v>0</v>
      </c>
      <c r="AJ231" s="636"/>
      <c r="AK231" s="636"/>
      <c r="AL231" s="637">
        <f t="shared" si="97"/>
        <v>0</v>
      </c>
      <c r="AM231" s="638">
        <v>0</v>
      </c>
      <c r="AN231" s="638">
        <v>0</v>
      </c>
      <c r="AO231" s="640">
        <f t="shared" si="98"/>
        <v>0</v>
      </c>
      <c r="AP231" s="636"/>
      <c r="AQ231" s="636"/>
      <c r="AR231" s="637">
        <f t="shared" si="99"/>
        <v>0</v>
      </c>
      <c r="AS231" s="644">
        <v>13</v>
      </c>
      <c r="AT231" s="644">
        <v>54053</v>
      </c>
      <c r="AU231" s="635">
        <f t="shared" si="100"/>
        <v>574940.1398</v>
      </c>
      <c r="AV231" s="636"/>
      <c r="AW231" s="636"/>
      <c r="AX231" s="637">
        <f t="shared" si="101"/>
        <v>0</v>
      </c>
      <c r="AY231" s="644">
        <v>0</v>
      </c>
      <c r="AZ231" s="644">
        <v>0</v>
      </c>
      <c r="BA231" s="635">
        <f t="shared" si="102"/>
        <v>0</v>
      </c>
      <c r="BB231" s="636"/>
      <c r="BC231" s="636"/>
      <c r="BD231" s="637">
        <f t="shared" si="103"/>
        <v>0</v>
      </c>
      <c r="BE231" s="644">
        <v>0</v>
      </c>
      <c r="BF231" s="644">
        <v>0</v>
      </c>
      <c r="BG231" s="635">
        <f t="shared" si="104"/>
        <v>0</v>
      </c>
      <c r="BH231" s="636"/>
      <c r="BI231" s="636"/>
      <c r="BJ231" s="637">
        <f t="shared" si="105"/>
        <v>0</v>
      </c>
      <c r="BK231" s="644">
        <v>36</v>
      </c>
      <c r="BL231" s="644">
        <v>47520</v>
      </c>
      <c r="BM231" s="635">
        <f t="shared" si="106"/>
        <v>1399711.1040000001</v>
      </c>
      <c r="BN231" s="636"/>
      <c r="BO231" s="636"/>
      <c r="BP231" s="637">
        <f t="shared" si="107"/>
        <v>0</v>
      </c>
      <c r="BQ231" s="638">
        <v>0</v>
      </c>
      <c r="BR231" s="638">
        <v>0</v>
      </c>
      <c r="BS231" s="635">
        <f t="shared" si="108"/>
        <v>0</v>
      </c>
      <c r="BT231" s="636"/>
      <c r="BU231" s="636"/>
      <c r="BV231" s="637">
        <f t="shared" si="109"/>
        <v>0</v>
      </c>
      <c r="BW231" s="638">
        <v>0</v>
      </c>
      <c r="BX231" s="638">
        <v>0</v>
      </c>
      <c r="BY231" s="641">
        <f t="shared" si="110"/>
        <v>0</v>
      </c>
    </row>
    <row r="232" spans="1:77" x14ac:dyDescent="0.2">
      <c r="A232" s="322" t="s">
        <v>76</v>
      </c>
      <c r="B232" s="307" t="s">
        <v>506</v>
      </c>
      <c r="C232" s="342" t="s">
        <v>520</v>
      </c>
      <c r="D232" s="306">
        <v>160481</v>
      </c>
      <c r="E232" s="630">
        <v>12</v>
      </c>
      <c r="F232" s="631"/>
      <c r="G232" s="632"/>
      <c r="H232" s="633">
        <f t="shared" si="87"/>
        <v>0</v>
      </c>
      <c r="I232" s="642"/>
      <c r="J232" s="642"/>
      <c r="K232" s="635">
        <f t="shared" si="88"/>
        <v>0</v>
      </c>
      <c r="L232" s="636">
        <v>0</v>
      </c>
      <c r="M232" s="636">
        <v>0</v>
      </c>
      <c r="N232" s="637">
        <f t="shared" si="89"/>
        <v>0</v>
      </c>
      <c r="O232" s="638">
        <v>0</v>
      </c>
      <c r="P232" s="638">
        <v>0</v>
      </c>
      <c r="Q232" s="635">
        <f t="shared" si="90"/>
        <v>0</v>
      </c>
      <c r="R232" s="636"/>
      <c r="S232" s="636"/>
      <c r="T232" s="637">
        <f t="shared" si="91"/>
        <v>0</v>
      </c>
      <c r="U232" s="639">
        <v>1</v>
      </c>
      <c r="V232" s="639">
        <v>38552</v>
      </c>
      <c r="W232" s="635">
        <f t="shared" si="92"/>
        <v>38552</v>
      </c>
      <c r="X232" s="636">
        <v>30</v>
      </c>
      <c r="Y232" s="636">
        <v>34661</v>
      </c>
      <c r="Z232" s="637">
        <f t="shared" si="93"/>
        <v>1039830</v>
      </c>
      <c r="AA232" s="638">
        <v>30</v>
      </c>
      <c r="AB232" s="638">
        <v>28194</v>
      </c>
      <c r="AC232" s="635">
        <f t="shared" si="94"/>
        <v>845820</v>
      </c>
      <c r="AD232" s="636">
        <v>5</v>
      </c>
      <c r="AE232" s="636">
        <v>26200</v>
      </c>
      <c r="AF232" s="637">
        <f t="shared" si="95"/>
        <v>131000</v>
      </c>
      <c r="AG232" s="638">
        <v>6</v>
      </c>
      <c r="AH232" s="638">
        <v>26333</v>
      </c>
      <c r="AI232" s="635">
        <f t="shared" si="96"/>
        <v>157998</v>
      </c>
      <c r="AJ232" s="636"/>
      <c r="AK232" s="636"/>
      <c r="AL232" s="637">
        <f t="shared" si="97"/>
        <v>0</v>
      </c>
      <c r="AM232" s="644"/>
      <c r="AN232" s="644"/>
      <c r="AO232" s="640">
        <f t="shared" si="98"/>
        <v>0</v>
      </c>
      <c r="AP232" s="636"/>
      <c r="AQ232" s="636"/>
      <c r="AR232" s="637">
        <f t="shared" si="99"/>
        <v>0</v>
      </c>
      <c r="AS232" s="644">
        <v>0</v>
      </c>
      <c r="AT232" s="644">
        <v>0</v>
      </c>
      <c r="AU232" s="635">
        <f t="shared" si="100"/>
        <v>0</v>
      </c>
      <c r="AV232" s="636">
        <v>0</v>
      </c>
      <c r="AW232" s="636">
        <v>0</v>
      </c>
      <c r="AX232" s="637">
        <f t="shared" si="101"/>
        <v>0</v>
      </c>
      <c r="AY232" s="644">
        <v>0</v>
      </c>
      <c r="AZ232" s="644">
        <v>0</v>
      </c>
      <c r="BA232" s="635">
        <f t="shared" si="102"/>
        <v>0</v>
      </c>
      <c r="BB232" s="636">
        <v>1</v>
      </c>
      <c r="BC232" s="636">
        <v>64872</v>
      </c>
      <c r="BD232" s="637">
        <f t="shared" si="103"/>
        <v>53078.270400000001</v>
      </c>
      <c r="BE232" s="638">
        <v>1</v>
      </c>
      <c r="BF232" s="638">
        <v>64872</v>
      </c>
      <c r="BG232" s="635">
        <f t="shared" si="104"/>
        <v>53078.270400000001</v>
      </c>
      <c r="BH232" s="636">
        <v>17</v>
      </c>
      <c r="BI232" s="636">
        <v>52147</v>
      </c>
      <c r="BJ232" s="637">
        <f t="shared" si="105"/>
        <v>725333.48180000007</v>
      </c>
      <c r="BK232" s="638">
        <v>19</v>
      </c>
      <c r="BL232" s="638">
        <v>52975</v>
      </c>
      <c r="BM232" s="635">
        <f t="shared" si="106"/>
        <v>823538.755</v>
      </c>
      <c r="BN232" s="636">
        <v>0</v>
      </c>
      <c r="BO232" s="636">
        <v>0</v>
      </c>
      <c r="BP232" s="637">
        <f t="shared" si="107"/>
        <v>0</v>
      </c>
      <c r="BQ232" s="638">
        <v>0</v>
      </c>
      <c r="BR232" s="638">
        <v>0</v>
      </c>
      <c r="BS232" s="635">
        <f t="shared" si="108"/>
        <v>0</v>
      </c>
      <c r="BT232" s="636"/>
      <c r="BU232" s="636"/>
      <c r="BV232" s="637">
        <f t="shared" si="109"/>
        <v>0</v>
      </c>
      <c r="BW232" s="638">
        <v>0</v>
      </c>
      <c r="BX232" s="638">
        <v>0</v>
      </c>
      <c r="BY232" s="641">
        <f t="shared" si="110"/>
        <v>0</v>
      </c>
    </row>
    <row r="233" spans="1:77" x14ac:dyDescent="0.2">
      <c r="A233" s="328" t="s">
        <v>76</v>
      </c>
      <c r="B233" s="334" t="s">
        <v>501</v>
      </c>
      <c r="C233" s="335"/>
      <c r="D233" s="336">
        <v>158769</v>
      </c>
      <c r="E233" s="327">
        <v>12</v>
      </c>
      <c r="F233" s="631"/>
      <c r="G233" s="632"/>
      <c r="H233" s="633">
        <f t="shared" si="87"/>
        <v>0</v>
      </c>
      <c r="I233" s="642"/>
      <c r="J233" s="642"/>
      <c r="K233" s="635">
        <f t="shared" si="88"/>
        <v>0</v>
      </c>
      <c r="L233" s="636"/>
      <c r="M233" s="636"/>
      <c r="N233" s="637">
        <f t="shared" si="89"/>
        <v>0</v>
      </c>
      <c r="O233" s="638">
        <v>0</v>
      </c>
      <c r="P233" s="638">
        <v>0</v>
      </c>
      <c r="Q233" s="635">
        <f t="shared" si="90"/>
        <v>0</v>
      </c>
      <c r="R233" s="636"/>
      <c r="S233" s="636"/>
      <c r="T233" s="637">
        <f t="shared" si="91"/>
        <v>0</v>
      </c>
      <c r="U233" s="639">
        <v>0</v>
      </c>
      <c r="V233" s="639">
        <v>0</v>
      </c>
      <c r="W233" s="635">
        <f t="shared" si="92"/>
        <v>0</v>
      </c>
      <c r="X233" s="636"/>
      <c r="Y233" s="636"/>
      <c r="Z233" s="637">
        <f t="shared" si="93"/>
        <v>0</v>
      </c>
      <c r="AA233" s="644">
        <v>6</v>
      </c>
      <c r="AB233" s="644">
        <v>32476</v>
      </c>
      <c r="AC233" s="635">
        <f t="shared" si="94"/>
        <v>194856</v>
      </c>
      <c r="AD233" s="636"/>
      <c r="AE233" s="636"/>
      <c r="AF233" s="637">
        <f t="shared" si="95"/>
        <v>0</v>
      </c>
      <c r="AG233" s="638">
        <v>0</v>
      </c>
      <c r="AH233" s="638">
        <v>0</v>
      </c>
      <c r="AI233" s="635">
        <f t="shared" si="96"/>
        <v>0</v>
      </c>
      <c r="AJ233" s="636"/>
      <c r="AK233" s="636"/>
      <c r="AL233" s="637">
        <f t="shared" si="97"/>
        <v>0</v>
      </c>
      <c r="AM233" s="638">
        <v>0</v>
      </c>
      <c r="AN233" s="638">
        <v>0</v>
      </c>
      <c r="AO233" s="640">
        <f t="shared" si="98"/>
        <v>0</v>
      </c>
      <c r="AP233" s="636"/>
      <c r="AQ233" s="636"/>
      <c r="AR233" s="637">
        <f t="shared" si="99"/>
        <v>0</v>
      </c>
      <c r="AS233" s="644">
        <v>8</v>
      </c>
      <c r="AT233" s="644">
        <v>57763</v>
      </c>
      <c r="AU233" s="635">
        <f t="shared" si="100"/>
        <v>378093.49280000001</v>
      </c>
      <c r="AV233" s="636"/>
      <c r="AW233" s="636"/>
      <c r="AX233" s="637">
        <f t="shared" si="101"/>
        <v>0</v>
      </c>
      <c r="AY233" s="644">
        <v>0</v>
      </c>
      <c r="AZ233" s="644">
        <v>0</v>
      </c>
      <c r="BA233" s="635">
        <f t="shared" si="102"/>
        <v>0</v>
      </c>
      <c r="BB233" s="636"/>
      <c r="BC233" s="636"/>
      <c r="BD233" s="637">
        <f t="shared" si="103"/>
        <v>0</v>
      </c>
      <c r="BE233" s="644">
        <v>1</v>
      </c>
      <c r="BF233" s="644">
        <v>46629</v>
      </c>
      <c r="BG233" s="635">
        <f t="shared" si="104"/>
        <v>38151.847800000003</v>
      </c>
      <c r="BH233" s="636"/>
      <c r="BI233" s="636"/>
      <c r="BJ233" s="637">
        <f t="shared" si="105"/>
        <v>0</v>
      </c>
      <c r="BK233" s="644">
        <v>34</v>
      </c>
      <c r="BL233" s="644">
        <v>47089</v>
      </c>
      <c r="BM233" s="635">
        <f t="shared" si="106"/>
        <v>1309959.4732000001</v>
      </c>
      <c r="BN233" s="636"/>
      <c r="BO233" s="636"/>
      <c r="BP233" s="637">
        <f t="shared" si="107"/>
        <v>0</v>
      </c>
      <c r="BQ233" s="638">
        <v>0</v>
      </c>
      <c r="BR233" s="638">
        <v>0</v>
      </c>
      <c r="BS233" s="635">
        <f t="shared" si="108"/>
        <v>0</v>
      </c>
      <c r="BT233" s="636"/>
      <c r="BU233" s="636"/>
      <c r="BV233" s="637">
        <f t="shared" si="109"/>
        <v>0</v>
      </c>
      <c r="BW233" s="638">
        <v>0</v>
      </c>
      <c r="BX233" s="638">
        <v>0</v>
      </c>
      <c r="BY233" s="641">
        <f t="shared" si="110"/>
        <v>0</v>
      </c>
    </row>
    <row r="234" spans="1:77" x14ac:dyDescent="0.2">
      <c r="A234" s="328" t="s">
        <v>76</v>
      </c>
      <c r="B234" s="334" t="s">
        <v>502</v>
      </c>
      <c r="C234" s="335"/>
      <c r="D234" s="336">
        <v>160667</v>
      </c>
      <c r="E234" s="327">
        <v>12</v>
      </c>
      <c r="F234" s="631"/>
      <c r="G234" s="632"/>
      <c r="H234" s="633">
        <f t="shared" si="87"/>
        <v>0</v>
      </c>
      <c r="I234" s="642">
        <v>1</v>
      </c>
      <c r="J234" s="642">
        <v>46966</v>
      </c>
      <c r="K234" s="635">
        <f t="shared" si="88"/>
        <v>46966</v>
      </c>
      <c r="L234" s="636"/>
      <c r="M234" s="636"/>
      <c r="N234" s="637">
        <f t="shared" si="89"/>
        <v>0</v>
      </c>
      <c r="O234" s="638">
        <v>3</v>
      </c>
      <c r="P234" s="638">
        <v>43341</v>
      </c>
      <c r="Q234" s="635">
        <f t="shared" si="90"/>
        <v>130023</v>
      </c>
      <c r="R234" s="636"/>
      <c r="S234" s="636"/>
      <c r="T234" s="637">
        <f t="shared" si="91"/>
        <v>0</v>
      </c>
      <c r="U234" s="643">
        <v>7</v>
      </c>
      <c r="V234" s="643">
        <v>39384</v>
      </c>
      <c r="W234" s="635">
        <f t="shared" si="92"/>
        <v>275688</v>
      </c>
      <c r="X234" s="636"/>
      <c r="Y234" s="636"/>
      <c r="Z234" s="637">
        <f t="shared" si="93"/>
        <v>0</v>
      </c>
      <c r="AA234" s="644">
        <v>33</v>
      </c>
      <c r="AB234" s="644">
        <v>36503</v>
      </c>
      <c r="AC234" s="635">
        <f t="shared" si="94"/>
        <v>1204599</v>
      </c>
      <c r="AD234" s="636"/>
      <c r="AE234" s="636"/>
      <c r="AF234" s="637">
        <f t="shared" si="95"/>
        <v>0</v>
      </c>
      <c r="AG234" s="638">
        <v>0</v>
      </c>
      <c r="AH234" s="638">
        <v>0</v>
      </c>
      <c r="AI234" s="635">
        <f t="shared" si="96"/>
        <v>0</v>
      </c>
      <c r="AJ234" s="636"/>
      <c r="AK234" s="636"/>
      <c r="AL234" s="637">
        <f t="shared" si="97"/>
        <v>0</v>
      </c>
      <c r="AM234" s="638">
        <v>0</v>
      </c>
      <c r="AN234" s="638">
        <v>0</v>
      </c>
      <c r="AO234" s="640">
        <f t="shared" si="98"/>
        <v>0</v>
      </c>
      <c r="AP234" s="636"/>
      <c r="AQ234" s="636"/>
      <c r="AR234" s="637">
        <f t="shared" si="99"/>
        <v>0</v>
      </c>
      <c r="AS234" s="644">
        <v>2</v>
      </c>
      <c r="AT234" s="644">
        <v>70481</v>
      </c>
      <c r="AU234" s="635">
        <f t="shared" si="100"/>
        <v>115335.10840000001</v>
      </c>
      <c r="AV234" s="636"/>
      <c r="AW234" s="636"/>
      <c r="AX234" s="637">
        <f t="shared" si="101"/>
        <v>0</v>
      </c>
      <c r="AY234" s="644">
        <v>2</v>
      </c>
      <c r="AZ234" s="644">
        <v>53472</v>
      </c>
      <c r="BA234" s="635">
        <f t="shared" si="102"/>
        <v>87501.580800000011</v>
      </c>
      <c r="BB234" s="636"/>
      <c r="BC234" s="636"/>
      <c r="BD234" s="637">
        <f t="shared" si="103"/>
        <v>0</v>
      </c>
      <c r="BE234" s="644">
        <v>2</v>
      </c>
      <c r="BF234" s="644">
        <v>49109</v>
      </c>
      <c r="BG234" s="635">
        <f t="shared" si="104"/>
        <v>80361.967600000004</v>
      </c>
      <c r="BH234" s="636"/>
      <c r="BI234" s="636"/>
      <c r="BJ234" s="637">
        <f t="shared" si="105"/>
        <v>0</v>
      </c>
      <c r="BK234" s="644">
        <v>16</v>
      </c>
      <c r="BL234" s="644">
        <v>45446</v>
      </c>
      <c r="BM234" s="635">
        <f t="shared" si="106"/>
        <v>594942.67520000006</v>
      </c>
      <c r="BN234" s="636"/>
      <c r="BO234" s="636"/>
      <c r="BP234" s="637">
        <f t="shared" si="107"/>
        <v>0</v>
      </c>
      <c r="BQ234" s="638">
        <v>0</v>
      </c>
      <c r="BR234" s="638">
        <v>0</v>
      </c>
      <c r="BS234" s="635">
        <f t="shared" si="108"/>
        <v>0</v>
      </c>
      <c r="BT234" s="636"/>
      <c r="BU234" s="636"/>
      <c r="BV234" s="637">
        <f t="shared" si="109"/>
        <v>0</v>
      </c>
      <c r="BW234" s="638">
        <v>0</v>
      </c>
      <c r="BX234" s="638">
        <v>0</v>
      </c>
      <c r="BY234" s="641">
        <f t="shared" si="110"/>
        <v>0</v>
      </c>
    </row>
    <row r="235" spans="1:77" x14ac:dyDescent="0.2">
      <c r="A235" s="328" t="s">
        <v>76</v>
      </c>
      <c r="B235" s="334" t="s">
        <v>503</v>
      </c>
      <c r="C235" s="487"/>
      <c r="D235" s="336">
        <v>160010</v>
      </c>
      <c r="E235" s="327">
        <v>12</v>
      </c>
      <c r="F235" s="631"/>
      <c r="G235" s="632"/>
      <c r="H235" s="633">
        <f t="shared" si="87"/>
        <v>0</v>
      </c>
      <c r="I235" s="642">
        <v>3</v>
      </c>
      <c r="J235" s="642">
        <v>45016</v>
      </c>
      <c r="K235" s="635">
        <f t="shared" si="88"/>
        <v>135048</v>
      </c>
      <c r="L235" s="636"/>
      <c r="M235" s="636"/>
      <c r="N235" s="637">
        <f t="shared" si="89"/>
        <v>0</v>
      </c>
      <c r="O235" s="638">
        <v>1</v>
      </c>
      <c r="P235" s="638">
        <v>36135</v>
      </c>
      <c r="Q235" s="635">
        <f t="shared" si="90"/>
        <v>36135</v>
      </c>
      <c r="R235" s="636"/>
      <c r="S235" s="636"/>
      <c r="T235" s="637">
        <f t="shared" si="91"/>
        <v>0</v>
      </c>
      <c r="U235" s="639">
        <v>0</v>
      </c>
      <c r="V235" s="639">
        <v>0</v>
      </c>
      <c r="W235" s="635">
        <f t="shared" si="92"/>
        <v>0</v>
      </c>
      <c r="X235" s="636"/>
      <c r="Y235" s="636"/>
      <c r="Z235" s="637">
        <f t="shared" si="93"/>
        <v>0</v>
      </c>
      <c r="AA235" s="644">
        <v>11</v>
      </c>
      <c r="AB235" s="644">
        <v>34339</v>
      </c>
      <c r="AC235" s="635">
        <f t="shared" si="94"/>
        <v>377729</v>
      </c>
      <c r="AD235" s="636"/>
      <c r="AE235" s="636"/>
      <c r="AF235" s="637">
        <f t="shared" si="95"/>
        <v>0</v>
      </c>
      <c r="AG235" s="638">
        <v>0</v>
      </c>
      <c r="AH235" s="638">
        <v>0</v>
      </c>
      <c r="AI235" s="635">
        <f t="shared" si="96"/>
        <v>0</v>
      </c>
      <c r="AJ235" s="636"/>
      <c r="AK235" s="636"/>
      <c r="AL235" s="637">
        <f t="shared" si="97"/>
        <v>0</v>
      </c>
      <c r="AM235" s="638">
        <v>0</v>
      </c>
      <c r="AN235" s="638">
        <v>0</v>
      </c>
      <c r="AO235" s="640">
        <f t="shared" si="98"/>
        <v>0</v>
      </c>
      <c r="AP235" s="636"/>
      <c r="AQ235" s="636"/>
      <c r="AR235" s="637">
        <f t="shared" si="99"/>
        <v>0</v>
      </c>
      <c r="AS235" s="644">
        <v>19</v>
      </c>
      <c r="AT235" s="644">
        <v>55025</v>
      </c>
      <c r="AU235" s="635">
        <f t="shared" si="100"/>
        <v>855407.64500000002</v>
      </c>
      <c r="AV235" s="636"/>
      <c r="AW235" s="636"/>
      <c r="AX235" s="637">
        <f t="shared" si="101"/>
        <v>0</v>
      </c>
      <c r="AY235" s="644">
        <v>3</v>
      </c>
      <c r="AZ235" s="644">
        <v>43544</v>
      </c>
      <c r="BA235" s="635">
        <f t="shared" si="102"/>
        <v>106883.1024</v>
      </c>
      <c r="BB235" s="636"/>
      <c r="BC235" s="636"/>
      <c r="BD235" s="637">
        <f t="shared" si="103"/>
        <v>0</v>
      </c>
      <c r="BE235" s="644">
        <v>4</v>
      </c>
      <c r="BF235" s="644">
        <v>51372</v>
      </c>
      <c r="BG235" s="635">
        <f t="shared" si="104"/>
        <v>168130.28160000002</v>
      </c>
      <c r="BH235" s="636"/>
      <c r="BI235" s="636"/>
      <c r="BJ235" s="637">
        <f t="shared" si="105"/>
        <v>0</v>
      </c>
      <c r="BK235" s="644">
        <v>58</v>
      </c>
      <c r="BL235" s="644">
        <v>40320</v>
      </c>
      <c r="BM235" s="635">
        <f t="shared" si="106"/>
        <v>1913409.7920000001</v>
      </c>
      <c r="BN235" s="636"/>
      <c r="BO235" s="636"/>
      <c r="BP235" s="637">
        <f t="shared" si="107"/>
        <v>0</v>
      </c>
      <c r="BQ235" s="638">
        <v>0</v>
      </c>
      <c r="BR235" s="638">
        <v>0</v>
      </c>
      <c r="BS235" s="635">
        <f t="shared" si="108"/>
        <v>0</v>
      </c>
      <c r="BT235" s="636"/>
      <c r="BU235" s="636"/>
      <c r="BV235" s="637">
        <f t="shared" si="109"/>
        <v>0</v>
      </c>
      <c r="BW235" s="638">
        <v>0</v>
      </c>
      <c r="BX235" s="638">
        <v>0</v>
      </c>
      <c r="BY235" s="641">
        <f t="shared" si="110"/>
        <v>0</v>
      </c>
    </row>
    <row r="236" spans="1:77" x14ac:dyDescent="0.2">
      <c r="A236" s="328" t="s">
        <v>76</v>
      </c>
      <c r="B236" s="334" t="s">
        <v>504</v>
      </c>
      <c r="C236" s="487"/>
      <c r="D236" s="336">
        <v>160913</v>
      </c>
      <c r="E236" s="327">
        <v>12</v>
      </c>
      <c r="F236" s="631"/>
      <c r="G236" s="632"/>
      <c r="H236" s="633">
        <f t="shared" si="87"/>
        <v>0</v>
      </c>
      <c r="I236" s="642"/>
      <c r="J236" s="642"/>
      <c r="K236" s="635">
        <f t="shared" si="88"/>
        <v>0</v>
      </c>
      <c r="L236" s="636"/>
      <c r="M236" s="636"/>
      <c r="N236" s="637">
        <f t="shared" si="89"/>
        <v>0</v>
      </c>
      <c r="O236" s="638">
        <v>0</v>
      </c>
      <c r="P236" s="638">
        <v>0</v>
      </c>
      <c r="Q236" s="635">
        <f t="shared" si="90"/>
        <v>0</v>
      </c>
      <c r="R236" s="636"/>
      <c r="S236" s="636"/>
      <c r="T236" s="637">
        <f t="shared" si="91"/>
        <v>0</v>
      </c>
      <c r="U236" s="639">
        <v>0</v>
      </c>
      <c r="V236" s="639">
        <v>0</v>
      </c>
      <c r="W236" s="635">
        <f t="shared" si="92"/>
        <v>0</v>
      </c>
      <c r="X236" s="636"/>
      <c r="Y236" s="636"/>
      <c r="Z236" s="637">
        <f t="shared" si="93"/>
        <v>0</v>
      </c>
      <c r="AA236" s="644">
        <v>5</v>
      </c>
      <c r="AB236" s="644">
        <v>35073</v>
      </c>
      <c r="AC236" s="635">
        <f t="shared" si="94"/>
        <v>175365</v>
      </c>
      <c r="AD236" s="636"/>
      <c r="AE236" s="636"/>
      <c r="AF236" s="637">
        <f t="shared" si="95"/>
        <v>0</v>
      </c>
      <c r="AG236" s="638">
        <v>0</v>
      </c>
      <c r="AH236" s="638">
        <v>0</v>
      </c>
      <c r="AI236" s="635">
        <f t="shared" si="96"/>
        <v>0</v>
      </c>
      <c r="AJ236" s="636"/>
      <c r="AK236" s="636"/>
      <c r="AL236" s="637">
        <f t="shared" si="97"/>
        <v>0</v>
      </c>
      <c r="AM236" s="638">
        <v>0</v>
      </c>
      <c r="AN236" s="638">
        <v>0</v>
      </c>
      <c r="AO236" s="640">
        <f t="shared" si="98"/>
        <v>0</v>
      </c>
      <c r="AP236" s="636"/>
      <c r="AQ236" s="636"/>
      <c r="AR236" s="637">
        <f t="shared" si="99"/>
        <v>0</v>
      </c>
      <c r="AS236" s="644">
        <v>6</v>
      </c>
      <c r="AT236" s="644">
        <v>58956</v>
      </c>
      <c r="AU236" s="635">
        <f t="shared" si="100"/>
        <v>289426.79519999999</v>
      </c>
      <c r="AV236" s="636"/>
      <c r="AW236" s="636"/>
      <c r="AX236" s="637">
        <f t="shared" si="101"/>
        <v>0</v>
      </c>
      <c r="AY236" s="644">
        <v>1</v>
      </c>
      <c r="AZ236" s="644">
        <v>56784</v>
      </c>
      <c r="BA236" s="635">
        <f t="shared" si="102"/>
        <v>46460.668799999999</v>
      </c>
      <c r="BB236" s="636"/>
      <c r="BC236" s="636"/>
      <c r="BD236" s="637">
        <f t="shared" si="103"/>
        <v>0</v>
      </c>
      <c r="BE236" s="644">
        <v>3</v>
      </c>
      <c r="BF236" s="644">
        <v>50542</v>
      </c>
      <c r="BG236" s="635">
        <f t="shared" si="104"/>
        <v>124060.39320000001</v>
      </c>
      <c r="BH236" s="636"/>
      <c r="BI236" s="636"/>
      <c r="BJ236" s="637">
        <f t="shared" si="105"/>
        <v>0</v>
      </c>
      <c r="BK236" s="644">
        <v>41</v>
      </c>
      <c r="BL236" s="644">
        <v>48322</v>
      </c>
      <c r="BM236" s="635">
        <f t="shared" si="106"/>
        <v>1621019.4764</v>
      </c>
      <c r="BN236" s="636"/>
      <c r="BO236" s="636"/>
      <c r="BP236" s="637">
        <f t="shared" si="107"/>
        <v>0</v>
      </c>
      <c r="BQ236" s="638">
        <v>0</v>
      </c>
      <c r="BR236" s="638">
        <v>0</v>
      </c>
      <c r="BS236" s="635">
        <f t="shared" si="108"/>
        <v>0</v>
      </c>
      <c r="BT236" s="636"/>
      <c r="BU236" s="636"/>
      <c r="BV236" s="637">
        <f t="shared" si="109"/>
        <v>0</v>
      </c>
      <c r="BW236" s="638">
        <v>0</v>
      </c>
      <c r="BX236" s="638">
        <v>0</v>
      </c>
      <c r="BY236" s="641">
        <f t="shared" si="110"/>
        <v>0</v>
      </c>
    </row>
    <row r="237" spans="1:77" x14ac:dyDescent="0.2">
      <c r="A237" s="322" t="s">
        <v>76</v>
      </c>
      <c r="B237" s="307" t="s">
        <v>505</v>
      </c>
      <c r="C237" s="308"/>
      <c r="D237" s="306">
        <v>160579</v>
      </c>
      <c r="E237" s="327">
        <v>12</v>
      </c>
      <c r="F237" s="631"/>
      <c r="G237" s="632"/>
      <c r="H237" s="633">
        <f t="shared" si="87"/>
        <v>0</v>
      </c>
      <c r="I237" s="642"/>
      <c r="J237" s="642"/>
      <c r="K237" s="635">
        <f t="shared" si="88"/>
        <v>0</v>
      </c>
      <c r="L237" s="636">
        <v>0</v>
      </c>
      <c r="M237" s="636">
        <v>0</v>
      </c>
      <c r="N237" s="637">
        <f t="shared" si="89"/>
        <v>0</v>
      </c>
      <c r="O237" s="638">
        <v>0</v>
      </c>
      <c r="P237" s="638">
        <v>0</v>
      </c>
      <c r="Q237" s="635">
        <f t="shared" si="90"/>
        <v>0</v>
      </c>
      <c r="R237" s="636"/>
      <c r="S237" s="636"/>
      <c r="T237" s="637">
        <f t="shared" si="91"/>
        <v>0</v>
      </c>
      <c r="U237" s="639">
        <v>0</v>
      </c>
      <c r="V237" s="639">
        <v>0</v>
      </c>
      <c r="W237" s="635">
        <f t="shared" si="92"/>
        <v>0</v>
      </c>
      <c r="X237" s="636"/>
      <c r="Y237" s="636"/>
      <c r="Z237" s="637">
        <f t="shared" si="93"/>
        <v>0</v>
      </c>
      <c r="AA237" s="638"/>
      <c r="AB237" s="638"/>
      <c r="AC237" s="635">
        <f t="shared" si="94"/>
        <v>0</v>
      </c>
      <c r="AD237" s="636">
        <v>0</v>
      </c>
      <c r="AE237" s="636">
        <v>0</v>
      </c>
      <c r="AF237" s="637">
        <f t="shared" si="95"/>
        <v>0</v>
      </c>
      <c r="AG237" s="638">
        <v>0</v>
      </c>
      <c r="AH237" s="638">
        <v>0</v>
      </c>
      <c r="AI237" s="635">
        <f t="shared" si="96"/>
        <v>0</v>
      </c>
      <c r="AJ237" s="636">
        <v>29</v>
      </c>
      <c r="AK237" s="636">
        <v>36001</v>
      </c>
      <c r="AL237" s="637">
        <f t="shared" si="97"/>
        <v>1044029</v>
      </c>
      <c r="AM237" s="638">
        <v>38</v>
      </c>
      <c r="AN237" s="638">
        <v>35963</v>
      </c>
      <c r="AO237" s="640">
        <f t="shared" si="98"/>
        <v>1366594</v>
      </c>
      <c r="AP237" s="636"/>
      <c r="AQ237" s="636"/>
      <c r="AR237" s="637">
        <f t="shared" si="99"/>
        <v>0</v>
      </c>
      <c r="AS237" s="644">
        <v>0</v>
      </c>
      <c r="AT237" s="644">
        <v>0</v>
      </c>
      <c r="AU237" s="635">
        <f t="shared" si="100"/>
        <v>0</v>
      </c>
      <c r="AV237" s="636">
        <v>0</v>
      </c>
      <c r="AW237" s="636">
        <v>0</v>
      </c>
      <c r="AX237" s="637">
        <f t="shared" si="101"/>
        <v>0</v>
      </c>
      <c r="AY237" s="644">
        <v>0</v>
      </c>
      <c r="AZ237" s="644">
        <v>0</v>
      </c>
      <c r="BA237" s="635">
        <f t="shared" si="102"/>
        <v>0</v>
      </c>
      <c r="BB237" s="636">
        <v>0</v>
      </c>
      <c r="BC237" s="636">
        <v>0</v>
      </c>
      <c r="BD237" s="637">
        <f t="shared" si="103"/>
        <v>0</v>
      </c>
      <c r="BE237" s="644">
        <v>0</v>
      </c>
      <c r="BF237" s="644">
        <v>0</v>
      </c>
      <c r="BG237" s="635">
        <f t="shared" si="104"/>
        <v>0</v>
      </c>
      <c r="BH237" s="636"/>
      <c r="BI237" s="636"/>
      <c r="BJ237" s="637">
        <f t="shared" si="105"/>
        <v>0</v>
      </c>
      <c r="BK237" s="638"/>
      <c r="BL237" s="638"/>
      <c r="BM237" s="635">
        <f t="shared" si="106"/>
        <v>0</v>
      </c>
      <c r="BN237" s="636">
        <v>0</v>
      </c>
      <c r="BO237" s="636">
        <v>0</v>
      </c>
      <c r="BP237" s="637">
        <f t="shared" si="107"/>
        <v>0</v>
      </c>
      <c r="BQ237" s="638">
        <v>0</v>
      </c>
      <c r="BR237" s="638">
        <v>0</v>
      </c>
      <c r="BS237" s="635">
        <f t="shared" si="108"/>
        <v>0</v>
      </c>
      <c r="BT237" s="636">
        <v>37</v>
      </c>
      <c r="BU237" s="636">
        <v>54689</v>
      </c>
      <c r="BV237" s="637">
        <f t="shared" si="109"/>
        <v>1655621.9726</v>
      </c>
      <c r="BW237" s="638">
        <v>36</v>
      </c>
      <c r="BX237" s="638">
        <v>54420</v>
      </c>
      <c r="BY237" s="641">
        <f t="shared" si="110"/>
        <v>1602951.9840000002</v>
      </c>
    </row>
    <row r="238" spans="1:77" x14ac:dyDescent="0.2">
      <c r="A238" s="377" t="s">
        <v>107</v>
      </c>
      <c r="B238" s="378" t="s">
        <v>948</v>
      </c>
      <c r="C238" s="383"/>
      <c r="D238" s="436">
        <v>163286</v>
      </c>
      <c r="E238" s="437">
        <v>1</v>
      </c>
      <c r="F238" s="631">
        <v>380</v>
      </c>
      <c r="G238" s="632">
        <v>130142</v>
      </c>
      <c r="H238" s="633">
        <f t="shared" si="87"/>
        <v>49453960</v>
      </c>
      <c r="I238" s="634">
        <v>375</v>
      </c>
      <c r="J238" s="634">
        <v>131683.992</v>
      </c>
      <c r="K238" s="635">
        <f t="shared" si="88"/>
        <v>49381497</v>
      </c>
      <c r="L238" s="636">
        <v>310</v>
      </c>
      <c r="M238" s="636">
        <v>93505</v>
      </c>
      <c r="N238" s="637">
        <f t="shared" si="89"/>
        <v>28986550</v>
      </c>
      <c r="O238" s="638">
        <v>326</v>
      </c>
      <c r="P238" s="638">
        <v>94351.922999999995</v>
      </c>
      <c r="Q238" s="635">
        <f t="shared" si="90"/>
        <v>30758726.897999998</v>
      </c>
      <c r="R238" s="636">
        <v>255</v>
      </c>
      <c r="S238" s="636">
        <v>81572</v>
      </c>
      <c r="T238" s="637">
        <f t="shared" si="91"/>
        <v>20800860</v>
      </c>
      <c r="U238" s="639">
        <v>276</v>
      </c>
      <c r="V238" s="639">
        <v>83534.993000000002</v>
      </c>
      <c r="W238" s="635">
        <f t="shared" si="92"/>
        <v>23055658.068</v>
      </c>
      <c r="X238" s="636">
        <v>11</v>
      </c>
      <c r="Y238" s="636">
        <v>57027</v>
      </c>
      <c r="Z238" s="637">
        <f t="shared" si="93"/>
        <v>627297</v>
      </c>
      <c r="AA238" s="638">
        <v>6</v>
      </c>
      <c r="AB238" s="638">
        <v>56219.5</v>
      </c>
      <c r="AC238" s="635">
        <f t="shared" si="94"/>
        <v>337317</v>
      </c>
      <c r="AD238" s="654">
        <v>191</v>
      </c>
      <c r="AE238" s="654">
        <v>61163.413999999997</v>
      </c>
      <c r="AF238" s="637">
        <f t="shared" si="95"/>
        <v>11682212.073999999</v>
      </c>
      <c r="AG238" s="638">
        <v>209</v>
      </c>
      <c r="AH238" s="638">
        <v>62970.11</v>
      </c>
      <c r="AI238" s="635">
        <f t="shared" si="96"/>
        <v>13160752.99</v>
      </c>
      <c r="AJ238" s="636"/>
      <c r="AK238" s="636"/>
      <c r="AL238" s="637">
        <f t="shared" si="97"/>
        <v>0</v>
      </c>
      <c r="AM238" s="638"/>
      <c r="AN238" s="638"/>
      <c r="AO238" s="640">
        <f t="shared" si="98"/>
        <v>0</v>
      </c>
      <c r="AP238" s="636">
        <v>273</v>
      </c>
      <c r="AQ238" s="636">
        <v>171577</v>
      </c>
      <c r="AR238" s="637">
        <f t="shared" si="99"/>
        <v>38324914.282200001</v>
      </c>
      <c r="AS238" s="638">
        <v>282</v>
      </c>
      <c r="AT238" s="638">
        <v>174256.62400000001</v>
      </c>
      <c r="AU238" s="635">
        <f t="shared" si="100"/>
        <v>40206649.071417607</v>
      </c>
      <c r="AV238" s="636">
        <v>94</v>
      </c>
      <c r="AW238" s="636">
        <v>119753</v>
      </c>
      <c r="AX238" s="637">
        <f t="shared" si="101"/>
        <v>9210299.0324000008</v>
      </c>
      <c r="AY238" s="638">
        <v>97</v>
      </c>
      <c r="AZ238" s="638">
        <v>122626.495</v>
      </c>
      <c r="BA238" s="635">
        <f t="shared" si="102"/>
        <v>9732300.8262729999</v>
      </c>
      <c r="BB238" s="636">
        <v>45</v>
      </c>
      <c r="BC238" s="636">
        <v>106849</v>
      </c>
      <c r="BD238" s="637">
        <f t="shared" si="103"/>
        <v>3934073.3310000002</v>
      </c>
      <c r="BE238" s="638">
        <v>40</v>
      </c>
      <c r="BF238" s="638">
        <v>105375.77499999999</v>
      </c>
      <c r="BG238" s="635">
        <f t="shared" si="104"/>
        <v>3448738.3642000002</v>
      </c>
      <c r="BH238" s="636">
        <v>7</v>
      </c>
      <c r="BI238" s="654">
        <v>78400.857000000004</v>
      </c>
      <c r="BJ238" s="637">
        <f t="shared" si="105"/>
        <v>449033.06838180008</v>
      </c>
      <c r="BK238" s="638">
        <v>6</v>
      </c>
      <c r="BL238" s="638">
        <v>78192.832999999999</v>
      </c>
      <c r="BM238" s="635">
        <f t="shared" si="106"/>
        <v>383864.25576360006</v>
      </c>
      <c r="BN238" s="654">
        <v>47</v>
      </c>
      <c r="BO238" s="654">
        <v>64816.66</v>
      </c>
      <c r="BP238" s="637">
        <f t="shared" si="107"/>
        <v>2492550.586964</v>
      </c>
      <c r="BQ238" s="638">
        <v>51</v>
      </c>
      <c r="BR238" s="638">
        <v>68292.058999999994</v>
      </c>
      <c r="BS238" s="635">
        <f t="shared" si="108"/>
        <v>2849704.6963637997</v>
      </c>
      <c r="BT238" s="636"/>
      <c r="BU238" s="636"/>
      <c r="BV238" s="637">
        <f t="shared" si="109"/>
        <v>0</v>
      </c>
      <c r="BW238" s="638"/>
      <c r="BX238" s="638"/>
      <c r="BY238" s="641">
        <f t="shared" si="110"/>
        <v>0</v>
      </c>
    </row>
    <row r="239" spans="1:77" x14ac:dyDescent="0.2">
      <c r="A239" s="377" t="s">
        <v>107</v>
      </c>
      <c r="B239" s="382" t="s">
        <v>950</v>
      </c>
      <c r="C239" s="438" t="s">
        <v>975</v>
      </c>
      <c r="D239" s="436">
        <v>163453</v>
      </c>
      <c r="E239" s="439">
        <v>2</v>
      </c>
      <c r="F239" s="631">
        <v>22</v>
      </c>
      <c r="G239" s="632">
        <v>99993</v>
      </c>
      <c r="H239" s="633">
        <f t="shared" si="87"/>
        <v>2199846</v>
      </c>
      <c r="I239" s="634">
        <v>24</v>
      </c>
      <c r="J239" s="634">
        <v>108881.583</v>
      </c>
      <c r="K239" s="635">
        <f t="shared" si="88"/>
        <v>2613157.9920000001</v>
      </c>
      <c r="L239" s="636">
        <v>97</v>
      </c>
      <c r="M239" s="636">
        <v>79290</v>
      </c>
      <c r="N239" s="637">
        <f t="shared" si="89"/>
        <v>7691130</v>
      </c>
      <c r="O239" s="638">
        <v>114</v>
      </c>
      <c r="P239" s="638">
        <v>77935.797999999995</v>
      </c>
      <c r="Q239" s="635">
        <f t="shared" si="90"/>
        <v>8884680.9719999991</v>
      </c>
      <c r="R239" s="636">
        <v>102</v>
      </c>
      <c r="S239" s="636">
        <v>67450</v>
      </c>
      <c r="T239" s="637">
        <f t="shared" si="91"/>
        <v>6879900</v>
      </c>
      <c r="U239" s="639">
        <v>83</v>
      </c>
      <c r="V239" s="639">
        <v>67340.759000000005</v>
      </c>
      <c r="W239" s="635">
        <f t="shared" si="92"/>
        <v>5589282.9970000004</v>
      </c>
      <c r="X239" s="654">
        <v>6</v>
      </c>
      <c r="Y239" s="636">
        <v>48877</v>
      </c>
      <c r="Z239" s="637">
        <f t="shared" si="93"/>
        <v>293262</v>
      </c>
      <c r="AA239" s="638">
        <v>4</v>
      </c>
      <c r="AB239" s="638">
        <v>44722.5</v>
      </c>
      <c r="AC239" s="635">
        <f t="shared" si="94"/>
        <v>178890</v>
      </c>
      <c r="AD239" s="654">
        <v>180</v>
      </c>
      <c r="AE239" s="654">
        <v>45006.205999999998</v>
      </c>
      <c r="AF239" s="637">
        <f t="shared" si="95"/>
        <v>8101117.0800000001</v>
      </c>
      <c r="AG239" s="638">
        <v>173</v>
      </c>
      <c r="AH239" s="638">
        <v>44868.578000000001</v>
      </c>
      <c r="AI239" s="635">
        <f t="shared" si="96"/>
        <v>7762263.9939999999</v>
      </c>
      <c r="AJ239" s="636"/>
      <c r="AK239" s="636"/>
      <c r="AL239" s="637">
        <f t="shared" si="97"/>
        <v>0</v>
      </c>
      <c r="AM239" s="638"/>
      <c r="AN239" s="638"/>
      <c r="AO239" s="640">
        <f t="shared" si="98"/>
        <v>0</v>
      </c>
      <c r="AP239" s="636">
        <v>22</v>
      </c>
      <c r="AQ239" s="636">
        <v>124013</v>
      </c>
      <c r="AR239" s="637">
        <f t="shared" si="99"/>
        <v>2232283.6052000001</v>
      </c>
      <c r="AS239" s="638">
        <v>26</v>
      </c>
      <c r="AT239" s="638">
        <v>123670.923</v>
      </c>
      <c r="AU239" s="635">
        <f t="shared" si="100"/>
        <v>2630876.2791635999</v>
      </c>
      <c r="AV239" s="636">
        <v>26</v>
      </c>
      <c r="AW239" s="636">
        <v>103767</v>
      </c>
      <c r="AX239" s="637">
        <f t="shared" si="101"/>
        <v>2207456.1444000001</v>
      </c>
      <c r="AY239" s="638">
        <v>23</v>
      </c>
      <c r="AZ239" s="638">
        <v>102697.348</v>
      </c>
      <c r="BA239" s="635">
        <f t="shared" si="102"/>
        <v>1932620.3130727999</v>
      </c>
      <c r="BB239" s="636">
        <v>6</v>
      </c>
      <c r="BC239" s="636">
        <v>79861</v>
      </c>
      <c r="BD239" s="637">
        <f t="shared" si="103"/>
        <v>392053.62119999999</v>
      </c>
      <c r="BE239" s="638">
        <v>5</v>
      </c>
      <c r="BF239" s="638">
        <v>89176</v>
      </c>
      <c r="BG239" s="635">
        <f t="shared" si="104"/>
        <v>364819.016</v>
      </c>
      <c r="BH239" s="636"/>
      <c r="BI239" s="636"/>
      <c r="BJ239" s="637">
        <f t="shared" si="105"/>
        <v>0</v>
      </c>
      <c r="BK239" s="638"/>
      <c r="BL239" s="638"/>
      <c r="BM239" s="635">
        <f t="shared" si="106"/>
        <v>0</v>
      </c>
      <c r="BN239" s="654">
        <v>3</v>
      </c>
      <c r="BO239" s="654">
        <v>81828</v>
      </c>
      <c r="BP239" s="637">
        <f t="shared" si="107"/>
        <v>200855.00880000001</v>
      </c>
      <c r="BQ239" s="638">
        <v>3</v>
      </c>
      <c r="BR239" s="638">
        <v>73873</v>
      </c>
      <c r="BS239" s="635">
        <f t="shared" si="108"/>
        <v>181328.66580000002</v>
      </c>
      <c r="BT239" s="636"/>
      <c r="BU239" s="636"/>
      <c r="BV239" s="637">
        <f t="shared" si="109"/>
        <v>0</v>
      </c>
      <c r="BW239" s="638"/>
      <c r="BX239" s="638"/>
      <c r="BY239" s="641">
        <f t="shared" si="110"/>
        <v>0</v>
      </c>
    </row>
    <row r="240" spans="1:77" x14ac:dyDescent="0.2">
      <c r="A240" s="377" t="s">
        <v>107</v>
      </c>
      <c r="B240" s="378" t="s">
        <v>949</v>
      </c>
      <c r="C240" s="383"/>
      <c r="D240" s="436">
        <v>163268</v>
      </c>
      <c r="E240" s="437">
        <v>2</v>
      </c>
      <c r="F240" s="631">
        <v>105</v>
      </c>
      <c r="G240" s="632">
        <v>104350</v>
      </c>
      <c r="H240" s="633">
        <f t="shared" si="87"/>
        <v>10956750</v>
      </c>
      <c r="I240" s="634">
        <v>100</v>
      </c>
      <c r="J240" s="634">
        <v>103648.14</v>
      </c>
      <c r="K240" s="635">
        <f t="shared" si="88"/>
        <v>10364814</v>
      </c>
      <c r="L240" s="636">
        <v>130</v>
      </c>
      <c r="M240" s="636">
        <v>77486</v>
      </c>
      <c r="N240" s="637">
        <f t="shared" si="89"/>
        <v>10073180</v>
      </c>
      <c r="O240" s="638">
        <v>135</v>
      </c>
      <c r="P240" s="638">
        <v>76607.148000000001</v>
      </c>
      <c r="Q240" s="635">
        <f t="shared" si="90"/>
        <v>10341964.98</v>
      </c>
      <c r="R240" s="636">
        <v>90</v>
      </c>
      <c r="S240" s="636">
        <v>66479</v>
      </c>
      <c r="T240" s="637">
        <f t="shared" si="91"/>
        <v>5983110</v>
      </c>
      <c r="U240" s="639">
        <v>84</v>
      </c>
      <c r="V240" s="639">
        <v>67760.892999999996</v>
      </c>
      <c r="W240" s="635">
        <f t="shared" si="92"/>
        <v>5691915.0120000001</v>
      </c>
      <c r="X240" s="636">
        <v>7</v>
      </c>
      <c r="Y240" s="636">
        <v>48332</v>
      </c>
      <c r="Z240" s="637">
        <f t="shared" si="93"/>
        <v>338324</v>
      </c>
      <c r="AA240" s="638">
        <v>7</v>
      </c>
      <c r="AB240" s="638">
        <v>50862</v>
      </c>
      <c r="AC240" s="635">
        <f t="shared" si="94"/>
        <v>356034</v>
      </c>
      <c r="AD240" s="654">
        <v>69</v>
      </c>
      <c r="AE240" s="654">
        <v>51413.696000000004</v>
      </c>
      <c r="AF240" s="637">
        <f t="shared" si="95"/>
        <v>3547545.0240000002</v>
      </c>
      <c r="AG240" s="638">
        <v>70</v>
      </c>
      <c r="AH240" s="638">
        <v>51265.756999999998</v>
      </c>
      <c r="AI240" s="635">
        <f t="shared" si="96"/>
        <v>3588602.9899999998</v>
      </c>
      <c r="AJ240" s="636"/>
      <c r="AK240" s="636"/>
      <c r="AL240" s="637">
        <f t="shared" si="97"/>
        <v>0</v>
      </c>
      <c r="AM240" s="638"/>
      <c r="AN240" s="638"/>
      <c r="AO240" s="640">
        <f t="shared" si="98"/>
        <v>0</v>
      </c>
      <c r="AP240" s="636">
        <v>45</v>
      </c>
      <c r="AQ240" s="636">
        <v>162036</v>
      </c>
      <c r="AR240" s="637">
        <f t="shared" si="99"/>
        <v>5966003.4840000002</v>
      </c>
      <c r="AS240" s="638">
        <v>45</v>
      </c>
      <c r="AT240" s="638">
        <v>158888.28899999999</v>
      </c>
      <c r="AU240" s="635">
        <f t="shared" si="100"/>
        <v>5850107.9126909999</v>
      </c>
      <c r="AV240" s="636">
        <v>20</v>
      </c>
      <c r="AW240" s="636">
        <v>96641</v>
      </c>
      <c r="AX240" s="637">
        <f t="shared" si="101"/>
        <v>1581433.324</v>
      </c>
      <c r="AY240" s="638">
        <v>20</v>
      </c>
      <c r="AZ240" s="638">
        <v>97009.600000000006</v>
      </c>
      <c r="BA240" s="635">
        <f t="shared" si="102"/>
        <v>1587465.0944000001</v>
      </c>
      <c r="BB240" s="636">
        <v>5</v>
      </c>
      <c r="BC240" s="636">
        <v>82063</v>
      </c>
      <c r="BD240" s="637">
        <f t="shared" si="103"/>
        <v>335719.73300000001</v>
      </c>
      <c r="BE240" s="638">
        <v>6</v>
      </c>
      <c r="BF240" s="638">
        <v>80433.832999999999</v>
      </c>
      <c r="BG240" s="635">
        <f t="shared" si="104"/>
        <v>394865.77296360006</v>
      </c>
      <c r="BH240" s="636">
        <v>5</v>
      </c>
      <c r="BI240" s="654">
        <v>66097</v>
      </c>
      <c r="BJ240" s="637">
        <f t="shared" si="105"/>
        <v>270402.82699999999</v>
      </c>
      <c r="BK240" s="638">
        <v>5</v>
      </c>
      <c r="BL240" s="638">
        <v>67640.399999999994</v>
      </c>
      <c r="BM240" s="635">
        <f t="shared" si="106"/>
        <v>276716.87640000001</v>
      </c>
      <c r="BN240" s="654">
        <v>5</v>
      </c>
      <c r="BO240" s="654">
        <v>66097</v>
      </c>
      <c r="BP240" s="637">
        <f t="shared" si="107"/>
        <v>270402.82699999999</v>
      </c>
      <c r="BQ240" s="638">
        <v>10</v>
      </c>
      <c r="BR240" s="638">
        <v>64714.1</v>
      </c>
      <c r="BS240" s="635">
        <f t="shared" si="108"/>
        <v>529490.76620000007</v>
      </c>
      <c r="BT240" s="636"/>
      <c r="BU240" s="636"/>
      <c r="BV240" s="637">
        <f t="shared" si="109"/>
        <v>0</v>
      </c>
      <c r="BW240" s="638"/>
      <c r="BX240" s="638"/>
      <c r="BY240" s="641">
        <f t="shared" si="110"/>
        <v>0</v>
      </c>
    </row>
    <row r="241" spans="1:77" x14ac:dyDescent="0.2">
      <c r="A241" s="377" t="s">
        <v>107</v>
      </c>
      <c r="B241" s="378" t="s">
        <v>951</v>
      </c>
      <c r="C241" s="383"/>
      <c r="D241" s="436">
        <v>164076</v>
      </c>
      <c r="E241" s="437">
        <v>3</v>
      </c>
      <c r="F241" s="631">
        <v>159</v>
      </c>
      <c r="G241" s="632">
        <v>88846</v>
      </c>
      <c r="H241" s="633">
        <f t="shared" si="87"/>
        <v>14126514</v>
      </c>
      <c r="I241" s="634">
        <v>159</v>
      </c>
      <c r="J241" s="634">
        <v>89322.559999999998</v>
      </c>
      <c r="K241" s="635">
        <f t="shared" si="88"/>
        <v>14202287.039999999</v>
      </c>
      <c r="L241" s="636">
        <v>151</v>
      </c>
      <c r="M241" s="636">
        <v>71414</v>
      </c>
      <c r="N241" s="637">
        <f t="shared" si="89"/>
        <v>10783514</v>
      </c>
      <c r="O241" s="638">
        <v>163</v>
      </c>
      <c r="P241" s="638">
        <v>70574.073999999993</v>
      </c>
      <c r="Q241" s="635">
        <f t="shared" si="90"/>
        <v>11503574.061999999</v>
      </c>
      <c r="R241" s="636">
        <v>289</v>
      </c>
      <c r="S241" s="636">
        <v>61191</v>
      </c>
      <c r="T241" s="637">
        <f t="shared" si="91"/>
        <v>17684199</v>
      </c>
      <c r="U241" s="639">
        <v>285</v>
      </c>
      <c r="V241" s="639">
        <v>61844.964999999997</v>
      </c>
      <c r="W241" s="635">
        <f t="shared" si="92"/>
        <v>17625815.024999999</v>
      </c>
      <c r="X241" s="636">
        <v>21</v>
      </c>
      <c r="Y241" s="636">
        <v>49596</v>
      </c>
      <c r="Z241" s="637">
        <f t="shared" si="93"/>
        <v>1041516</v>
      </c>
      <c r="AA241" s="638">
        <v>22</v>
      </c>
      <c r="AB241" s="638">
        <v>50577.044999999998</v>
      </c>
      <c r="AC241" s="635">
        <f t="shared" si="94"/>
        <v>1112694.99</v>
      </c>
      <c r="AD241" s="654">
        <v>167</v>
      </c>
      <c r="AE241" s="654">
        <v>39988.114000000001</v>
      </c>
      <c r="AF241" s="637">
        <f t="shared" si="95"/>
        <v>6678015.0380000006</v>
      </c>
      <c r="AG241" s="638">
        <v>170</v>
      </c>
      <c r="AH241" s="638">
        <v>39680.976000000002</v>
      </c>
      <c r="AI241" s="635">
        <f t="shared" si="96"/>
        <v>6745765.9200000009</v>
      </c>
      <c r="AJ241" s="636"/>
      <c r="AK241" s="636"/>
      <c r="AL241" s="637">
        <f t="shared" si="97"/>
        <v>0</v>
      </c>
      <c r="AM241" s="638"/>
      <c r="AN241" s="638"/>
      <c r="AO241" s="640">
        <f t="shared" si="98"/>
        <v>0</v>
      </c>
      <c r="AP241" s="636">
        <v>30</v>
      </c>
      <c r="AQ241" s="636">
        <v>110031</v>
      </c>
      <c r="AR241" s="637">
        <f t="shared" si="99"/>
        <v>2700820.926</v>
      </c>
      <c r="AS241" s="638">
        <v>28</v>
      </c>
      <c r="AT241" s="638">
        <v>110843.929</v>
      </c>
      <c r="AU241" s="635">
        <f t="shared" si="100"/>
        <v>2539390.0758184004</v>
      </c>
      <c r="AV241" s="636">
        <v>9</v>
      </c>
      <c r="AW241" s="636">
        <v>107040</v>
      </c>
      <c r="AX241" s="637">
        <f t="shared" si="101"/>
        <v>788221.152</v>
      </c>
      <c r="AY241" s="638">
        <v>11</v>
      </c>
      <c r="AZ241" s="638">
        <v>101481.909</v>
      </c>
      <c r="BA241" s="635">
        <f t="shared" si="102"/>
        <v>913357.47738180007</v>
      </c>
      <c r="BB241" s="654">
        <v>4</v>
      </c>
      <c r="BC241" s="636">
        <v>83750</v>
      </c>
      <c r="BD241" s="637">
        <f t="shared" si="103"/>
        <v>274097</v>
      </c>
      <c r="BE241" s="638">
        <v>3</v>
      </c>
      <c r="BF241" s="638">
        <v>78237.667000000001</v>
      </c>
      <c r="BG241" s="635">
        <f t="shared" si="104"/>
        <v>192042.17741820001</v>
      </c>
      <c r="BH241" s="636"/>
      <c r="BI241" s="636"/>
      <c r="BJ241" s="637">
        <f t="shared" si="105"/>
        <v>0</v>
      </c>
      <c r="BK241" s="638"/>
      <c r="BL241" s="638"/>
      <c r="BM241" s="635">
        <f t="shared" si="106"/>
        <v>0</v>
      </c>
      <c r="BN241" s="636">
        <v>0</v>
      </c>
      <c r="BO241" s="636">
        <v>0</v>
      </c>
      <c r="BP241" s="637">
        <f t="shared" si="107"/>
        <v>0</v>
      </c>
      <c r="BQ241" s="638"/>
      <c r="BR241" s="638"/>
      <c r="BS241" s="635">
        <f t="shared" si="108"/>
        <v>0</v>
      </c>
      <c r="BT241" s="636"/>
      <c r="BU241" s="636"/>
      <c r="BV241" s="637">
        <f t="shared" si="109"/>
        <v>0</v>
      </c>
      <c r="BW241" s="638"/>
      <c r="BX241" s="638"/>
      <c r="BY241" s="641">
        <f t="shared" si="110"/>
        <v>0</v>
      </c>
    </row>
    <row r="242" spans="1:77" x14ac:dyDescent="0.2">
      <c r="A242" s="377" t="s">
        <v>107</v>
      </c>
      <c r="B242" s="378" t="s">
        <v>952</v>
      </c>
      <c r="C242" s="383"/>
      <c r="D242" s="436">
        <v>162007</v>
      </c>
      <c r="E242" s="437">
        <v>4</v>
      </c>
      <c r="F242" s="631">
        <v>26</v>
      </c>
      <c r="G242" s="632">
        <v>88136</v>
      </c>
      <c r="H242" s="633">
        <f t="shared" si="87"/>
        <v>2291536</v>
      </c>
      <c r="I242" s="634">
        <v>27</v>
      </c>
      <c r="J242" s="634">
        <v>85866.148000000001</v>
      </c>
      <c r="K242" s="635">
        <f t="shared" si="88"/>
        <v>2318385.9959999998</v>
      </c>
      <c r="L242" s="636">
        <v>32</v>
      </c>
      <c r="M242" s="636">
        <v>71769</v>
      </c>
      <c r="N242" s="637">
        <f t="shared" si="89"/>
        <v>2296608</v>
      </c>
      <c r="O242" s="638">
        <v>35</v>
      </c>
      <c r="P242" s="638">
        <v>68833.171000000002</v>
      </c>
      <c r="Q242" s="635">
        <f t="shared" si="90"/>
        <v>2409160.9849999999</v>
      </c>
      <c r="R242" s="636">
        <v>90</v>
      </c>
      <c r="S242" s="636">
        <v>62422</v>
      </c>
      <c r="T242" s="637">
        <f t="shared" si="91"/>
        <v>5617980</v>
      </c>
      <c r="U242" s="639">
        <v>88</v>
      </c>
      <c r="V242" s="639">
        <v>62199.432000000001</v>
      </c>
      <c r="W242" s="635">
        <f t="shared" si="92"/>
        <v>5473550.0159999998</v>
      </c>
      <c r="X242" s="636">
        <v>7</v>
      </c>
      <c r="Y242" s="636">
        <v>57757</v>
      </c>
      <c r="Z242" s="637">
        <f t="shared" si="93"/>
        <v>404299</v>
      </c>
      <c r="AA242" s="638">
        <v>5</v>
      </c>
      <c r="AB242" s="638">
        <v>58959</v>
      </c>
      <c r="AC242" s="635">
        <f t="shared" si="94"/>
        <v>294795</v>
      </c>
      <c r="AD242" s="654">
        <v>30</v>
      </c>
      <c r="AE242" s="654">
        <v>51914.733</v>
      </c>
      <c r="AF242" s="637">
        <f t="shared" si="95"/>
        <v>1557441.99</v>
      </c>
      <c r="AG242" s="638">
        <v>53</v>
      </c>
      <c r="AH242" s="638">
        <v>53181.697999999997</v>
      </c>
      <c r="AI242" s="635">
        <f t="shared" si="96"/>
        <v>2818629.9939999999</v>
      </c>
      <c r="AJ242" s="636"/>
      <c r="AK242" s="636"/>
      <c r="AL242" s="637">
        <f t="shared" si="97"/>
        <v>0</v>
      </c>
      <c r="AM242" s="638"/>
      <c r="AN242" s="638"/>
      <c r="AO242" s="640">
        <f t="shared" si="98"/>
        <v>0</v>
      </c>
      <c r="AP242" s="636">
        <v>6</v>
      </c>
      <c r="AQ242" s="636">
        <v>108995</v>
      </c>
      <c r="AR242" s="637">
        <f t="shared" si="99"/>
        <v>535078.25400000007</v>
      </c>
      <c r="AS242" s="638">
        <v>9</v>
      </c>
      <c r="AT242" s="638">
        <v>106743.667</v>
      </c>
      <c r="AU242" s="635">
        <f t="shared" si="100"/>
        <v>786039.01505460008</v>
      </c>
      <c r="AV242" s="636">
        <v>5</v>
      </c>
      <c r="AW242" s="636">
        <v>92165</v>
      </c>
      <c r="AX242" s="637">
        <f t="shared" si="101"/>
        <v>377047.01500000001</v>
      </c>
      <c r="AY242" s="638">
        <v>6</v>
      </c>
      <c r="AZ242" s="638">
        <v>91633</v>
      </c>
      <c r="BA242" s="635">
        <f t="shared" si="102"/>
        <v>449844.72360000003</v>
      </c>
      <c r="BB242" s="636">
        <v>5</v>
      </c>
      <c r="BC242" s="636">
        <v>78176</v>
      </c>
      <c r="BD242" s="637">
        <f t="shared" si="103"/>
        <v>319818.016</v>
      </c>
      <c r="BE242" s="638">
        <v>2</v>
      </c>
      <c r="BF242" s="638">
        <v>80764.5</v>
      </c>
      <c r="BG242" s="635">
        <f t="shared" si="104"/>
        <v>132163.02780000001</v>
      </c>
      <c r="BH242" s="636"/>
      <c r="BI242" s="636"/>
      <c r="BJ242" s="637">
        <f t="shared" si="105"/>
        <v>0</v>
      </c>
      <c r="BK242" s="638"/>
      <c r="BL242" s="638"/>
      <c r="BM242" s="635">
        <f t="shared" si="106"/>
        <v>0</v>
      </c>
      <c r="BN242" s="654">
        <v>1</v>
      </c>
      <c r="BO242" s="654">
        <v>78762</v>
      </c>
      <c r="BP242" s="637">
        <f t="shared" si="107"/>
        <v>64443.068400000004</v>
      </c>
      <c r="BQ242" s="638">
        <v>1</v>
      </c>
      <c r="BR242" s="638">
        <v>78762</v>
      </c>
      <c r="BS242" s="635">
        <f t="shared" si="108"/>
        <v>64443.068400000004</v>
      </c>
      <c r="BT242" s="636"/>
      <c r="BU242" s="636"/>
      <c r="BV242" s="637">
        <f t="shared" si="109"/>
        <v>0</v>
      </c>
      <c r="BW242" s="638"/>
      <c r="BX242" s="638"/>
      <c r="BY242" s="641">
        <f t="shared" si="110"/>
        <v>0</v>
      </c>
    </row>
    <row r="243" spans="1:77" x14ac:dyDescent="0.2">
      <c r="A243" s="377" t="s">
        <v>107</v>
      </c>
      <c r="B243" s="382" t="s">
        <v>953</v>
      </c>
      <c r="C243" s="383" t="s">
        <v>976</v>
      </c>
      <c r="D243" s="436">
        <v>162283</v>
      </c>
      <c r="E243" s="437">
        <v>4</v>
      </c>
      <c r="F243" s="631">
        <v>21</v>
      </c>
      <c r="G243" s="632">
        <v>86117</v>
      </c>
      <c r="H243" s="633">
        <f t="shared" si="87"/>
        <v>1808457</v>
      </c>
      <c r="I243" s="634">
        <v>22</v>
      </c>
      <c r="J243" s="634">
        <v>84861.273000000001</v>
      </c>
      <c r="K243" s="635">
        <f t="shared" si="88"/>
        <v>1866948.0060000001</v>
      </c>
      <c r="L243" s="636">
        <v>27</v>
      </c>
      <c r="M243" s="636">
        <v>66693</v>
      </c>
      <c r="N243" s="637">
        <f t="shared" si="89"/>
        <v>1800711</v>
      </c>
      <c r="O243" s="638">
        <v>24</v>
      </c>
      <c r="P243" s="638">
        <v>67722.042000000001</v>
      </c>
      <c r="Q243" s="635">
        <f t="shared" si="90"/>
        <v>1625329.0079999999</v>
      </c>
      <c r="R243" s="636">
        <v>74</v>
      </c>
      <c r="S243" s="636">
        <v>60198</v>
      </c>
      <c r="T243" s="637">
        <f t="shared" si="91"/>
        <v>4454652</v>
      </c>
      <c r="U243" s="639">
        <v>73</v>
      </c>
      <c r="V243" s="639">
        <v>59792.356</v>
      </c>
      <c r="W243" s="635">
        <f t="shared" si="92"/>
        <v>4364841.9879999999</v>
      </c>
      <c r="X243" s="636">
        <v>2</v>
      </c>
      <c r="Y243" s="636">
        <v>55596</v>
      </c>
      <c r="Z243" s="637">
        <f t="shared" si="93"/>
        <v>111192</v>
      </c>
      <c r="AA243" s="638">
        <v>2</v>
      </c>
      <c r="AB243" s="638">
        <v>55595.5</v>
      </c>
      <c r="AC243" s="635">
        <f t="shared" si="94"/>
        <v>111191</v>
      </c>
      <c r="AD243" s="654">
        <v>16</v>
      </c>
      <c r="AE243" s="654">
        <v>41140.938000000002</v>
      </c>
      <c r="AF243" s="637">
        <f t="shared" si="95"/>
        <v>658255.00800000003</v>
      </c>
      <c r="AG243" s="638">
        <v>18</v>
      </c>
      <c r="AH243" s="638">
        <v>42501.055999999997</v>
      </c>
      <c r="AI243" s="635">
        <f t="shared" si="96"/>
        <v>765019.00799999991</v>
      </c>
      <c r="AJ243" s="636"/>
      <c r="AK243" s="636"/>
      <c r="AL243" s="637">
        <f t="shared" si="97"/>
        <v>0</v>
      </c>
      <c r="AM243" s="638"/>
      <c r="AN243" s="638"/>
      <c r="AO243" s="640">
        <f t="shared" si="98"/>
        <v>0</v>
      </c>
      <c r="AP243" s="636">
        <v>3</v>
      </c>
      <c r="AQ243" s="636">
        <v>111872</v>
      </c>
      <c r="AR243" s="637">
        <f t="shared" si="99"/>
        <v>274601.01120000001</v>
      </c>
      <c r="AS243" s="638">
        <v>3</v>
      </c>
      <c r="AT243" s="638">
        <v>126990.667</v>
      </c>
      <c r="AU243" s="635">
        <f t="shared" si="100"/>
        <v>311711.2912182</v>
      </c>
      <c r="AV243" s="636">
        <v>2</v>
      </c>
      <c r="AW243" s="636">
        <v>82178</v>
      </c>
      <c r="AX243" s="637">
        <f t="shared" si="101"/>
        <v>134476.07920000001</v>
      </c>
      <c r="AY243" s="638">
        <v>1</v>
      </c>
      <c r="AZ243" s="638">
        <v>77000</v>
      </c>
      <c r="BA243" s="635">
        <f t="shared" si="102"/>
        <v>63001.4</v>
      </c>
      <c r="BB243" s="636">
        <v>8</v>
      </c>
      <c r="BC243" s="636">
        <v>79927</v>
      </c>
      <c r="BD243" s="637">
        <f t="shared" si="103"/>
        <v>523170.17120000004</v>
      </c>
      <c r="BE243" s="638">
        <v>8</v>
      </c>
      <c r="BF243" s="638">
        <v>82426.625</v>
      </c>
      <c r="BG243" s="635">
        <f t="shared" si="104"/>
        <v>539531.71660000004</v>
      </c>
      <c r="BH243" s="636"/>
      <c r="BI243" s="636"/>
      <c r="BJ243" s="637">
        <f t="shared" si="105"/>
        <v>0</v>
      </c>
      <c r="BK243" s="638">
        <v>1</v>
      </c>
      <c r="BL243" s="638">
        <v>50000</v>
      </c>
      <c r="BM243" s="635">
        <f t="shared" si="106"/>
        <v>40910</v>
      </c>
      <c r="BN243" s="654">
        <v>2</v>
      </c>
      <c r="BO243" s="654">
        <v>39205.5</v>
      </c>
      <c r="BP243" s="637">
        <f t="shared" si="107"/>
        <v>64155.8802</v>
      </c>
      <c r="BQ243" s="638"/>
      <c r="BR243" s="638"/>
      <c r="BS243" s="635">
        <f t="shared" si="108"/>
        <v>0</v>
      </c>
      <c r="BT243" s="636"/>
      <c r="BU243" s="636"/>
      <c r="BV243" s="637">
        <f t="shared" si="109"/>
        <v>0</v>
      </c>
      <c r="BW243" s="638"/>
      <c r="BX243" s="638"/>
      <c r="BY243" s="641">
        <f t="shared" si="110"/>
        <v>0</v>
      </c>
    </row>
    <row r="244" spans="1:77" x14ac:dyDescent="0.2">
      <c r="A244" s="377" t="s">
        <v>107</v>
      </c>
      <c r="B244" s="378" t="s">
        <v>954</v>
      </c>
      <c r="C244" s="383"/>
      <c r="D244" s="436">
        <v>162584</v>
      </c>
      <c r="E244" s="437">
        <v>4</v>
      </c>
      <c r="F244" s="631">
        <v>78</v>
      </c>
      <c r="G244" s="632">
        <v>83501</v>
      </c>
      <c r="H244" s="633">
        <f t="shared" si="87"/>
        <v>6513078</v>
      </c>
      <c r="I244" s="634">
        <v>77</v>
      </c>
      <c r="J244" s="634">
        <v>81880.104000000007</v>
      </c>
      <c r="K244" s="635">
        <f t="shared" si="88"/>
        <v>6304768.0080000004</v>
      </c>
      <c r="L244" s="636">
        <v>57</v>
      </c>
      <c r="M244" s="636">
        <v>69109</v>
      </c>
      <c r="N244" s="637">
        <f t="shared" si="89"/>
        <v>3939213</v>
      </c>
      <c r="O244" s="638">
        <v>60</v>
      </c>
      <c r="P244" s="638">
        <v>67482.267000000007</v>
      </c>
      <c r="Q244" s="635">
        <f t="shared" si="90"/>
        <v>4048936.0200000005</v>
      </c>
      <c r="R244" s="636">
        <v>63</v>
      </c>
      <c r="S244" s="636">
        <v>58359</v>
      </c>
      <c r="T244" s="637">
        <f t="shared" si="91"/>
        <v>3676617</v>
      </c>
      <c r="U244" s="639">
        <v>70</v>
      </c>
      <c r="V244" s="639">
        <v>58807.642999999996</v>
      </c>
      <c r="W244" s="635">
        <f t="shared" si="92"/>
        <v>4116535.01</v>
      </c>
      <c r="X244" s="636">
        <v>10</v>
      </c>
      <c r="Y244" s="636">
        <v>54685</v>
      </c>
      <c r="Z244" s="637">
        <f t="shared" si="93"/>
        <v>546850</v>
      </c>
      <c r="AA244" s="638">
        <v>5</v>
      </c>
      <c r="AB244" s="638">
        <v>58700.6</v>
      </c>
      <c r="AC244" s="635">
        <f t="shared" si="94"/>
        <v>293503</v>
      </c>
      <c r="AD244" s="654">
        <v>34</v>
      </c>
      <c r="AE244" s="654">
        <v>38357.029000000002</v>
      </c>
      <c r="AF244" s="637">
        <f t="shared" si="95"/>
        <v>1304138.986</v>
      </c>
      <c r="AG244" s="638">
        <v>17</v>
      </c>
      <c r="AH244" s="638">
        <v>39154.175999999999</v>
      </c>
      <c r="AI244" s="635">
        <f t="shared" si="96"/>
        <v>665620.99199999997</v>
      </c>
      <c r="AJ244" s="636"/>
      <c r="AK244" s="636"/>
      <c r="AL244" s="637">
        <f t="shared" si="97"/>
        <v>0</v>
      </c>
      <c r="AM244" s="638"/>
      <c r="AN244" s="638"/>
      <c r="AO244" s="640">
        <f t="shared" si="98"/>
        <v>0</v>
      </c>
      <c r="AP244" s="636"/>
      <c r="AQ244" s="636"/>
      <c r="AR244" s="637">
        <f t="shared" si="99"/>
        <v>0</v>
      </c>
      <c r="AS244" s="638"/>
      <c r="AT244" s="638"/>
      <c r="AU244" s="635">
        <f t="shared" si="100"/>
        <v>0</v>
      </c>
      <c r="AV244" s="636"/>
      <c r="AW244" s="636"/>
      <c r="AX244" s="637">
        <f t="shared" si="101"/>
        <v>0</v>
      </c>
      <c r="AY244" s="638"/>
      <c r="AZ244" s="638"/>
      <c r="BA244" s="635">
        <f t="shared" si="102"/>
        <v>0</v>
      </c>
      <c r="BB244" s="636"/>
      <c r="BC244" s="636"/>
      <c r="BD244" s="637">
        <f t="shared" si="103"/>
        <v>0</v>
      </c>
      <c r="BE244" s="638"/>
      <c r="BF244" s="638"/>
      <c r="BG244" s="635">
        <f t="shared" si="104"/>
        <v>0</v>
      </c>
      <c r="BH244" s="636"/>
      <c r="BI244" s="636"/>
      <c r="BJ244" s="637">
        <f t="shared" si="105"/>
        <v>0</v>
      </c>
      <c r="BK244" s="638"/>
      <c r="BL244" s="638"/>
      <c r="BM244" s="635">
        <f t="shared" si="106"/>
        <v>0</v>
      </c>
      <c r="BN244" s="654">
        <v>1</v>
      </c>
      <c r="BO244" s="654">
        <v>63000</v>
      </c>
      <c r="BP244" s="637">
        <f t="shared" si="107"/>
        <v>51546.600000000006</v>
      </c>
      <c r="BQ244" s="638">
        <v>16</v>
      </c>
      <c r="BR244" s="638">
        <v>37806.25</v>
      </c>
      <c r="BS244" s="635">
        <f t="shared" si="108"/>
        <v>494929.18000000005</v>
      </c>
      <c r="BT244" s="636"/>
      <c r="BU244" s="636"/>
      <c r="BV244" s="637">
        <f t="shared" si="109"/>
        <v>0</v>
      </c>
      <c r="BW244" s="638"/>
      <c r="BX244" s="638"/>
      <c r="BY244" s="641">
        <f t="shared" si="110"/>
        <v>0</v>
      </c>
    </row>
    <row r="245" spans="1:77" x14ac:dyDescent="0.2">
      <c r="A245" s="377" t="s">
        <v>107</v>
      </c>
      <c r="B245" s="378" t="s">
        <v>955</v>
      </c>
      <c r="C245" s="383"/>
      <c r="D245" s="436">
        <v>163851</v>
      </c>
      <c r="E245" s="437">
        <v>4</v>
      </c>
      <c r="F245" s="631">
        <v>85</v>
      </c>
      <c r="G245" s="632">
        <v>83789</v>
      </c>
      <c r="H245" s="633">
        <f t="shared" si="87"/>
        <v>7122065</v>
      </c>
      <c r="I245" s="634">
        <v>95</v>
      </c>
      <c r="J245" s="634">
        <v>84062.957999999999</v>
      </c>
      <c r="K245" s="635">
        <f t="shared" si="88"/>
        <v>7985981.0099999998</v>
      </c>
      <c r="L245" s="636">
        <v>102</v>
      </c>
      <c r="M245" s="636">
        <v>67603</v>
      </c>
      <c r="N245" s="637">
        <f t="shared" si="89"/>
        <v>6895506</v>
      </c>
      <c r="O245" s="638">
        <v>102</v>
      </c>
      <c r="P245" s="638">
        <v>66346.186000000002</v>
      </c>
      <c r="Q245" s="635">
        <f t="shared" si="90"/>
        <v>6767310.9720000001</v>
      </c>
      <c r="R245" s="636">
        <v>104</v>
      </c>
      <c r="S245" s="636">
        <v>64404</v>
      </c>
      <c r="T245" s="637">
        <f t="shared" si="91"/>
        <v>6698016</v>
      </c>
      <c r="U245" s="639">
        <v>97</v>
      </c>
      <c r="V245" s="639">
        <v>63637</v>
      </c>
      <c r="W245" s="635">
        <f t="shared" si="92"/>
        <v>6172789</v>
      </c>
      <c r="X245" s="636">
        <v>4</v>
      </c>
      <c r="Y245" s="636">
        <v>59097</v>
      </c>
      <c r="Z245" s="637">
        <f t="shared" si="93"/>
        <v>236388</v>
      </c>
      <c r="AA245" s="638">
        <v>5</v>
      </c>
      <c r="AB245" s="638">
        <v>64256.2</v>
      </c>
      <c r="AC245" s="635">
        <f t="shared" si="94"/>
        <v>321281</v>
      </c>
      <c r="AD245" s="654">
        <v>82</v>
      </c>
      <c r="AE245" s="654">
        <v>43876.39</v>
      </c>
      <c r="AF245" s="637">
        <f t="shared" si="95"/>
        <v>3597863.98</v>
      </c>
      <c r="AG245" s="638">
        <v>82</v>
      </c>
      <c r="AH245" s="638">
        <v>43512.572999999997</v>
      </c>
      <c r="AI245" s="635">
        <f t="shared" si="96"/>
        <v>3568030.9859999996</v>
      </c>
      <c r="AJ245" s="636"/>
      <c r="AK245" s="636"/>
      <c r="AL245" s="637">
        <f t="shared" si="97"/>
        <v>0</v>
      </c>
      <c r="AM245" s="638"/>
      <c r="AN245" s="638"/>
      <c r="AO245" s="640">
        <f t="shared" si="98"/>
        <v>0</v>
      </c>
      <c r="AP245" s="636">
        <v>3</v>
      </c>
      <c r="AQ245" s="636">
        <v>115033</v>
      </c>
      <c r="AR245" s="637">
        <f t="shared" si="99"/>
        <v>282360.00180000003</v>
      </c>
      <c r="AS245" s="638">
        <v>2</v>
      </c>
      <c r="AT245" s="638">
        <v>102911</v>
      </c>
      <c r="AU245" s="635">
        <f t="shared" si="100"/>
        <v>168403.56040000002</v>
      </c>
      <c r="AV245" s="636">
        <v>2</v>
      </c>
      <c r="AW245" s="636">
        <v>98745</v>
      </c>
      <c r="AX245" s="637">
        <f t="shared" si="101"/>
        <v>161586.318</v>
      </c>
      <c r="AY245" s="638">
        <v>2</v>
      </c>
      <c r="AZ245" s="638">
        <v>91100</v>
      </c>
      <c r="BA245" s="635">
        <f t="shared" si="102"/>
        <v>149076.04</v>
      </c>
      <c r="BB245" s="636"/>
      <c r="BC245" s="636"/>
      <c r="BD245" s="637">
        <f t="shared" si="103"/>
        <v>0</v>
      </c>
      <c r="BE245" s="638">
        <v>2</v>
      </c>
      <c r="BF245" s="638">
        <v>92800</v>
      </c>
      <c r="BG245" s="635">
        <f t="shared" si="104"/>
        <v>151857.92000000001</v>
      </c>
      <c r="BH245" s="654">
        <v>1</v>
      </c>
      <c r="BI245" s="654">
        <v>43000</v>
      </c>
      <c r="BJ245" s="637">
        <f t="shared" si="105"/>
        <v>35182.6</v>
      </c>
      <c r="BK245" s="638"/>
      <c r="BL245" s="638"/>
      <c r="BM245" s="635">
        <f t="shared" si="106"/>
        <v>0</v>
      </c>
      <c r="BN245" s="654">
        <v>5</v>
      </c>
      <c r="BO245" s="654">
        <v>54871.6</v>
      </c>
      <c r="BP245" s="637">
        <f t="shared" si="107"/>
        <v>224479.71560000003</v>
      </c>
      <c r="BQ245" s="638">
        <v>3</v>
      </c>
      <c r="BR245" s="638">
        <v>49218</v>
      </c>
      <c r="BS245" s="635">
        <f t="shared" si="108"/>
        <v>120810.5028</v>
      </c>
      <c r="BT245" s="636"/>
      <c r="BU245" s="636"/>
      <c r="BV245" s="637">
        <f t="shared" si="109"/>
        <v>0</v>
      </c>
      <c r="BW245" s="638"/>
      <c r="BX245" s="638"/>
      <c r="BY245" s="641">
        <f t="shared" si="110"/>
        <v>0</v>
      </c>
    </row>
    <row r="246" spans="1:77" x14ac:dyDescent="0.2">
      <c r="A246" s="377" t="s">
        <v>107</v>
      </c>
      <c r="B246" s="378" t="s">
        <v>956</v>
      </c>
      <c r="C246" s="383"/>
      <c r="D246" s="436">
        <v>161873</v>
      </c>
      <c r="E246" s="437">
        <v>4</v>
      </c>
      <c r="F246" s="631">
        <v>50</v>
      </c>
      <c r="G246" s="632">
        <v>128449</v>
      </c>
      <c r="H246" s="633">
        <f t="shared" si="87"/>
        <v>6422450</v>
      </c>
      <c r="I246" s="634">
        <v>47</v>
      </c>
      <c r="J246" s="634">
        <v>132949.617</v>
      </c>
      <c r="K246" s="635">
        <f t="shared" si="88"/>
        <v>6248631.9989999998</v>
      </c>
      <c r="L246" s="636">
        <v>52</v>
      </c>
      <c r="M246" s="636">
        <v>97742</v>
      </c>
      <c r="N246" s="637">
        <f t="shared" si="89"/>
        <v>5082584</v>
      </c>
      <c r="O246" s="638">
        <v>52</v>
      </c>
      <c r="P246" s="638">
        <v>99306.827000000005</v>
      </c>
      <c r="Q246" s="635">
        <f t="shared" si="90"/>
        <v>5163955.0040000007</v>
      </c>
      <c r="R246" s="636">
        <v>52</v>
      </c>
      <c r="S246" s="636">
        <v>81338</v>
      </c>
      <c r="T246" s="637">
        <f t="shared" si="91"/>
        <v>4229576</v>
      </c>
      <c r="U246" s="639">
        <v>51</v>
      </c>
      <c r="V246" s="639">
        <v>82965.509999999995</v>
      </c>
      <c r="W246" s="635">
        <f t="shared" si="92"/>
        <v>4231241.01</v>
      </c>
      <c r="X246" s="636">
        <v>7</v>
      </c>
      <c r="Y246" s="636">
        <v>75818</v>
      </c>
      <c r="Z246" s="637">
        <f t="shared" si="93"/>
        <v>530726</v>
      </c>
      <c r="AA246" s="638">
        <v>8</v>
      </c>
      <c r="AB246" s="638">
        <v>75091.375</v>
      </c>
      <c r="AC246" s="635">
        <f t="shared" si="94"/>
        <v>600731</v>
      </c>
      <c r="AD246" s="654">
        <v>10</v>
      </c>
      <c r="AE246" s="654">
        <v>55829.599999999999</v>
      </c>
      <c r="AF246" s="637">
        <f t="shared" si="95"/>
        <v>558296</v>
      </c>
      <c r="AG246" s="638">
        <v>9</v>
      </c>
      <c r="AH246" s="638">
        <v>55167.222000000002</v>
      </c>
      <c r="AI246" s="635">
        <f t="shared" si="96"/>
        <v>496504.99800000002</v>
      </c>
      <c r="AJ246" s="636"/>
      <c r="AK246" s="636"/>
      <c r="AL246" s="637">
        <f t="shared" si="97"/>
        <v>0</v>
      </c>
      <c r="AM246" s="638"/>
      <c r="AN246" s="638"/>
      <c r="AO246" s="640">
        <f t="shared" si="98"/>
        <v>0</v>
      </c>
      <c r="AP246" s="636">
        <v>4</v>
      </c>
      <c r="AQ246" s="636">
        <v>127072</v>
      </c>
      <c r="AR246" s="637">
        <f t="shared" si="99"/>
        <v>415881.24160000001</v>
      </c>
      <c r="AS246" s="638">
        <v>6</v>
      </c>
      <c r="AT246" s="638">
        <v>162387.83300000001</v>
      </c>
      <c r="AU246" s="635">
        <f t="shared" si="100"/>
        <v>797194.34976360016</v>
      </c>
      <c r="AV246" s="636">
        <v>1</v>
      </c>
      <c r="AW246" s="636">
        <v>102846</v>
      </c>
      <c r="AX246" s="637">
        <f t="shared" si="101"/>
        <v>84148.597200000004</v>
      </c>
      <c r="AY246" s="638">
        <v>2</v>
      </c>
      <c r="AZ246" s="638">
        <v>100173</v>
      </c>
      <c r="BA246" s="635">
        <f t="shared" si="102"/>
        <v>163923.09720000002</v>
      </c>
      <c r="BB246" s="636">
        <v>2</v>
      </c>
      <c r="BC246" s="636">
        <v>70000</v>
      </c>
      <c r="BD246" s="637">
        <f t="shared" si="103"/>
        <v>114548</v>
      </c>
      <c r="BE246" s="638">
        <v>1</v>
      </c>
      <c r="BF246" s="638">
        <v>85000</v>
      </c>
      <c r="BG246" s="635">
        <f t="shared" si="104"/>
        <v>69547</v>
      </c>
      <c r="BH246" s="654">
        <v>4</v>
      </c>
      <c r="BI246" s="654">
        <v>53500</v>
      </c>
      <c r="BJ246" s="637">
        <f t="shared" si="105"/>
        <v>175094.80000000002</v>
      </c>
      <c r="BK246" s="638">
        <v>6</v>
      </c>
      <c r="BL246" s="638">
        <v>60833.332999999999</v>
      </c>
      <c r="BM246" s="635">
        <f t="shared" si="106"/>
        <v>298642.99836360005</v>
      </c>
      <c r="BN246" s="636"/>
      <c r="BO246" s="636"/>
      <c r="BP246" s="637">
        <f t="shared" si="107"/>
        <v>0</v>
      </c>
      <c r="BQ246" s="638"/>
      <c r="BR246" s="638"/>
      <c r="BS246" s="635">
        <f t="shared" si="108"/>
        <v>0</v>
      </c>
      <c r="BT246" s="636"/>
      <c r="BU246" s="636"/>
      <c r="BV246" s="637">
        <f t="shared" si="109"/>
        <v>0</v>
      </c>
      <c r="BW246" s="638"/>
      <c r="BX246" s="638"/>
      <c r="BY246" s="641">
        <f t="shared" si="110"/>
        <v>0</v>
      </c>
    </row>
    <row r="247" spans="1:77" x14ac:dyDescent="0.2">
      <c r="A247" s="377" t="s">
        <v>107</v>
      </c>
      <c r="B247" s="378" t="s">
        <v>957</v>
      </c>
      <c r="C247" s="383"/>
      <c r="D247" s="436">
        <v>163338</v>
      </c>
      <c r="E247" s="437">
        <v>4</v>
      </c>
      <c r="F247" s="631">
        <v>18</v>
      </c>
      <c r="G247" s="632">
        <v>77945</v>
      </c>
      <c r="H247" s="633">
        <f t="shared" si="87"/>
        <v>1403010</v>
      </c>
      <c r="I247" s="634">
        <v>18</v>
      </c>
      <c r="J247" s="634">
        <v>77322.721999999994</v>
      </c>
      <c r="K247" s="635">
        <f t="shared" si="88"/>
        <v>1391808.9959999998</v>
      </c>
      <c r="L247" s="636">
        <v>37</v>
      </c>
      <c r="M247" s="636">
        <v>67385</v>
      </c>
      <c r="N247" s="637">
        <f t="shared" si="89"/>
        <v>2493245</v>
      </c>
      <c r="O247" s="638">
        <v>43</v>
      </c>
      <c r="P247" s="638">
        <v>66810.884000000005</v>
      </c>
      <c r="Q247" s="635">
        <f t="shared" si="90"/>
        <v>2872868.0120000001</v>
      </c>
      <c r="R247" s="636">
        <v>37</v>
      </c>
      <c r="S247" s="636">
        <v>62113</v>
      </c>
      <c r="T247" s="637">
        <f t="shared" si="91"/>
        <v>2298181</v>
      </c>
      <c r="U247" s="639">
        <v>34</v>
      </c>
      <c r="V247" s="639">
        <v>62247.5</v>
      </c>
      <c r="W247" s="635">
        <f t="shared" si="92"/>
        <v>2116415</v>
      </c>
      <c r="X247" s="636">
        <v>3</v>
      </c>
      <c r="Y247" s="636">
        <v>67809</v>
      </c>
      <c r="Z247" s="637">
        <f t="shared" si="93"/>
        <v>203427</v>
      </c>
      <c r="AA247" s="638">
        <v>3</v>
      </c>
      <c r="AB247" s="638">
        <v>67809.332999999999</v>
      </c>
      <c r="AC247" s="635">
        <f t="shared" si="94"/>
        <v>203427.99900000001</v>
      </c>
      <c r="AD247" s="654">
        <v>45</v>
      </c>
      <c r="AE247" s="654">
        <v>48694.578000000001</v>
      </c>
      <c r="AF247" s="637">
        <f t="shared" si="95"/>
        <v>2191256.0100000002</v>
      </c>
      <c r="AG247" s="638">
        <v>28</v>
      </c>
      <c r="AH247" s="638">
        <v>45595.607000000004</v>
      </c>
      <c r="AI247" s="635">
        <f t="shared" si="96"/>
        <v>1276676.996</v>
      </c>
      <c r="AJ247" s="636"/>
      <c r="AK247" s="636"/>
      <c r="AL247" s="637">
        <f t="shared" si="97"/>
        <v>0</v>
      </c>
      <c r="AM247" s="638"/>
      <c r="AN247" s="638"/>
      <c r="AO247" s="640">
        <f t="shared" si="98"/>
        <v>0</v>
      </c>
      <c r="AP247" s="636">
        <v>12</v>
      </c>
      <c r="AQ247" s="636">
        <v>106998</v>
      </c>
      <c r="AR247" s="637">
        <f t="shared" si="99"/>
        <v>1050549.1632000001</v>
      </c>
      <c r="AS247" s="638">
        <v>12</v>
      </c>
      <c r="AT247" s="638">
        <v>118414.667</v>
      </c>
      <c r="AU247" s="635">
        <f t="shared" si="100"/>
        <v>1162642.5664728</v>
      </c>
      <c r="AV247" s="636">
        <v>13</v>
      </c>
      <c r="AW247" s="636">
        <v>96112</v>
      </c>
      <c r="AX247" s="637">
        <f t="shared" si="101"/>
        <v>1022304.8992000001</v>
      </c>
      <c r="AY247" s="638">
        <v>13</v>
      </c>
      <c r="AZ247" s="638">
        <v>96557.077000000005</v>
      </c>
      <c r="BA247" s="635">
        <f t="shared" si="102"/>
        <v>1027039.0052182002</v>
      </c>
      <c r="BB247" s="636">
        <v>21</v>
      </c>
      <c r="BC247" s="636">
        <v>85818</v>
      </c>
      <c r="BD247" s="637">
        <f t="shared" si="103"/>
        <v>1474542.0396</v>
      </c>
      <c r="BE247" s="638">
        <v>23</v>
      </c>
      <c r="BF247" s="638">
        <v>90204.478000000003</v>
      </c>
      <c r="BG247" s="635">
        <f t="shared" si="104"/>
        <v>1697521.9896908</v>
      </c>
      <c r="BH247" s="654">
        <v>1</v>
      </c>
      <c r="BI247" s="654">
        <v>63787</v>
      </c>
      <c r="BJ247" s="637">
        <f t="shared" si="105"/>
        <v>52190.523400000005</v>
      </c>
      <c r="BK247" s="638">
        <v>1</v>
      </c>
      <c r="BL247" s="638">
        <v>63787</v>
      </c>
      <c r="BM247" s="635">
        <f t="shared" si="106"/>
        <v>52190.523400000005</v>
      </c>
      <c r="BN247" s="654">
        <v>8</v>
      </c>
      <c r="BO247" s="654">
        <v>69929</v>
      </c>
      <c r="BP247" s="637">
        <f t="shared" si="107"/>
        <v>457727.26240000001</v>
      </c>
      <c r="BQ247" s="638">
        <v>10</v>
      </c>
      <c r="BR247" s="638">
        <v>71441.2</v>
      </c>
      <c r="BS247" s="635">
        <f t="shared" si="108"/>
        <v>584531.89840000006</v>
      </c>
      <c r="BT247" s="636"/>
      <c r="BU247" s="636"/>
      <c r="BV247" s="637">
        <f t="shared" si="109"/>
        <v>0</v>
      </c>
      <c r="BW247" s="638"/>
      <c r="BX247" s="638"/>
      <c r="BY247" s="641">
        <f t="shared" si="110"/>
        <v>0</v>
      </c>
    </row>
    <row r="248" spans="1:77" x14ac:dyDescent="0.2">
      <c r="A248" s="377" t="s">
        <v>107</v>
      </c>
      <c r="B248" s="382" t="s">
        <v>958</v>
      </c>
      <c r="C248" s="383" t="s">
        <v>976</v>
      </c>
      <c r="D248" s="436">
        <v>163912</v>
      </c>
      <c r="E248" s="437">
        <v>6</v>
      </c>
      <c r="F248" s="631">
        <v>43</v>
      </c>
      <c r="G248" s="632">
        <v>88734</v>
      </c>
      <c r="H248" s="633">
        <f t="shared" si="87"/>
        <v>3815562</v>
      </c>
      <c r="I248" s="634">
        <v>42</v>
      </c>
      <c r="J248" s="634">
        <v>89110.452000000005</v>
      </c>
      <c r="K248" s="635">
        <f t="shared" si="88"/>
        <v>3742638.9840000002</v>
      </c>
      <c r="L248" s="636">
        <v>48</v>
      </c>
      <c r="M248" s="636">
        <v>64696</v>
      </c>
      <c r="N248" s="637">
        <f t="shared" si="89"/>
        <v>3105408</v>
      </c>
      <c r="O248" s="638">
        <v>51</v>
      </c>
      <c r="P248" s="638">
        <v>64213.627</v>
      </c>
      <c r="Q248" s="635">
        <f t="shared" si="90"/>
        <v>3274894.977</v>
      </c>
      <c r="R248" s="636">
        <v>51</v>
      </c>
      <c r="S248" s="636">
        <v>52941</v>
      </c>
      <c r="T248" s="637">
        <f t="shared" si="91"/>
        <v>2699991</v>
      </c>
      <c r="U248" s="639">
        <v>42</v>
      </c>
      <c r="V248" s="639">
        <v>56772.451999999997</v>
      </c>
      <c r="W248" s="635">
        <f t="shared" si="92"/>
        <v>2384442.9839999997</v>
      </c>
      <c r="X248" s="636">
        <v>2</v>
      </c>
      <c r="Y248" s="636">
        <v>43250</v>
      </c>
      <c r="Z248" s="637">
        <f t="shared" si="93"/>
        <v>86500</v>
      </c>
      <c r="AA248" s="638">
        <v>3</v>
      </c>
      <c r="AB248" s="638">
        <v>49666.667000000001</v>
      </c>
      <c r="AC248" s="635">
        <f t="shared" si="94"/>
        <v>149000.00099999999</v>
      </c>
      <c r="AD248" s="645"/>
      <c r="AE248" s="645"/>
      <c r="AF248" s="637">
        <f t="shared" si="95"/>
        <v>0</v>
      </c>
      <c r="AG248" s="638"/>
      <c r="AH248" s="638"/>
      <c r="AI248" s="635">
        <f t="shared" si="96"/>
        <v>0</v>
      </c>
      <c r="AJ248" s="636"/>
      <c r="AK248" s="636"/>
      <c r="AL248" s="637">
        <f t="shared" si="97"/>
        <v>0</v>
      </c>
      <c r="AM248" s="638"/>
      <c r="AN248" s="638"/>
      <c r="AO248" s="640">
        <f t="shared" si="98"/>
        <v>0</v>
      </c>
      <c r="AP248" s="636"/>
      <c r="AQ248" s="636"/>
      <c r="AR248" s="637">
        <f t="shared" si="99"/>
        <v>0</v>
      </c>
      <c r="AS248" s="638">
        <v>3</v>
      </c>
      <c r="AT248" s="638">
        <v>159905</v>
      </c>
      <c r="AU248" s="635">
        <f t="shared" si="100"/>
        <v>392502.81300000002</v>
      </c>
      <c r="AV248" s="636"/>
      <c r="AW248" s="636"/>
      <c r="AX248" s="637">
        <f t="shared" si="101"/>
        <v>0</v>
      </c>
      <c r="AY248" s="638"/>
      <c r="AZ248" s="638"/>
      <c r="BA248" s="635">
        <f t="shared" si="102"/>
        <v>0</v>
      </c>
      <c r="BB248" s="636"/>
      <c r="BC248" s="636"/>
      <c r="BD248" s="637">
        <f t="shared" si="103"/>
        <v>0</v>
      </c>
      <c r="BE248" s="638"/>
      <c r="BF248" s="638"/>
      <c r="BG248" s="635">
        <f t="shared" si="104"/>
        <v>0</v>
      </c>
      <c r="BH248" s="636"/>
      <c r="BI248" s="636"/>
      <c r="BJ248" s="637">
        <f t="shared" si="105"/>
        <v>0</v>
      </c>
      <c r="BK248" s="638"/>
      <c r="BL248" s="638"/>
      <c r="BM248" s="635">
        <f t="shared" si="106"/>
        <v>0</v>
      </c>
      <c r="BN248" s="636"/>
      <c r="BO248" s="636"/>
      <c r="BP248" s="637">
        <f t="shared" si="107"/>
        <v>0</v>
      </c>
      <c r="BQ248" s="638"/>
      <c r="BR248" s="638"/>
      <c r="BS248" s="635">
        <f t="shared" si="108"/>
        <v>0</v>
      </c>
      <c r="BT248" s="636"/>
      <c r="BU248" s="636"/>
      <c r="BV248" s="637">
        <f t="shared" si="109"/>
        <v>0</v>
      </c>
      <c r="BW248" s="638"/>
      <c r="BX248" s="638"/>
      <c r="BY248" s="641">
        <f t="shared" si="110"/>
        <v>0</v>
      </c>
    </row>
    <row r="249" spans="1:77" x14ac:dyDescent="0.2">
      <c r="A249" s="377" t="s">
        <v>107</v>
      </c>
      <c r="B249" s="378" t="s">
        <v>959</v>
      </c>
      <c r="C249" s="383"/>
      <c r="D249" s="436">
        <v>161767</v>
      </c>
      <c r="E249" s="381">
        <v>8</v>
      </c>
      <c r="F249" s="631">
        <v>74</v>
      </c>
      <c r="G249" s="632">
        <v>82950</v>
      </c>
      <c r="H249" s="633">
        <f t="shared" si="87"/>
        <v>6138300</v>
      </c>
      <c r="I249" s="634">
        <v>73</v>
      </c>
      <c r="J249" s="634">
        <v>82440.903999999995</v>
      </c>
      <c r="K249" s="635">
        <f t="shared" si="88"/>
        <v>6018185.9919999996</v>
      </c>
      <c r="L249" s="636">
        <v>82</v>
      </c>
      <c r="M249" s="636">
        <v>66174</v>
      </c>
      <c r="N249" s="637">
        <f t="shared" si="89"/>
        <v>5426268</v>
      </c>
      <c r="O249" s="638">
        <v>91</v>
      </c>
      <c r="P249" s="638">
        <v>65770.451000000001</v>
      </c>
      <c r="Q249" s="635">
        <f t="shared" si="90"/>
        <v>5985111.0410000002</v>
      </c>
      <c r="R249" s="636">
        <v>74</v>
      </c>
      <c r="S249" s="636">
        <v>58049</v>
      </c>
      <c r="T249" s="637">
        <f t="shared" si="91"/>
        <v>4295626</v>
      </c>
      <c r="U249" s="639">
        <v>71</v>
      </c>
      <c r="V249" s="639">
        <v>57551.423000000003</v>
      </c>
      <c r="W249" s="635">
        <f t="shared" si="92"/>
        <v>4086151.0330000003</v>
      </c>
      <c r="X249" s="636">
        <v>22</v>
      </c>
      <c r="Y249" s="636">
        <v>50050</v>
      </c>
      <c r="Z249" s="637">
        <f t="shared" si="93"/>
        <v>1101100</v>
      </c>
      <c r="AA249" s="638">
        <v>17</v>
      </c>
      <c r="AB249" s="638">
        <v>49944.646999999997</v>
      </c>
      <c r="AC249" s="635">
        <f t="shared" si="94"/>
        <v>849058.99899999995</v>
      </c>
      <c r="AD249" s="645"/>
      <c r="AE249" s="645"/>
      <c r="AF249" s="637">
        <f t="shared" si="95"/>
        <v>0</v>
      </c>
      <c r="AG249" s="638"/>
      <c r="AH249" s="638"/>
      <c r="AI249" s="635">
        <f t="shared" si="96"/>
        <v>0</v>
      </c>
      <c r="AJ249" s="636"/>
      <c r="AK249" s="636"/>
      <c r="AL249" s="637">
        <f t="shared" si="97"/>
        <v>0</v>
      </c>
      <c r="AM249" s="638"/>
      <c r="AN249" s="638"/>
      <c r="AO249" s="640">
        <f t="shared" si="98"/>
        <v>0</v>
      </c>
      <c r="AP249" s="636">
        <v>2</v>
      </c>
      <c r="AQ249" s="636">
        <v>102856</v>
      </c>
      <c r="AR249" s="637">
        <f t="shared" si="99"/>
        <v>168313.55840000001</v>
      </c>
      <c r="AS249" s="638">
        <v>3</v>
      </c>
      <c r="AT249" s="638">
        <v>96559.332999999999</v>
      </c>
      <c r="AU249" s="635">
        <f t="shared" si="100"/>
        <v>237014.53878180002</v>
      </c>
      <c r="AV249" s="636">
        <v>8</v>
      </c>
      <c r="AW249" s="636">
        <v>77286</v>
      </c>
      <c r="AX249" s="637">
        <f t="shared" si="101"/>
        <v>505883.24160000001</v>
      </c>
      <c r="AY249" s="638">
        <v>7</v>
      </c>
      <c r="AZ249" s="638">
        <v>77474.570999999996</v>
      </c>
      <c r="BA249" s="635">
        <f t="shared" si="102"/>
        <v>443727.8579454</v>
      </c>
      <c r="BB249" s="636">
        <v>2</v>
      </c>
      <c r="BC249" s="636">
        <v>70121</v>
      </c>
      <c r="BD249" s="637">
        <f t="shared" si="103"/>
        <v>114746.00440000001</v>
      </c>
      <c r="BE249" s="638">
        <v>1</v>
      </c>
      <c r="BF249" s="638">
        <v>70121</v>
      </c>
      <c r="BG249" s="635">
        <f t="shared" si="104"/>
        <v>57373.002200000003</v>
      </c>
      <c r="BH249" s="636">
        <v>1</v>
      </c>
      <c r="BI249" s="636">
        <v>63441</v>
      </c>
      <c r="BJ249" s="637">
        <f t="shared" si="105"/>
        <v>51907.426200000002</v>
      </c>
      <c r="BK249" s="638">
        <v>1</v>
      </c>
      <c r="BL249" s="638">
        <v>63441</v>
      </c>
      <c r="BM249" s="635">
        <f t="shared" si="106"/>
        <v>51907.426200000002</v>
      </c>
      <c r="BN249" s="636"/>
      <c r="BO249" s="636"/>
      <c r="BP249" s="637">
        <f t="shared" si="107"/>
        <v>0</v>
      </c>
      <c r="BQ249" s="638"/>
      <c r="BR249" s="638"/>
      <c r="BS249" s="635">
        <f t="shared" si="108"/>
        <v>0</v>
      </c>
      <c r="BT249" s="636"/>
      <c r="BU249" s="636"/>
      <c r="BV249" s="637">
        <f t="shared" si="109"/>
        <v>0</v>
      </c>
      <c r="BW249" s="638"/>
      <c r="BX249" s="638"/>
      <c r="BY249" s="641">
        <f t="shared" si="110"/>
        <v>0</v>
      </c>
    </row>
    <row r="250" spans="1:77" x14ac:dyDescent="0.2">
      <c r="A250" s="377" t="s">
        <v>107</v>
      </c>
      <c r="B250" s="382" t="s">
        <v>966</v>
      </c>
      <c r="C250" s="438" t="s">
        <v>978</v>
      </c>
      <c r="D250" s="436">
        <v>162122</v>
      </c>
      <c r="E250" s="439">
        <v>8</v>
      </c>
      <c r="F250" s="631">
        <v>74</v>
      </c>
      <c r="G250" s="632">
        <v>81356</v>
      </c>
      <c r="H250" s="633">
        <f t="shared" si="87"/>
        <v>6020344</v>
      </c>
      <c r="I250" s="634">
        <v>71</v>
      </c>
      <c r="J250" s="634">
        <v>81715.520999999993</v>
      </c>
      <c r="K250" s="635">
        <f t="shared" si="88"/>
        <v>5801801.9909999995</v>
      </c>
      <c r="L250" s="636">
        <v>16</v>
      </c>
      <c r="M250" s="636">
        <v>64597</v>
      </c>
      <c r="N250" s="637">
        <f t="shared" si="89"/>
        <v>1033552</v>
      </c>
      <c r="O250" s="638">
        <v>10</v>
      </c>
      <c r="P250" s="638">
        <v>65384.800000000003</v>
      </c>
      <c r="Q250" s="635">
        <f t="shared" si="90"/>
        <v>653848</v>
      </c>
      <c r="R250" s="636">
        <v>13</v>
      </c>
      <c r="S250" s="636">
        <v>58333</v>
      </c>
      <c r="T250" s="637">
        <f t="shared" si="91"/>
        <v>758329</v>
      </c>
      <c r="U250" s="639">
        <v>22</v>
      </c>
      <c r="V250" s="639">
        <v>61790.135999999999</v>
      </c>
      <c r="W250" s="635">
        <f t="shared" si="92"/>
        <v>1359382.9920000001</v>
      </c>
      <c r="X250" s="636">
        <v>1</v>
      </c>
      <c r="Y250" s="636">
        <v>43765</v>
      </c>
      <c r="Z250" s="637">
        <f t="shared" si="93"/>
        <v>43765</v>
      </c>
      <c r="AA250" s="638"/>
      <c r="AB250" s="638"/>
      <c r="AC250" s="635">
        <f t="shared" si="94"/>
        <v>0</v>
      </c>
      <c r="AD250" s="645"/>
      <c r="AE250" s="645"/>
      <c r="AF250" s="637">
        <f t="shared" si="95"/>
        <v>0</v>
      </c>
      <c r="AG250" s="638"/>
      <c r="AH250" s="638"/>
      <c r="AI250" s="635">
        <f t="shared" si="96"/>
        <v>0</v>
      </c>
      <c r="AJ250" s="636"/>
      <c r="AK250" s="636"/>
      <c r="AL250" s="637">
        <f t="shared" si="97"/>
        <v>0</v>
      </c>
      <c r="AM250" s="638"/>
      <c r="AN250" s="638"/>
      <c r="AO250" s="640">
        <f t="shared" si="98"/>
        <v>0</v>
      </c>
      <c r="AP250" s="636">
        <v>15</v>
      </c>
      <c r="AQ250" s="636">
        <v>101673</v>
      </c>
      <c r="AR250" s="637">
        <f t="shared" si="99"/>
        <v>1247832.7290000001</v>
      </c>
      <c r="AS250" s="638">
        <v>14</v>
      </c>
      <c r="AT250" s="638">
        <v>102626.21400000001</v>
      </c>
      <c r="AU250" s="635">
        <f t="shared" si="100"/>
        <v>1175562.7561272001</v>
      </c>
      <c r="AV250" s="636">
        <v>6</v>
      </c>
      <c r="AW250" s="636">
        <v>81396</v>
      </c>
      <c r="AX250" s="637">
        <f t="shared" si="101"/>
        <v>399589.24320000003</v>
      </c>
      <c r="AY250" s="638">
        <v>4</v>
      </c>
      <c r="AZ250" s="638">
        <v>79289.5</v>
      </c>
      <c r="BA250" s="635">
        <f t="shared" si="102"/>
        <v>259498.67560000002</v>
      </c>
      <c r="BB250" s="636">
        <v>1</v>
      </c>
      <c r="BC250" s="636">
        <v>72481</v>
      </c>
      <c r="BD250" s="637">
        <f t="shared" si="103"/>
        <v>59303.9542</v>
      </c>
      <c r="BE250" s="638">
        <v>3</v>
      </c>
      <c r="BF250" s="638">
        <v>73257.332999999999</v>
      </c>
      <c r="BG250" s="635">
        <f t="shared" si="104"/>
        <v>179817.44958180003</v>
      </c>
      <c r="BH250" s="636"/>
      <c r="BI250" s="636"/>
      <c r="BJ250" s="637">
        <f t="shared" si="105"/>
        <v>0</v>
      </c>
      <c r="BK250" s="638"/>
      <c r="BL250" s="638"/>
      <c r="BM250" s="635">
        <f t="shared" si="106"/>
        <v>0</v>
      </c>
      <c r="BN250" s="636"/>
      <c r="BO250" s="636"/>
      <c r="BP250" s="637">
        <f t="shared" si="107"/>
        <v>0</v>
      </c>
      <c r="BQ250" s="638"/>
      <c r="BR250" s="638"/>
      <c r="BS250" s="635">
        <f t="shared" si="108"/>
        <v>0</v>
      </c>
      <c r="BT250" s="636"/>
      <c r="BU250" s="636"/>
      <c r="BV250" s="637">
        <f t="shared" si="109"/>
        <v>0</v>
      </c>
      <c r="BW250" s="638"/>
      <c r="BX250" s="638"/>
      <c r="BY250" s="641">
        <f t="shared" si="110"/>
        <v>0</v>
      </c>
    </row>
    <row r="251" spans="1:77" x14ac:dyDescent="0.2">
      <c r="A251" s="377" t="s">
        <v>107</v>
      </c>
      <c r="B251" s="378" t="s">
        <v>960</v>
      </c>
      <c r="C251" s="383"/>
      <c r="D251" s="436">
        <v>434672</v>
      </c>
      <c r="E251" s="381">
        <v>8</v>
      </c>
      <c r="F251" s="631">
        <v>53</v>
      </c>
      <c r="G251" s="632">
        <v>84276</v>
      </c>
      <c r="H251" s="633">
        <f t="shared" si="87"/>
        <v>4466628</v>
      </c>
      <c r="I251" s="634">
        <v>49</v>
      </c>
      <c r="J251" s="634">
        <v>85423.551000000007</v>
      </c>
      <c r="K251" s="635">
        <f t="shared" si="88"/>
        <v>4185753.9990000003</v>
      </c>
      <c r="L251" s="636">
        <v>95</v>
      </c>
      <c r="M251" s="636">
        <v>66270</v>
      </c>
      <c r="N251" s="637">
        <f t="shared" si="89"/>
        <v>6295650</v>
      </c>
      <c r="O251" s="638">
        <v>101</v>
      </c>
      <c r="P251" s="638">
        <v>67020.563999999998</v>
      </c>
      <c r="Q251" s="635">
        <f t="shared" si="90"/>
        <v>6769076.9639999997</v>
      </c>
      <c r="R251" s="636">
        <v>159</v>
      </c>
      <c r="S251" s="636">
        <v>56374</v>
      </c>
      <c r="T251" s="637">
        <f t="shared" si="91"/>
        <v>8963466</v>
      </c>
      <c r="U251" s="639">
        <v>155</v>
      </c>
      <c r="V251" s="639">
        <v>57562.347999999998</v>
      </c>
      <c r="W251" s="635">
        <f t="shared" si="92"/>
        <v>8922163.9399999995</v>
      </c>
      <c r="X251" s="636">
        <v>30</v>
      </c>
      <c r="Y251" s="636">
        <v>50423</v>
      </c>
      <c r="Z251" s="637">
        <f t="shared" si="93"/>
        <v>1512690</v>
      </c>
      <c r="AA251" s="638">
        <v>39</v>
      </c>
      <c r="AB251" s="638">
        <v>51358.538</v>
      </c>
      <c r="AC251" s="635">
        <f t="shared" si="94"/>
        <v>2002982.9820000001</v>
      </c>
      <c r="AD251" s="645"/>
      <c r="AE251" s="645"/>
      <c r="AF251" s="637">
        <f t="shared" si="95"/>
        <v>0</v>
      </c>
      <c r="AG251" s="638"/>
      <c r="AH251" s="638"/>
      <c r="AI251" s="635">
        <f t="shared" si="96"/>
        <v>0</v>
      </c>
      <c r="AJ251" s="636"/>
      <c r="AK251" s="636"/>
      <c r="AL251" s="637">
        <f t="shared" si="97"/>
        <v>0</v>
      </c>
      <c r="AM251" s="638"/>
      <c r="AN251" s="638"/>
      <c r="AO251" s="640">
        <f t="shared" si="98"/>
        <v>0</v>
      </c>
      <c r="AP251" s="636">
        <v>18</v>
      </c>
      <c r="AQ251" s="636">
        <v>103186</v>
      </c>
      <c r="AR251" s="637">
        <f t="shared" si="99"/>
        <v>1519682.1336000001</v>
      </c>
      <c r="AS251" s="638">
        <v>17</v>
      </c>
      <c r="AT251" s="638">
        <v>102604.118</v>
      </c>
      <c r="AU251" s="635">
        <f t="shared" si="100"/>
        <v>1427161.7189092</v>
      </c>
      <c r="AV251" s="636">
        <v>17</v>
      </c>
      <c r="AW251" s="636">
        <v>80334</v>
      </c>
      <c r="AX251" s="637">
        <f t="shared" si="101"/>
        <v>1117397.7396</v>
      </c>
      <c r="AY251" s="638">
        <v>14</v>
      </c>
      <c r="AZ251" s="638">
        <v>82945.642999999996</v>
      </c>
      <c r="BA251" s="635">
        <f t="shared" si="102"/>
        <v>950125.75143639988</v>
      </c>
      <c r="BB251" s="636">
        <v>26</v>
      </c>
      <c r="BC251" s="636">
        <v>71026</v>
      </c>
      <c r="BD251" s="637">
        <f t="shared" si="103"/>
        <v>1510950.3032</v>
      </c>
      <c r="BE251" s="638">
        <v>30</v>
      </c>
      <c r="BF251" s="638">
        <v>72136.800000000003</v>
      </c>
      <c r="BG251" s="635">
        <f t="shared" si="104"/>
        <v>1770669.8928</v>
      </c>
      <c r="BH251" s="636">
        <v>17</v>
      </c>
      <c r="BI251" s="636">
        <v>56875</v>
      </c>
      <c r="BJ251" s="637">
        <f t="shared" si="105"/>
        <v>791097.125</v>
      </c>
      <c r="BK251" s="638">
        <v>21</v>
      </c>
      <c r="BL251" s="638">
        <v>61623.142999999996</v>
      </c>
      <c r="BM251" s="635">
        <f t="shared" si="106"/>
        <v>1058821.1676546</v>
      </c>
      <c r="BN251" s="636"/>
      <c r="BO251" s="636"/>
      <c r="BP251" s="637">
        <f t="shared" si="107"/>
        <v>0</v>
      </c>
      <c r="BQ251" s="638"/>
      <c r="BR251" s="638"/>
      <c r="BS251" s="635">
        <f t="shared" si="108"/>
        <v>0</v>
      </c>
      <c r="BT251" s="636"/>
      <c r="BU251" s="636"/>
      <c r="BV251" s="637">
        <f t="shared" si="109"/>
        <v>0</v>
      </c>
      <c r="BW251" s="638"/>
      <c r="BX251" s="638"/>
      <c r="BY251" s="641">
        <f t="shared" si="110"/>
        <v>0</v>
      </c>
    </row>
    <row r="252" spans="1:77" x14ac:dyDescent="0.2">
      <c r="A252" s="377" t="s">
        <v>107</v>
      </c>
      <c r="B252" s="382" t="s">
        <v>970</v>
      </c>
      <c r="C252" s="438" t="s">
        <v>978</v>
      </c>
      <c r="D252" s="436">
        <v>162779</v>
      </c>
      <c r="E252" s="439">
        <v>8</v>
      </c>
      <c r="F252" s="631">
        <v>34</v>
      </c>
      <c r="G252" s="632">
        <v>81219</v>
      </c>
      <c r="H252" s="633">
        <f t="shared" si="87"/>
        <v>2761446</v>
      </c>
      <c r="I252" s="634">
        <v>35</v>
      </c>
      <c r="J252" s="634">
        <v>82448.629000000001</v>
      </c>
      <c r="K252" s="635">
        <f t="shared" si="88"/>
        <v>2885702.0150000001</v>
      </c>
      <c r="L252" s="636">
        <v>23</v>
      </c>
      <c r="M252" s="636">
        <v>67336</v>
      </c>
      <c r="N252" s="637">
        <f t="shared" si="89"/>
        <v>1548728</v>
      </c>
      <c r="O252" s="638">
        <v>28</v>
      </c>
      <c r="P252" s="638">
        <v>67046.857000000004</v>
      </c>
      <c r="Q252" s="635">
        <f t="shared" si="90"/>
        <v>1877311.996</v>
      </c>
      <c r="R252" s="636">
        <v>48</v>
      </c>
      <c r="S252" s="636">
        <v>57157</v>
      </c>
      <c r="T252" s="637">
        <f t="shared" si="91"/>
        <v>2743536</v>
      </c>
      <c r="U252" s="639">
        <v>52</v>
      </c>
      <c r="V252" s="639">
        <v>57882.923000000003</v>
      </c>
      <c r="W252" s="635">
        <f t="shared" si="92"/>
        <v>3009911.9960000003</v>
      </c>
      <c r="X252" s="636">
        <v>19</v>
      </c>
      <c r="Y252" s="636">
        <v>52159</v>
      </c>
      <c r="Z252" s="637">
        <f t="shared" si="93"/>
        <v>991021</v>
      </c>
      <c r="AA252" s="638">
        <v>20</v>
      </c>
      <c r="AB252" s="638">
        <v>52062.65</v>
      </c>
      <c r="AC252" s="635">
        <f t="shared" si="94"/>
        <v>1041253</v>
      </c>
      <c r="AD252" s="645"/>
      <c r="AE252" s="645"/>
      <c r="AF252" s="637">
        <f t="shared" si="95"/>
        <v>0</v>
      </c>
      <c r="AG252" s="638">
        <v>1</v>
      </c>
      <c r="AH252" s="638">
        <v>53520</v>
      </c>
      <c r="AI252" s="635">
        <f t="shared" si="96"/>
        <v>53520</v>
      </c>
      <c r="AJ252" s="636"/>
      <c r="AK252" s="636"/>
      <c r="AL252" s="637">
        <f t="shared" si="97"/>
        <v>0</v>
      </c>
      <c r="AM252" s="638"/>
      <c r="AN252" s="638"/>
      <c r="AO252" s="640">
        <f t="shared" si="98"/>
        <v>0</v>
      </c>
      <c r="AP252" s="636">
        <v>16</v>
      </c>
      <c r="AQ252" s="636">
        <v>101378</v>
      </c>
      <c r="AR252" s="637">
        <f t="shared" si="99"/>
        <v>1327159.6736000001</v>
      </c>
      <c r="AS252" s="638">
        <v>16</v>
      </c>
      <c r="AT252" s="638">
        <v>101909.31299999999</v>
      </c>
      <c r="AU252" s="635">
        <f t="shared" si="100"/>
        <v>1334115.1983455999</v>
      </c>
      <c r="AV252" s="636">
        <v>7</v>
      </c>
      <c r="AW252" s="636">
        <v>81880</v>
      </c>
      <c r="AX252" s="637">
        <f t="shared" si="101"/>
        <v>468959.51200000005</v>
      </c>
      <c r="AY252" s="638">
        <v>11</v>
      </c>
      <c r="AZ252" s="638">
        <v>82693.635999999999</v>
      </c>
      <c r="BA252" s="635">
        <f t="shared" si="102"/>
        <v>744259.26272720005</v>
      </c>
      <c r="BB252" s="636">
        <v>3</v>
      </c>
      <c r="BC252" s="636">
        <v>73161</v>
      </c>
      <c r="BD252" s="637">
        <f t="shared" si="103"/>
        <v>179580.99060000002</v>
      </c>
      <c r="BE252" s="638">
        <v>5</v>
      </c>
      <c r="BF252" s="638">
        <v>76402.399999999994</v>
      </c>
      <c r="BG252" s="635">
        <f t="shared" si="104"/>
        <v>312562.21840000001</v>
      </c>
      <c r="BH252" s="636"/>
      <c r="BI252" s="636"/>
      <c r="BJ252" s="637">
        <f t="shared" si="105"/>
        <v>0</v>
      </c>
      <c r="BK252" s="638">
        <v>4</v>
      </c>
      <c r="BL252" s="638">
        <v>65108</v>
      </c>
      <c r="BM252" s="635">
        <f t="shared" si="106"/>
        <v>213085.46240000002</v>
      </c>
      <c r="BN252" s="636"/>
      <c r="BO252" s="636"/>
      <c r="BP252" s="637">
        <f t="shared" si="107"/>
        <v>0</v>
      </c>
      <c r="BQ252" s="638">
        <v>1</v>
      </c>
      <c r="BR252" s="638">
        <v>55245</v>
      </c>
      <c r="BS252" s="635">
        <f t="shared" si="108"/>
        <v>45201.459000000003</v>
      </c>
      <c r="BT252" s="636"/>
      <c r="BU252" s="636"/>
      <c r="BV252" s="637">
        <f t="shared" si="109"/>
        <v>0</v>
      </c>
      <c r="BW252" s="638"/>
      <c r="BX252" s="638"/>
      <c r="BY252" s="641">
        <f t="shared" si="110"/>
        <v>0</v>
      </c>
    </row>
    <row r="253" spans="1:77" x14ac:dyDescent="0.2">
      <c r="A253" s="377" t="s">
        <v>107</v>
      </c>
      <c r="B253" s="378" t="s">
        <v>961</v>
      </c>
      <c r="C253" s="383"/>
      <c r="D253" s="436">
        <v>163426</v>
      </c>
      <c r="E253" s="381">
        <v>8</v>
      </c>
      <c r="F253" s="631">
        <v>286</v>
      </c>
      <c r="G253" s="632">
        <v>86922</v>
      </c>
      <c r="H253" s="633">
        <f t="shared" si="87"/>
        <v>24859692</v>
      </c>
      <c r="I253" s="634">
        <v>286</v>
      </c>
      <c r="J253" s="634">
        <v>86922.087</v>
      </c>
      <c r="K253" s="635">
        <f t="shared" si="88"/>
        <v>24859716.881999999</v>
      </c>
      <c r="L253" s="636">
        <v>134</v>
      </c>
      <c r="M253" s="636">
        <v>70429</v>
      </c>
      <c r="N253" s="637">
        <f t="shared" si="89"/>
        <v>9437486</v>
      </c>
      <c r="O253" s="638">
        <v>134</v>
      </c>
      <c r="P253" s="638">
        <v>70429.134000000005</v>
      </c>
      <c r="Q253" s="635">
        <f t="shared" si="90"/>
        <v>9437503.9560000002</v>
      </c>
      <c r="R253" s="636">
        <v>99</v>
      </c>
      <c r="S253" s="636">
        <v>59890</v>
      </c>
      <c r="T253" s="637">
        <f t="shared" si="91"/>
        <v>5929110</v>
      </c>
      <c r="U253" s="639">
        <v>99</v>
      </c>
      <c r="V253" s="639">
        <v>59889.838000000003</v>
      </c>
      <c r="W253" s="635">
        <f t="shared" si="92"/>
        <v>5929093.9620000003</v>
      </c>
      <c r="X253" s="636">
        <v>3</v>
      </c>
      <c r="Y253" s="636">
        <v>58401</v>
      </c>
      <c r="Z253" s="637">
        <f t="shared" si="93"/>
        <v>175203</v>
      </c>
      <c r="AA253" s="638">
        <v>3</v>
      </c>
      <c r="AB253" s="638">
        <v>58401.332999999999</v>
      </c>
      <c r="AC253" s="635">
        <f t="shared" si="94"/>
        <v>175203.99900000001</v>
      </c>
      <c r="AD253" s="636"/>
      <c r="AE253" s="636"/>
      <c r="AF253" s="637">
        <f t="shared" si="95"/>
        <v>0</v>
      </c>
      <c r="AG253" s="638"/>
      <c r="AH253" s="638"/>
      <c r="AI253" s="635">
        <f t="shared" si="96"/>
        <v>0</v>
      </c>
      <c r="AJ253" s="636"/>
      <c r="AK253" s="636"/>
      <c r="AL253" s="637">
        <f t="shared" si="97"/>
        <v>0</v>
      </c>
      <c r="AM253" s="638"/>
      <c r="AN253" s="638"/>
      <c r="AO253" s="640">
        <f t="shared" si="98"/>
        <v>0</v>
      </c>
      <c r="AP253" s="636"/>
      <c r="AQ253" s="636"/>
      <c r="AR253" s="637">
        <f t="shared" si="99"/>
        <v>0</v>
      </c>
      <c r="AS253" s="638"/>
      <c r="AT253" s="638"/>
      <c r="AU253" s="635">
        <f t="shared" si="100"/>
        <v>0</v>
      </c>
      <c r="AV253" s="636"/>
      <c r="AW253" s="636"/>
      <c r="AX253" s="637">
        <f t="shared" si="101"/>
        <v>0</v>
      </c>
      <c r="AY253" s="638"/>
      <c r="AZ253" s="638"/>
      <c r="BA253" s="635">
        <f t="shared" si="102"/>
        <v>0</v>
      </c>
      <c r="BB253" s="636"/>
      <c r="BC253" s="636"/>
      <c r="BD253" s="637">
        <f t="shared" si="103"/>
        <v>0</v>
      </c>
      <c r="BE253" s="638"/>
      <c r="BF253" s="638"/>
      <c r="BG253" s="635">
        <f t="shared" si="104"/>
        <v>0</v>
      </c>
      <c r="BH253" s="636"/>
      <c r="BI253" s="636"/>
      <c r="BJ253" s="637">
        <f t="shared" si="105"/>
        <v>0</v>
      </c>
      <c r="BK253" s="638"/>
      <c r="BL253" s="638"/>
      <c r="BM253" s="635">
        <f t="shared" si="106"/>
        <v>0</v>
      </c>
      <c r="BN253" s="636"/>
      <c r="BO253" s="636"/>
      <c r="BP253" s="637">
        <f t="shared" si="107"/>
        <v>0</v>
      </c>
      <c r="BQ253" s="638"/>
      <c r="BR253" s="638"/>
      <c r="BS253" s="635">
        <f t="shared" si="108"/>
        <v>0</v>
      </c>
      <c r="BT253" s="636"/>
      <c r="BU253" s="636"/>
      <c r="BV253" s="637">
        <f t="shared" si="109"/>
        <v>0</v>
      </c>
      <c r="BW253" s="638"/>
      <c r="BX253" s="638"/>
      <c r="BY253" s="641">
        <f t="shared" si="110"/>
        <v>0</v>
      </c>
    </row>
    <row r="254" spans="1:77" x14ac:dyDescent="0.2">
      <c r="A254" s="377" t="s">
        <v>107</v>
      </c>
      <c r="B254" s="378" t="s">
        <v>962</v>
      </c>
      <c r="C254" s="383"/>
      <c r="D254" s="436">
        <v>163657</v>
      </c>
      <c r="E254" s="381">
        <v>8</v>
      </c>
      <c r="F254" s="631">
        <v>88</v>
      </c>
      <c r="G254" s="632">
        <v>73353</v>
      </c>
      <c r="H254" s="633">
        <f t="shared" si="87"/>
        <v>6455064</v>
      </c>
      <c r="I254" s="634">
        <v>92</v>
      </c>
      <c r="J254" s="634">
        <v>70659.793000000005</v>
      </c>
      <c r="K254" s="635">
        <f t="shared" si="88"/>
        <v>6500700.9560000002</v>
      </c>
      <c r="L254" s="636">
        <v>108</v>
      </c>
      <c r="M254" s="636">
        <v>59142</v>
      </c>
      <c r="N254" s="637">
        <f t="shared" si="89"/>
        <v>6387336</v>
      </c>
      <c r="O254" s="638">
        <v>100</v>
      </c>
      <c r="P254" s="638">
        <v>58677.74</v>
      </c>
      <c r="Q254" s="635">
        <f t="shared" si="90"/>
        <v>5867774</v>
      </c>
      <c r="R254" s="636">
        <v>33</v>
      </c>
      <c r="S254" s="636">
        <v>51032</v>
      </c>
      <c r="T254" s="637">
        <f t="shared" si="91"/>
        <v>1684056</v>
      </c>
      <c r="U254" s="639">
        <v>44</v>
      </c>
      <c r="V254" s="639">
        <v>50391.341</v>
      </c>
      <c r="W254" s="635">
        <f t="shared" si="92"/>
        <v>2217219.0040000002</v>
      </c>
      <c r="X254" s="636">
        <v>2</v>
      </c>
      <c r="Y254" s="636">
        <v>46250</v>
      </c>
      <c r="Z254" s="637">
        <f t="shared" si="93"/>
        <v>92500</v>
      </c>
      <c r="AA254" s="638">
        <v>1</v>
      </c>
      <c r="AB254" s="638">
        <v>48997</v>
      </c>
      <c r="AC254" s="635">
        <f t="shared" si="94"/>
        <v>48997</v>
      </c>
      <c r="AD254" s="636"/>
      <c r="AE254" s="636"/>
      <c r="AF254" s="637">
        <f t="shared" si="95"/>
        <v>0</v>
      </c>
      <c r="AG254" s="638"/>
      <c r="AH254" s="638"/>
      <c r="AI254" s="635">
        <f t="shared" si="96"/>
        <v>0</v>
      </c>
      <c r="AJ254" s="636"/>
      <c r="AK254" s="636"/>
      <c r="AL254" s="637">
        <f t="shared" si="97"/>
        <v>0</v>
      </c>
      <c r="AM254" s="638"/>
      <c r="AN254" s="638"/>
      <c r="AO254" s="640">
        <f t="shared" si="98"/>
        <v>0</v>
      </c>
      <c r="AP254" s="636">
        <v>3</v>
      </c>
      <c r="AQ254" s="636">
        <v>93766</v>
      </c>
      <c r="AR254" s="637">
        <f t="shared" si="99"/>
        <v>230158.02360000001</v>
      </c>
      <c r="AS254" s="638">
        <v>2</v>
      </c>
      <c r="AT254" s="638">
        <v>86130</v>
      </c>
      <c r="AU254" s="635">
        <f t="shared" si="100"/>
        <v>140943.13200000001</v>
      </c>
      <c r="AV254" s="636">
        <v>2</v>
      </c>
      <c r="AW254" s="636">
        <v>75674</v>
      </c>
      <c r="AX254" s="637">
        <f t="shared" si="101"/>
        <v>123832.9336</v>
      </c>
      <c r="AY254" s="638">
        <v>2</v>
      </c>
      <c r="AZ254" s="638">
        <v>75674</v>
      </c>
      <c r="BA254" s="635">
        <f t="shared" si="102"/>
        <v>123832.9336</v>
      </c>
      <c r="BB254" s="636">
        <v>2</v>
      </c>
      <c r="BC254" s="636">
        <v>68447</v>
      </c>
      <c r="BD254" s="637">
        <f t="shared" si="103"/>
        <v>112006.67080000001</v>
      </c>
      <c r="BE254" s="638">
        <v>2</v>
      </c>
      <c r="BF254" s="638">
        <v>68447</v>
      </c>
      <c r="BG254" s="635">
        <f t="shared" si="104"/>
        <v>112006.67080000001</v>
      </c>
      <c r="BH254" s="636"/>
      <c r="BI254" s="636">
        <v>60563</v>
      </c>
      <c r="BJ254" s="637">
        <f t="shared" si="105"/>
        <v>0</v>
      </c>
      <c r="BK254" s="638"/>
      <c r="BL254" s="638"/>
      <c r="BM254" s="635">
        <f t="shared" si="106"/>
        <v>0</v>
      </c>
      <c r="BN254" s="654">
        <v>1</v>
      </c>
      <c r="BO254" s="654">
        <v>99784</v>
      </c>
      <c r="BP254" s="637">
        <f t="shared" si="107"/>
        <v>81643.268800000005</v>
      </c>
      <c r="BQ254" s="638"/>
      <c r="BR254" s="638"/>
      <c r="BS254" s="635">
        <f t="shared" si="108"/>
        <v>0</v>
      </c>
      <c r="BT254" s="636"/>
      <c r="BU254" s="636"/>
      <c r="BV254" s="637">
        <f t="shared" si="109"/>
        <v>0</v>
      </c>
      <c r="BW254" s="638"/>
      <c r="BX254" s="638"/>
      <c r="BY254" s="641">
        <f t="shared" si="110"/>
        <v>0</v>
      </c>
    </row>
    <row r="255" spans="1:77" x14ac:dyDescent="0.2">
      <c r="A255" s="434" t="s">
        <v>107</v>
      </c>
      <c r="B255" s="378" t="s">
        <v>963</v>
      </c>
      <c r="C255" s="383"/>
      <c r="D255" s="440">
        <v>161688</v>
      </c>
      <c r="E255" s="441">
        <v>9</v>
      </c>
      <c r="F255" s="631">
        <v>32</v>
      </c>
      <c r="G255" s="632">
        <v>62184</v>
      </c>
      <c r="H255" s="633">
        <f t="shared" si="87"/>
        <v>1989888</v>
      </c>
      <c r="I255" s="634">
        <v>27</v>
      </c>
      <c r="J255" s="653">
        <v>61981.963000000003</v>
      </c>
      <c r="K255" s="635">
        <f t="shared" si="88"/>
        <v>1673513.0010000002</v>
      </c>
      <c r="L255" s="636">
        <v>22</v>
      </c>
      <c r="M255" s="636">
        <v>47705</v>
      </c>
      <c r="N255" s="637">
        <f t="shared" si="89"/>
        <v>1049510</v>
      </c>
      <c r="O255" s="638">
        <v>23</v>
      </c>
      <c r="P255" s="638">
        <v>48366.826000000001</v>
      </c>
      <c r="Q255" s="635">
        <f t="shared" si="90"/>
        <v>1112436.9980000001</v>
      </c>
      <c r="R255" s="636">
        <v>26</v>
      </c>
      <c r="S255" s="636">
        <v>43166</v>
      </c>
      <c r="T255" s="637">
        <f t="shared" si="91"/>
        <v>1122316</v>
      </c>
      <c r="U255" s="639">
        <v>23</v>
      </c>
      <c r="V255" s="639">
        <v>44517.434999999998</v>
      </c>
      <c r="W255" s="635">
        <f t="shared" si="92"/>
        <v>1023901.0049999999</v>
      </c>
      <c r="X255" s="636">
        <v>4</v>
      </c>
      <c r="Y255" s="636">
        <v>37452</v>
      </c>
      <c r="Z255" s="637">
        <f t="shared" si="93"/>
        <v>149808</v>
      </c>
      <c r="AA255" s="638">
        <v>7</v>
      </c>
      <c r="AB255" s="638">
        <v>39556.286</v>
      </c>
      <c r="AC255" s="635">
        <f t="shared" si="94"/>
        <v>276894.00199999998</v>
      </c>
      <c r="AD255" s="636"/>
      <c r="AE255" s="636"/>
      <c r="AF255" s="637">
        <f t="shared" si="95"/>
        <v>0</v>
      </c>
      <c r="AG255" s="638"/>
      <c r="AH255" s="638"/>
      <c r="AI255" s="635">
        <f t="shared" si="96"/>
        <v>0</v>
      </c>
      <c r="AJ255" s="636"/>
      <c r="AK255" s="636"/>
      <c r="AL255" s="637">
        <f t="shared" si="97"/>
        <v>0</v>
      </c>
      <c r="AM255" s="638"/>
      <c r="AN255" s="638"/>
      <c r="AO255" s="640">
        <f t="shared" si="98"/>
        <v>0</v>
      </c>
      <c r="AP255" s="636">
        <v>9</v>
      </c>
      <c r="AQ255" s="636">
        <v>77378</v>
      </c>
      <c r="AR255" s="637">
        <f t="shared" si="99"/>
        <v>569796.11640000006</v>
      </c>
      <c r="AS255" s="638">
        <v>9</v>
      </c>
      <c r="AT255" s="638">
        <v>77254.888999999996</v>
      </c>
      <c r="AU255" s="635">
        <f t="shared" si="100"/>
        <v>568889.55161820003</v>
      </c>
      <c r="AV255" s="636">
        <v>11</v>
      </c>
      <c r="AW255" s="636">
        <v>60559</v>
      </c>
      <c r="AX255" s="637">
        <f t="shared" si="101"/>
        <v>545043.11180000007</v>
      </c>
      <c r="AY255" s="638">
        <v>11</v>
      </c>
      <c r="AZ255" s="638">
        <v>61848</v>
      </c>
      <c r="BA255" s="635">
        <f t="shared" si="102"/>
        <v>556644.36959999998</v>
      </c>
      <c r="BB255" s="636">
        <v>6</v>
      </c>
      <c r="BC255" s="636">
        <v>58763</v>
      </c>
      <c r="BD255" s="637">
        <f t="shared" si="103"/>
        <v>288479.31959999999</v>
      </c>
      <c r="BE255" s="638">
        <v>7</v>
      </c>
      <c r="BF255" s="638">
        <v>55866.428999999996</v>
      </c>
      <c r="BG255" s="635">
        <f t="shared" si="104"/>
        <v>319969.38545459998</v>
      </c>
      <c r="BH255" s="636">
        <v>5</v>
      </c>
      <c r="BI255" s="636">
        <v>50689</v>
      </c>
      <c r="BJ255" s="637">
        <f t="shared" si="105"/>
        <v>207368.69900000002</v>
      </c>
      <c r="BK255" s="638">
        <v>5</v>
      </c>
      <c r="BL255" s="638">
        <v>52328.6</v>
      </c>
      <c r="BM255" s="635">
        <f t="shared" si="106"/>
        <v>214076.30260000002</v>
      </c>
      <c r="BN255" s="636"/>
      <c r="BO255" s="636"/>
      <c r="BP255" s="637">
        <f t="shared" si="107"/>
        <v>0</v>
      </c>
      <c r="BQ255" s="655">
        <v>1</v>
      </c>
      <c r="BR255" s="655">
        <v>48990</v>
      </c>
      <c r="BS255" s="635">
        <f t="shared" si="108"/>
        <v>40083.618000000002</v>
      </c>
      <c r="BT255" s="636"/>
      <c r="BU255" s="636"/>
      <c r="BV255" s="637">
        <f t="shared" si="109"/>
        <v>0</v>
      </c>
      <c r="BW255" s="638"/>
      <c r="BX255" s="638"/>
      <c r="BY255" s="641">
        <f t="shared" si="110"/>
        <v>0</v>
      </c>
    </row>
    <row r="256" spans="1:77" x14ac:dyDescent="0.2">
      <c r="A256" s="377" t="s">
        <v>107</v>
      </c>
      <c r="B256" s="378" t="s">
        <v>964</v>
      </c>
      <c r="C256" s="383" t="s">
        <v>977</v>
      </c>
      <c r="D256" s="436">
        <v>161864</v>
      </c>
      <c r="E256" s="441">
        <v>9</v>
      </c>
      <c r="F256" s="631">
        <v>23</v>
      </c>
      <c r="G256" s="632">
        <v>76950</v>
      </c>
      <c r="H256" s="633">
        <f t="shared" si="87"/>
        <v>1769850</v>
      </c>
      <c r="I256" s="634">
        <v>20</v>
      </c>
      <c r="J256" s="634">
        <v>77769.95</v>
      </c>
      <c r="K256" s="635">
        <f t="shared" si="88"/>
        <v>1555399</v>
      </c>
      <c r="L256" s="636">
        <v>21</v>
      </c>
      <c r="M256" s="636">
        <v>63142</v>
      </c>
      <c r="N256" s="637">
        <f t="shared" si="89"/>
        <v>1325982</v>
      </c>
      <c r="O256" s="638">
        <v>21</v>
      </c>
      <c r="P256" s="638">
        <v>64404.857000000004</v>
      </c>
      <c r="Q256" s="635">
        <f t="shared" si="90"/>
        <v>1352501.997</v>
      </c>
      <c r="R256" s="636">
        <v>74</v>
      </c>
      <c r="S256" s="636">
        <v>54738</v>
      </c>
      <c r="T256" s="637">
        <f t="shared" si="91"/>
        <v>4050612</v>
      </c>
      <c r="U256" s="639">
        <v>71</v>
      </c>
      <c r="V256" s="639">
        <v>55197.182999999997</v>
      </c>
      <c r="W256" s="635">
        <f t="shared" si="92"/>
        <v>3918999.9929999998</v>
      </c>
      <c r="X256" s="636">
        <v>5</v>
      </c>
      <c r="Y256" s="636">
        <v>45369</v>
      </c>
      <c r="Z256" s="637">
        <f t="shared" si="93"/>
        <v>226845</v>
      </c>
      <c r="AA256" s="638">
        <v>3</v>
      </c>
      <c r="AB256" s="638">
        <v>45533.332999999999</v>
      </c>
      <c r="AC256" s="635">
        <f t="shared" si="94"/>
        <v>136599.99900000001</v>
      </c>
      <c r="AD256" s="636"/>
      <c r="AE256" s="636"/>
      <c r="AF256" s="637">
        <f t="shared" si="95"/>
        <v>0</v>
      </c>
      <c r="AG256" s="638"/>
      <c r="AH256" s="638"/>
      <c r="AI256" s="635">
        <f t="shared" si="96"/>
        <v>0</v>
      </c>
      <c r="AJ256" s="636"/>
      <c r="AK256" s="636"/>
      <c r="AL256" s="637">
        <f t="shared" si="97"/>
        <v>0</v>
      </c>
      <c r="AM256" s="638"/>
      <c r="AN256" s="638"/>
      <c r="AO256" s="640">
        <f t="shared" si="98"/>
        <v>0</v>
      </c>
      <c r="AP256" s="636"/>
      <c r="AQ256" s="636"/>
      <c r="AR256" s="637">
        <f t="shared" si="99"/>
        <v>0</v>
      </c>
      <c r="AS256" s="638"/>
      <c r="AT256" s="638"/>
      <c r="AU256" s="635">
        <f t="shared" si="100"/>
        <v>0</v>
      </c>
      <c r="AV256" s="636"/>
      <c r="AW256" s="636"/>
      <c r="AX256" s="637">
        <f t="shared" si="101"/>
        <v>0</v>
      </c>
      <c r="AY256" s="638"/>
      <c r="AZ256" s="638"/>
      <c r="BA256" s="635">
        <f t="shared" si="102"/>
        <v>0</v>
      </c>
      <c r="BB256" s="636"/>
      <c r="BC256" s="636"/>
      <c r="BD256" s="637">
        <f t="shared" si="103"/>
        <v>0</v>
      </c>
      <c r="BE256" s="638"/>
      <c r="BF256" s="638"/>
      <c r="BG256" s="635">
        <f t="shared" si="104"/>
        <v>0</v>
      </c>
      <c r="BH256" s="636"/>
      <c r="BI256" s="636"/>
      <c r="BJ256" s="637">
        <f t="shared" si="105"/>
        <v>0</v>
      </c>
      <c r="BK256" s="638"/>
      <c r="BL256" s="638"/>
      <c r="BM256" s="635">
        <f t="shared" si="106"/>
        <v>0</v>
      </c>
      <c r="BN256" s="636"/>
      <c r="BO256" s="636"/>
      <c r="BP256" s="637">
        <f t="shared" si="107"/>
        <v>0</v>
      </c>
      <c r="BQ256" s="638"/>
      <c r="BR256" s="638"/>
      <c r="BS256" s="635">
        <f t="shared" si="108"/>
        <v>0</v>
      </c>
      <c r="BT256" s="636"/>
      <c r="BU256" s="636"/>
      <c r="BV256" s="637">
        <f t="shared" si="109"/>
        <v>0</v>
      </c>
      <c r="BW256" s="638"/>
      <c r="BX256" s="638"/>
      <c r="BY256" s="641">
        <f t="shared" si="110"/>
        <v>0</v>
      </c>
    </row>
    <row r="257" spans="1:79" x14ac:dyDescent="0.2">
      <c r="A257" s="377" t="s">
        <v>107</v>
      </c>
      <c r="B257" s="435" t="s">
        <v>965</v>
      </c>
      <c r="C257" s="442"/>
      <c r="D257" s="443">
        <v>405872</v>
      </c>
      <c r="E257" s="441">
        <v>9</v>
      </c>
      <c r="F257" s="631">
        <v>6</v>
      </c>
      <c r="G257" s="632">
        <v>67221</v>
      </c>
      <c r="H257" s="633">
        <f t="shared" si="87"/>
        <v>403326</v>
      </c>
      <c r="I257" s="634">
        <v>6</v>
      </c>
      <c r="J257" s="634">
        <v>62778.667000000001</v>
      </c>
      <c r="K257" s="635">
        <f t="shared" si="88"/>
        <v>376672.00199999998</v>
      </c>
      <c r="L257" s="636">
        <v>18</v>
      </c>
      <c r="M257" s="636">
        <v>59602</v>
      </c>
      <c r="N257" s="637">
        <f t="shared" si="89"/>
        <v>1072836</v>
      </c>
      <c r="O257" s="638">
        <v>19</v>
      </c>
      <c r="P257" s="638">
        <v>59485.737000000001</v>
      </c>
      <c r="Q257" s="635">
        <f t="shared" si="90"/>
        <v>1130229.003</v>
      </c>
      <c r="R257" s="636">
        <v>33</v>
      </c>
      <c r="S257" s="636">
        <v>51225</v>
      </c>
      <c r="T257" s="637">
        <f t="shared" si="91"/>
        <v>1690425</v>
      </c>
      <c r="U257" s="639">
        <v>37</v>
      </c>
      <c r="V257" s="639">
        <v>49271.514000000003</v>
      </c>
      <c r="W257" s="635">
        <f t="shared" si="92"/>
        <v>1823046.0180000002</v>
      </c>
      <c r="X257" s="636">
        <v>9</v>
      </c>
      <c r="Y257" s="636">
        <v>47266</v>
      </c>
      <c r="Z257" s="637">
        <f t="shared" si="93"/>
        <v>425394</v>
      </c>
      <c r="AA257" s="638">
        <v>6</v>
      </c>
      <c r="AB257" s="638">
        <v>49898.832999999999</v>
      </c>
      <c r="AC257" s="635">
        <f t="shared" si="94"/>
        <v>299392.99800000002</v>
      </c>
      <c r="AD257" s="636"/>
      <c r="AE257" s="636"/>
      <c r="AF257" s="637">
        <f t="shared" si="95"/>
        <v>0</v>
      </c>
      <c r="AG257" s="638"/>
      <c r="AH257" s="638"/>
      <c r="AI257" s="635">
        <f t="shared" si="96"/>
        <v>0</v>
      </c>
      <c r="AJ257" s="636"/>
      <c r="AK257" s="636"/>
      <c r="AL257" s="637">
        <f t="shared" si="97"/>
        <v>0</v>
      </c>
      <c r="AM257" s="638"/>
      <c r="AN257" s="638"/>
      <c r="AO257" s="640">
        <f t="shared" si="98"/>
        <v>0</v>
      </c>
      <c r="AP257" s="636"/>
      <c r="AQ257" s="636"/>
      <c r="AR257" s="637">
        <f t="shared" si="99"/>
        <v>0</v>
      </c>
      <c r="AS257" s="638"/>
      <c r="AT257" s="638"/>
      <c r="AU257" s="635">
        <f t="shared" si="100"/>
        <v>0</v>
      </c>
      <c r="AV257" s="636">
        <v>4</v>
      </c>
      <c r="AW257" s="636">
        <v>84461</v>
      </c>
      <c r="AX257" s="637">
        <f t="shared" si="101"/>
        <v>276423.9608</v>
      </c>
      <c r="AY257" s="638">
        <v>4</v>
      </c>
      <c r="AZ257" s="638">
        <v>84461</v>
      </c>
      <c r="BA257" s="635">
        <f t="shared" si="102"/>
        <v>276423.9608</v>
      </c>
      <c r="BB257" s="654">
        <v>3</v>
      </c>
      <c r="BC257" s="654">
        <v>55977.667000000001</v>
      </c>
      <c r="BD257" s="637">
        <f t="shared" si="103"/>
        <v>137402.7814182</v>
      </c>
      <c r="BE257" s="638">
        <v>3</v>
      </c>
      <c r="BF257" s="638">
        <v>55978</v>
      </c>
      <c r="BG257" s="635">
        <f t="shared" si="104"/>
        <v>137403.59880000001</v>
      </c>
      <c r="BH257" s="636"/>
      <c r="BI257" s="636"/>
      <c r="BJ257" s="637">
        <f t="shared" si="105"/>
        <v>0</v>
      </c>
      <c r="BK257" s="638"/>
      <c r="BL257" s="638"/>
      <c r="BM257" s="635">
        <f t="shared" si="106"/>
        <v>0</v>
      </c>
      <c r="BN257" s="636"/>
      <c r="BO257" s="636"/>
      <c r="BP257" s="637">
        <f t="shared" si="107"/>
        <v>0</v>
      </c>
      <c r="BQ257" s="638"/>
      <c r="BR257" s="638"/>
      <c r="BS257" s="635">
        <f t="shared" si="108"/>
        <v>0</v>
      </c>
      <c r="BT257" s="636"/>
      <c r="BU257" s="636"/>
      <c r="BV257" s="637">
        <f t="shared" si="109"/>
        <v>0</v>
      </c>
      <c r="BW257" s="638"/>
      <c r="BX257" s="638"/>
      <c r="BY257" s="641">
        <f t="shared" si="110"/>
        <v>0</v>
      </c>
    </row>
    <row r="258" spans="1:79" x14ac:dyDescent="0.2">
      <c r="A258" s="377" t="s">
        <v>107</v>
      </c>
      <c r="B258" s="378" t="s">
        <v>967</v>
      </c>
      <c r="C258" s="383"/>
      <c r="D258" s="436">
        <v>162557</v>
      </c>
      <c r="E258" s="441">
        <v>9</v>
      </c>
      <c r="F258" s="631">
        <v>21</v>
      </c>
      <c r="G258" s="632">
        <v>82671</v>
      </c>
      <c r="H258" s="633">
        <f t="shared" si="87"/>
        <v>1736091</v>
      </c>
      <c r="I258" s="634">
        <v>22</v>
      </c>
      <c r="J258" s="634">
        <v>83064.544999999998</v>
      </c>
      <c r="K258" s="635">
        <f t="shared" si="88"/>
        <v>1827419.99</v>
      </c>
      <c r="L258" s="636">
        <v>19</v>
      </c>
      <c r="M258" s="636">
        <v>69956</v>
      </c>
      <c r="N258" s="637">
        <f t="shared" si="89"/>
        <v>1329164</v>
      </c>
      <c r="O258" s="638">
        <v>17</v>
      </c>
      <c r="P258" s="638">
        <v>72800.528999999995</v>
      </c>
      <c r="Q258" s="635">
        <f t="shared" si="90"/>
        <v>1237608.993</v>
      </c>
      <c r="R258" s="636">
        <v>54</v>
      </c>
      <c r="S258" s="636">
        <v>58825</v>
      </c>
      <c r="T258" s="637">
        <f t="shared" si="91"/>
        <v>3176550</v>
      </c>
      <c r="U258" s="639">
        <v>55</v>
      </c>
      <c r="V258" s="639">
        <v>58167.8</v>
      </c>
      <c r="W258" s="635">
        <f t="shared" si="92"/>
        <v>3199229</v>
      </c>
      <c r="X258" s="636"/>
      <c r="Y258" s="636"/>
      <c r="Z258" s="637">
        <f t="shared" si="93"/>
        <v>0</v>
      </c>
      <c r="AA258" s="638"/>
      <c r="AB258" s="638"/>
      <c r="AC258" s="635">
        <f t="shared" si="94"/>
        <v>0</v>
      </c>
      <c r="AD258" s="636"/>
      <c r="AE258" s="636"/>
      <c r="AF258" s="637">
        <f t="shared" si="95"/>
        <v>0</v>
      </c>
      <c r="AG258" s="638"/>
      <c r="AH258" s="638"/>
      <c r="AI258" s="635">
        <f t="shared" si="96"/>
        <v>0</v>
      </c>
      <c r="AJ258" s="636"/>
      <c r="AK258" s="636"/>
      <c r="AL258" s="637">
        <f t="shared" si="97"/>
        <v>0</v>
      </c>
      <c r="AM258" s="638"/>
      <c r="AN258" s="638"/>
      <c r="AO258" s="640">
        <f t="shared" si="98"/>
        <v>0</v>
      </c>
      <c r="AP258" s="636">
        <v>2</v>
      </c>
      <c r="AQ258" s="636">
        <v>102255</v>
      </c>
      <c r="AR258" s="637">
        <f t="shared" si="99"/>
        <v>167330.08199999999</v>
      </c>
      <c r="AS258" s="638">
        <v>1</v>
      </c>
      <c r="AT258" s="638">
        <v>98604</v>
      </c>
      <c r="AU258" s="635">
        <f t="shared" si="100"/>
        <v>80677.79280000001</v>
      </c>
      <c r="AV258" s="636">
        <v>1</v>
      </c>
      <c r="AW258" s="636">
        <v>94555</v>
      </c>
      <c r="AX258" s="637">
        <f t="shared" si="101"/>
        <v>77364.900999999998</v>
      </c>
      <c r="AY258" s="638">
        <v>1</v>
      </c>
      <c r="AZ258" s="638">
        <v>94555</v>
      </c>
      <c r="BA258" s="635">
        <f t="shared" si="102"/>
        <v>77364.900999999998</v>
      </c>
      <c r="BB258" s="636">
        <v>1</v>
      </c>
      <c r="BC258" s="636">
        <v>70041</v>
      </c>
      <c r="BD258" s="637">
        <f t="shared" si="103"/>
        <v>57307.546200000004</v>
      </c>
      <c r="BE258" s="638">
        <v>1</v>
      </c>
      <c r="BF258" s="638">
        <v>80699</v>
      </c>
      <c r="BG258" s="635">
        <f t="shared" si="104"/>
        <v>66027.921799999996</v>
      </c>
      <c r="BH258" s="636"/>
      <c r="BI258" s="636"/>
      <c r="BJ258" s="637">
        <f t="shared" si="105"/>
        <v>0</v>
      </c>
      <c r="BK258" s="638"/>
      <c r="BL258" s="638"/>
      <c r="BM258" s="635">
        <f t="shared" si="106"/>
        <v>0</v>
      </c>
      <c r="BN258" s="636"/>
      <c r="BO258" s="636"/>
      <c r="BP258" s="637">
        <f t="shared" si="107"/>
        <v>0</v>
      </c>
      <c r="BQ258" s="638"/>
      <c r="BR258" s="638"/>
      <c r="BS258" s="635">
        <f t="shared" si="108"/>
        <v>0</v>
      </c>
      <c r="BT258" s="636"/>
      <c r="BU258" s="636"/>
      <c r="BV258" s="637">
        <f t="shared" si="109"/>
        <v>0</v>
      </c>
      <c r="BW258" s="638"/>
      <c r="BX258" s="638"/>
      <c r="BY258" s="641">
        <f t="shared" si="110"/>
        <v>0</v>
      </c>
    </row>
    <row r="259" spans="1:79" x14ac:dyDescent="0.2">
      <c r="A259" s="434" t="s">
        <v>107</v>
      </c>
      <c r="B259" s="378" t="s">
        <v>968</v>
      </c>
      <c r="C259" s="383"/>
      <c r="D259" s="440">
        <v>162690</v>
      </c>
      <c r="E259" s="441">
        <v>9</v>
      </c>
      <c r="F259" s="631">
        <v>12</v>
      </c>
      <c r="G259" s="632">
        <v>73654</v>
      </c>
      <c r="H259" s="633">
        <f t="shared" si="87"/>
        <v>883848</v>
      </c>
      <c r="I259" s="634">
        <v>13</v>
      </c>
      <c r="J259" s="634">
        <v>74691.384999999995</v>
      </c>
      <c r="K259" s="635">
        <f t="shared" si="88"/>
        <v>970988.00499999989</v>
      </c>
      <c r="L259" s="636">
        <v>10</v>
      </c>
      <c r="M259" s="636">
        <v>57062</v>
      </c>
      <c r="N259" s="637">
        <f t="shared" si="89"/>
        <v>570620</v>
      </c>
      <c r="O259" s="638">
        <v>12</v>
      </c>
      <c r="P259" s="638">
        <v>57567.25</v>
      </c>
      <c r="Q259" s="635">
        <f t="shared" si="90"/>
        <v>690807</v>
      </c>
      <c r="R259" s="636">
        <v>23</v>
      </c>
      <c r="S259" s="636">
        <v>52187</v>
      </c>
      <c r="T259" s="637">
        <f t="shared" si="91"/>
        <v>1200301</v>
      </c>
      <c r="U259" s="639">
        <v>23</v>
      </c>
      <c r="V259" s="639">
        <v>53284.042999999998</v>
      </c>
      <c r="W259" s="635">
        <f t="shared" si="92"/>
        <v>1225532.9890000001</v>
      </c>
      <c r="X259" s="636">
        <v>16</v>
      </c>
      <c r="Y259" s="636">
        <v>46714</v>
      </c>
      <c r="Z259" s="637">
        <f t="shared" si="93"/>
        <v>747424</v>
      </c>
      <c r="AA259" s="638">
        <v>14</v>
      </c>
      <c r="AB259" s="638">
        <v>47367.714</v>
      </c>
      <c r="AC259" s="635">
        <f t="shared" si="94"/>
        <v>663147.99600000004</v>
      </c>
      <c r="AD259" s="636"/>
      <c r="AE259" s="636"/>
      <c r="AF259" s="637">
        <f t="shared" si="95"/>
        <v>0</v>
      </c>
      <c r="AG259" s="638"/>
      <c r="AH259" s="638"/>
      <c r="AI259" s="635">
        <f t="shared" si="96"/>
        <v>0</v>
      </c>
      <c r="AJ259" s="636"/>
      <c r="AK259" s="636"/>
      <c r="AL259" s="637">
        <f t="shared" si="97"/>
        <v>0</v>
      </c>
      <c r="AM259" s="638"/>
      <c r="AN259" s="638"/>
      <c r="AO259" s="640">
        <f t="shared" si="98"/>
        <v>0</v>
      </c>
      <c r="AP259" s="636">
        <v>3</v>
      </c>
      <c r="AQ259" s="636">
        <v>94894</v>
      </c>
      <c r="AR259" s="637">
        <f t="shared" si="99"/>
        <v>232926.81240000002</v>
      </c>
      <c r="AS259" s="638">
        <v>2</v>
      </c>
      <c r="AT259" s="638">
        <v>98288.5</v>
      </c>
      <c r="AU259" s="635">
        <f t="shared" si="100"/>
        <v>160839.3014</v>
      </c>
      <c r="AV259" s="636">
        <v>1</v>
      </c>
      <c r="AW259" s="636">
        <v>62802</v>
      </c>
      <c r="AX259" s="637">
        <f t="shared" si="101"/>
        <v>51384.596400000002</v>
      </c>
      <c r="AY259" s="638">
        <v>1</v>
      </c>
      <c r="AZ259" s="638">
        <v>64650</v>
      </c>
      <c r="BA259" s="635">
        <f t="shared" si="102"/>
        <v>52896.630000000005</v>
      </c>
      <c r="BB259" s="636">
        <v>4</v>
      </c>
      <c r="BC259" s="636">
        <v>60464</v>
      </c>
      <c r="BD259" s="637">
        <f t="shared" si="103"/>
        <v>197886.57920000001</v>
      </c>
      <c r="BE259" s="638">
        <v>2</v>
      </c>
      <c r="BF259" s="638">
        <v>60827.5</v>
      </c>
      <c r="BG259" s="635">
        <f t="shared" si="104"/>
        <v>99538.120999999999</v>
      </c>
      <c r="BH259" s="636">
        <v>8</v>
      </c>
      <c r="BI259" s="636">
        <v>47685</v>
      </c>
      <c r="BJ259" s="637">
        <f t="shared" si="105"/>
        <v>312126.93599999999</v>
      </c>
      <c r="BK259" s="638">
        <v>9</v>
      </c>
      <c r="BL259" s="638">
        <v>51821.667000000001</v>
      </c>
      <c r="BM259" s="635">
        <f t="shared" si="106"/>
        <v>381604.39145460003</v>
      </c>
      <c r="BN259" s="636">
        <v>1</v>
      </c>
      <c r="BO259" s="636">
        <v>52000</v>
      </c>
      <c r="BP259" s="637">
        <f t="shared" si="107"/>
        <v>42546.400000000001</v>
      </c>
      <c r="BQ259" s="638"/>
      <c r="BR259" s="638"/>
      <c r="BS259" s="635">
        <f t="shared" si="108"/>
        <v>0</v>
      </c>
      <c r="BT259" s="636"/>
      <c r="BU259" s="636"/>
      <c r="BV259" s="637">
        <f t="shared" si="109"/>
        <v>0</v>
      </c>
      <c r="BW259" s="638"/>
      <c r="BX259" s="638"/>
      <c r="BY259" s="641">
        <f t="shared" si="110"/>
        <v>0</v>
      </c>
    </row>
    <row r="260" spans="1:79" x14ac:dyDescent="0.2">
      <c r="A260" s="377" t="s">
        <v>107</v>
      </c>
      <c r="B260" s="378" t="s">
        <v>969</v>
      </c>
      <c r="C260" s="383"/>
      <c r="D260" s="436">
        <v>162706</v>
      </c>
      <c r="E260" s="441">
        <v>9</v>
      </c>
      <c r="F260" s="631">
        <v>17</v>
      </c>
      <c r="G260" s="632">
        <v>81608</v>
      </c>
      <c r="H260" s="633">
        <f t="shared" si="87"/>
        <v>1387336</v>
      </c>
      <c r="I260" s="634">
        <v>17</v>
      </c>
      <c r="J260" s="634">
        <v>83609.471000000005</v>
      </c>
      <c r="K260" s="635">
        <f t="shared" si="88"/>
        <v>1421361.007</v>
      </c>
      <c r="L260" s="636">
        <v>23</v>
      </c>
      <c r="M260" s="636">
        <v>66210</v>
      </c>
      <c r="N260" s="637">
        <f t="shared" si="89"/>
        <v>1522830</v>
      </c>
      <c r="O260" s="638">
        <v>26</v>
      </c>
      <c r="P260" s="638">
        <v>65861.577000000005</v>
      </c>
      <c r="Q260" s="635">
        <f t="shared" si="90"/>
        <v>1712401.0020000001</v>
      </c>
      <c r="R260" s="636">
        <v>19</v>
      </c>
      <c r="S260" s="636">
        <v>52731</v>
      </c>
      <c r="T260" s="637">
        <f t="shared" si="91"/>
        <v>1001889</v>
      </c>
      <c r="U260" s="639">
        <v>18</v>
      </c>
      <c r="V260" s="639">
        <v>52407.889000000003</v>
      </c>
      <c r="W260" s="635">
        <f t="shared" si="92"/>
        <v>943342.00200000009</v>
      </c>
      <c r="X260" s="636"/>
      <c r="Y260" s="636"/>
      <c r="Z260" s="637">
        <f t="shared" si="93"/>
        <v>0</v>
      </c>
      <c r="AA260" s="638"/>
      <c r="AB260" s="638"/>
      <c r="AC260" s="635">
        <f t="shared" si="94"/>
        <v>0</v>
      </c>
      <c r="AD260" s="636">
        <v>36</v>
      </c>
      <c r="AE260" s="636">
        <v>44136</v>
      </c>
      <c r="AF260" s="637">
        <f t="shared" si="95"/>
        <v>1588896</v>
      </c>
      <c r="AG260" s="638"/>
      <c r="AH260" s="638"/>
      <c r="AI260" s="635">
        <f t="shared" si="96"/>
        <v>0</v>
      </c>
      <c r="AJ260" s="636"/>
      <c r="AK260" s="636"/>
      <c r="AL260" s="637">
        <f t="shared" si="97"/>
        <v>0</v>
      </c>
      <c r="AM260" s="638"/>
      <c r="AN260" s="638"/>
      <c r="AO260" s="640">
        <f t="shared" si="98"/>
        <v>0</v>
      </c>
      <c r="AP260" s="636"/>
      <c r="AQ260" s="636"/>
      <c r="AR260" s="637">
        <f t="shared" si="99"/>
        <v>0</v>
      </c>
      <c r="AS260" s="638"/>
      <c r="AT260" s="638"/>
      <c r="AU260" s="635">
        <f t="shared" si="100"/>
        <v>0</v>
      </c>
      <c r="AV260" s="636">
        <v>1</v>
      </c>
      <c r="AW260" s="636">
        <v>88332</v>
      </c>
      <c r="AX260" s="637">
        <f t="shared" si="101"/>
        <v>72273.242400000003</v>
      </c>
      <c r="AY260" s="638">
        <v>1</v>
      </c>
      <c r="AZ260" s="638">
        <v>90099</v>
      </c>
      <c r="BA260" s="635">
        <f t="shared" si="102"/>
        <v>73719.001799999998</v>
      </c>
      <c r="BB260" s="636"/>
      <c r="BC260" s="636"/>
      <c r="BD260" s="637">
        <f t="shared" si="103"/>
        <v>0</v>
      </c>
      <c r="BE260" s="638"/>
      <c r="BF260" s="638"/>
      <c r="BG260" s="635">
        <f t="shared" si="104"/>
        <v>0</v>
      </c>
      <c r="BH260" s="636">
        <v>2</v>
      </c>
      <c r="BI260" s="636">
        <v>62986</v>
      </c>
      <c r="BJ260" s="637">
        <f t="shared" si="105"/>
        <v>103070.2904</v>
      </c>
      <c r="BK260" s="638"/>
      <c r="BL260" s="638"/>
      <c r="BM260" s="635">
        <f t="shared" si="106"/>
        <v>0</v>
      </c>
      <c r="BN260" s="636"/>
      <c r="BO260" s="636"/>
      <c r="BP260" s="637">
        <f t="shared" si="107"/>
        <v>0</v>
      </c>
      <c r="BQ260" s="655">
        <v>1</v>
      </c>
      <c r="BR260" s="655">
        <v>53040</v>
      </c>
      <c r="BS260" s="635">
        <f t="shared" si="108"/>
        <v>43397.328000000001</v>
      </c>
      <c r="BT260" s="636"/>
      <c r="BU260" s="636"/>
      <c r="BV260" s="637">
        <f t="shared" si="109"/>
        <v>0</v>
      </c>
      <c r="BW260" s="638"/>
      <c r="BX260" s="638"/>
      <c r="BY260" s="641">
        <f t="shared" si="110"/>
        <v>0</v>
      </c>
    </row>
    <row r="261" spans="1:79" x14ac:dyDescent="0.2">
      <c r="A261" s="377" t="s">
        <v>107</v>
      </c>
      <c r="B261" s="435" t="s">
        <v>971</v>
      </c>
      <c r="C261" s="442"/>
      <c r="D261" s="443">
        <v>164313</v>
      </c>
      <c r="E261" s="441">
        <v>9</v>
      </c>
      <c r="F261" s="631">
        <v>5</v>
      </c>
      <c r="G261" s="632">
        <v>82661</v>
      </c>
      <c r="H261" s="633">
        <f t="shared" si="87"/>
        <v>413305</v>
      </c>
      <c r="I261" s="634">
        <v>5</v>
      </c>
      <c r="J261" s="634">
        <v>78813.8</v>
      </c>
      <c r="K261" s="635">
        <f t="shared" si="88"/>
        <v>394069</v>
      </c>
      <c r="L261" s="636">
        <v>7</v>
      </c>
      <c r="M261" s="636">
        <v>62862</v>
      </c>
      <c r="N261" s="637">
        <f t="shared" si="89"/>
        <v>440034</v>
      </c>
      <c r="O261" s="638">
        <v>8</v>
      </c>
      <c r="P261" s="638">
        <v>60929.625</v>
      </c>
      <c r="Q261" s="635">
        <f t="shared" si="90"/>
        <v>487437</v>
      </c>
      <c r="R261" s="636">
        <v>18</v>
      </c>
      <c r="S261" s="636">
        <v>53865</v>
      </c>
      <c r="T261" s="637">
        <f t="shared" si="91"/>
        <v>969570</v>
      </c>
      <c r="U261" s="639">
        <v>19</v>
      </c>
      <c r="V261" s="639">
        <v>53049.105000000003</v>
      </c>
      <c r="W261" s="635">
        <f t="shared" si="92"/>
        <v>1007932.9950000001</v>
      </c>
      <c r="X261" s="636">
        <v>22</v>
      </c>
      <c r="Y261" s="636">
        <v>45164</v>
      </c>
      <c r="Z261" s="637">
        <f t="shared" si="93"/>
        <v>993608</v>
      </c>
      <c r="AA261" s="638">
        <v>20</v>
      </c>
      <c r="AB261" s="638">
        <v>44845.8</v>
      </c>
      <c r="AC261" s="635">
        <f t="shared" si="94"/>
        <v>896916</v>
      </c>
      <c r="AD261" s="636"/>
      <c r="AE261" s="636"/>
      <c r="AF261" s="637">
        <f t="shared" si="95"/>
        <v>0</v>
      </c>
      <c r="AG261" s="638"/>
      <c r="AH261" s="638"/>
      <c r="AI261" s="635">
        <f t="shared" si="96"/>
        <v>0</v>
      </c>
      <c r="AJ261" s="636"/>
      <c r="AK261" s="636"/>
      <c r="AL261" s="637">
        <f t="shared" si="97"/>
        <v>0</v>
      </c>
      <c r="AM261" s="638"/>
      <c r="AN261" s="638"/>
      <c r="AO261" s="640">
        <f t="shared" si="98"/>
        <v>0</v>
      </c>
      <c r="AP261" s="636">
        <v>4</v>
      </c>
      <c r="AQ261" s="636">
        <v>88739</v>
      </c>
      <c r="AR261" s="637">
        <f t="shared" si="99"/>
        <v>290424.99920000002</v>
      </c>
      <c r="AS261" s="638">
        <v>5</v>
      </c>
      <c r="AT261" s="638">
        <v>89715.199999999997</v>
      </c>
      <c r="AU261" s="635">
        <f t="shared" si="100"/>
        <v>367024.88320000004</v>
      </c>
      <c r="AV261" s="636">
        <v>3</v>
      </c>
      <c r="AW261" s="636">
        <v>82686</v>
      </c>
      <c r="AX261" s="637">
        <f t="shared" si="101"/>
        <v>202961.05560000002</v>
      </c>
      <c r="AY261" s="638">
        <v>5</v>
      </c>
      <c r="AZ261" s="638">
        <v>79073.2</v>
      </c>
      <c r="BA261" s="635">
        <f t="shared" si="102"/>
        <v>323488.46120000002</v>
      </c>
      <c r="BB261" s="636">
        <v>4</v>
      </c>
      <c r="BC261" s="636">
        <v>63975</v>
      </c>
      <c r="BD261" s="637">
        <f t="shared" si="103"/>
        <v>209377.38</v>
      </c>
      <c r="BE261" s="638">
        <v>4</v>
      </c>
      <c r="BF261" s="638">
        <v>61722.25</v>
      </c>
      <c r="BG261" s="635">
        <f t="shared" si="104"/>
        <v>202004.57980000001</v>
      </c>
      <c r="BH261" s="636">
        <v>4</v>
      </c>
      <c r="BI261" s="636"/>
      <c r="BJ261" s="637">
        <f t="shared" si="105"/>
        <v>0</v>
      </c>
      <c r="BK261" s="638">
        <v>2</v>
      </c>
      <c r="BL261" s="638">
        <v>51728</v>
      </c>
      <c r="BM261" s="635">
        <f t="shared" si="106"/>
        <v>84647.699200000003</v>
      </c>
      <c r="BN261" s="636"/>
      <c r="BO261" s="636"/>
      <c r="BP261" s="637">
        <f t="shared" si="107"/>
        <v>0</v>
      </c>
      <c r="BQ261" s="638"/>
      <c r="BR261" s="638"/>
      <c r="BS261" s="635">
        <f t="shared" si="108"/>
        <v>0</v>
      </c>
      <c r="BT261" s="636"/>
      <c r="BU261" s="636"/>
      <c r="BV261" s="637">
        <f t="shared" si="109"/>
        <v>0</v>
      </c>
      <c r="BW261" s="638"/>
      <c r="BX261" s="638"/>
      <c r="BY261" s="641">
        <f t="shared" si="110"/>
        <v>0</v>
      </c>
    </row>
    <row r="262" spans="1:79" x14ac:dyDescent="0.2">
      <c r="A262" s="377" t="s">
        <v>107</v>
      </c>
      <c r="B262" s="378" t="s">
        <v>972</v>
      </c>
      <c r="C262" s="383"/>
      <c r="D262" s="436">
        <v>162104</v>
      </c>
      <c r="E262" s="381">
        <v>10</v>
      </c>
      <c r="F262" s="631">
        <v>10</v>
      </c>
      <c r="G262" s="632">
        <v>70424</v>
      </c>
      <c r="H262" s="633">
        <f t="shared" si="87"/>
        <v>704240</v>
      </c>
      <c r="I262" s="634">
        <v>10</v>
      </c>
      <c r="J262" s="634">
        <v>70615.899999999994</v>
      </c>
      <c r="K262" s="635">
        <f t="shared" si="88"/>
        <v>706159</v>
      </c>
      <c r="L262" s="636">
        <v>10</v>
      </c>
      <c r="M262" s="636">
        <v>58752</v>
      </c>
      <c r="N262" s="637">
        <f t="shared" si="89"/>
        <v>587520</v>
      </c>
      <c r="O262" s="638">
        <v>13</v>
      </c>
      <c r="P262" s="638">
        <v>59183.923000000003</v>
      </c>
      <c r="Q262" s="635">
        <f t="shared" si="90"/>
        <v>769390.99900000007</v>
      </c>
      <c r="R262" s="636">
        <v>21</v>
      </c>
      <c r="S262" s="636">
        <v>48618</v>
      </c>
      <c r="T262" s="637">
        <f t="shared" si="91"/>
        <v>1020978</v>
      </c>
      <c r="U262" s="639">
        <v>18</v>
      </c>
      <c r="V262" s="639">
        <v>47895.110999999997</v>
      </c>
      <c r="W262" s="635">
        <f t="shared" si="92"/>
        <v>862111.99799999991</v>
      </c>
      <c r="X262" s="636"/>
      <c r="Y262" s="636"/>
      <c r="Z262" s="637">
        <f t="shared" si="93"/>
        <v>0</v>
      </c>
      <c r="AA262" s="638">
        <v>2</v>
      </c>
      <c r="AB262" s="638">
        <v>42135.5</v>
      </c>
      <c r="AC262" s="635">
        <f t="shared" si="94"/>
        <v>84271</v>
      </c>
      <c r="AD262" s="636"/>
      <c r="AE262" s="636"/>
      <c r="AF262" s="637">
        <f t="shared" si="95"/>
        <v>0</v>
      </c>
      <c r="AG262" s="638"/>
      <c r="AH262" s="638"/>
      <c r="AI262" s="635">
        <f t="shared" si="96"/>
        <v>0</v>
      </c>
      <c r="AJ262" s="636"/>
      <c r="AK262" s="636"/>
      <c r="AL262" s="637">
        <f t="shared" si="97"/>
        <v>0</v>
      </c>
      <c r="AM262" s="638"/>
      <c r="AN262" s="638"/>
      <c r="AO262" s="640">
        <f t="shared" si="98"/>
        <v>0</v>
      </c>
      <c r="AP262" s="636">
        <v>2</v>
      </c>
      <c r="AQ262" s="636">
        <v>79255</v>
      </c>
      <c r="AR262" s="637">
        <f t="shared" si="99"/>
        <v>129692.88200000001</v>
      </c>
      <c r="AS262" s="638">
        <v>2</v>
      </c>
      <c r="AT262" s="638">
        <v>79254.5</v>
      </c>
      <c r="AU262" s="635">
        <f t="shared" si="100"/>
        <v>129692.0638</v>
      </c>
      <c r="AV262" s="636"/>
      <c r="AW262" s="636"/>
      <c r="AX262" s="637">
        <f t="shared" si="101"/>
        <v>0</v>
      </c>
      <c r="AY262" s="638"/>
      <c r="AZ262" s="638"/>
      <c r="BA262" s="635">
        <f t="shared" si="102"/>
        <v>0</v>
      </c>
      <c r="BB262" s="636">
        <v>1</v>
      </c>
      <c r="BC262" s="636">
        <v>56234</v>
      </c>
      <c r="BD262" s="637">
        <f t="shared" si="103"/>
        <v>46010.658800000005</v>
      </c>
      <c r="BE262" s="638">
        <v>2</v>
      </c>
      <c r="BF262" s="638">
        <v>51150.5</v>
      </c>
      <c r="BG262" s="635">
        <f t="shared" si="104"/>
        <v>83702.678200000009</v>
      </c>
      <c r="BH262" s="636"/>
      <c r="BI262" s="636"/>
      <c r="BJ262" s="637">
        <f t="shared" si="105"/>
        <v>0</v>
      </c>
      <c r="BK262" s="638"/>
      <c r="BL262" s="638"/>
      <c r="BM262" s="635">
        <f t="shared" si="106"/>
        <v>0</v>
      </c>
      <c r="BN262" s="636"/>
      <c r="BO262" s="636"/>
      <c r="BP262" s="637">
        <f t="shared" si="107"/>
        <v>0</v>
      </c>
      <c r="BQ262" s="638"/>
      <c r="BR262" s="638"/>
      <c r="BS262" s="635">
        <f t="shared" si="108"/>
        <v>0</v>
      </c>
      <c r="BT262" s="636"/>
      <c r="BU262" s="636"/>
      <c r="BV262" s="637">
        <f t="shared" si="109"/>
        <v>0</v>
      </c>
      <c r="BW262" s="638"/>
      <c r="BX262" s="638"/>
      <c r="BY262" s="641">
        <f t="shared" si="110"/>
        <v>0</v>
      </c>
    </row>
    <row r="263" spans="1:79" x14ac:dyDescent="0.2">
      <c r="A263" s="377" t="s">
        <v>107</v>
      </c>
      <c r="B263" s="378" t="s">
        <v>973</v>
      </c>
      <c r="C263" s="383"/>
      <c r="D263" s="436">
        <v>162168</v>
      </c>
      <c r="E263" s="381">
        <v>10</v>
      </c>
      <c r="F263" s="631">
        <v>12</v>
      </c>
      <c r="G263" s="632">
        <v>75109</v>
      </c>
      <c r="H263" s="633">
        <f t="shared" si="87"/>
        <v>901308</v>
      </c>
      <c r="I263" s="634">
        <v>13</v>
      </c>
      <c r="J263" s="634">
        <v>74557.077000000005</v>
      </c>
      <c r="K263" s="635">
        <f t="shared" si="88"/>
        <v>969242.00100000005</v>
      </c>
      <c r="L263" s="636">
        <v>18</v>
      </c>
      <c r="M263" s="636">
        <v>68694</v>
      </c>
      <c r="N263" s="637">
        <f t="shared" si="89"/>
        <v>1236492</v>
      </c>
      <c r="O263" s="638">
        <v>18</v>
      </c>
      <c r="P263" s="638">
        <v>67716.944000000003</v>
      </c>
      <c r="Q263" s="635">
        <f t="shared" si="90"/>
        <v>1218904.9920000001</v>
      </c>
      <c r="R263" s="636">
        <v>15</v>
      </c>
      <c r="S263" s="636">
        <v>57215</v>
      </c>
      <c r="T263" s="637">
        <f t="shared" si="91"/>
        <v>858225</v>
      </c>
      <c r="U263" s="639">
        <v>14</v>
      </c>
      <c r="V263" s="639">
        <v>57486.928999999996</v>
      </c>
      <c r="W263" s="635">
        <f t="shared" si="92"/>
        <v>804817.00599999994</v>
      </c>
      <c r="X263" s="636">
        <v>8</v>
      </c>
      <c r="Y263" s="636">
        <v>52022</v>
      </c>
      <c r="Z263" s="637">
        <f t="shared" si="93"/>
        <v>416176</v>
      </c>
      <c r="AA263" s="638">
        <v>11</v>
      </c>
      <c r="AB263" s="638">
        <v>53855.635999999999</v>
      </c>
      <c r="AC263" s="635">
        <f t="shared" si="94"/>
        <v>592411.99600000004</v>
      </c>
      <c r="AD263" s="636"/>
      <c r="AE263" s="636"/>
      <c r="AF263" s="637">
        <f t="shared" si="95"/>
        <v>0</v>
      </c>
      <c r="AG263" s="638"/>
      <c r="AH263" s="638"/>
      <c r="AI263" s="635">
        <f t="shared" si="96"/>
        <v>0</v>
      </c>
      <c r="AJ263" s="636"/>
      <c r="AK263" s="636"/>
      <c r="AL263" s="637">
        <f t="shared" si="97"/>
        <v>0</v>
      </c>
      <c r="AM263" s="638"/>
      <c r="AN263" s="638"/>
      <c r="AO263" s="640">
        <f t="shared" si="98"/>
        <v>0</v>
      </c>
      <c r="AP263" s="636">
        <v>2</v>
      </c>
      <c r="AQ263" s="636">
        <v>94238</v>
      </c>
      <c r="AR263" s="637">
        <f t="shared" si="99"/>
        <v>154211.0632</v>
      </c>
      <c r="AS263" s="638">
        <v>2</v>
      </c>
      <c r="AT263" s="638">
        <v>94238</v>
      </c>
      <c r="AU263" s="635">
        <f t="shared" si="100"/>
        <v>154211.0632</v>
      </c>
      <c r="AV263" s="636">
        <v>1</v>
      </c>
      <c r="AW263" s="636">
        <v>72591</v>
      </c>
      <c r="AX263" s="637">
        <f t="shared" si="101"/>
        <v>59393.956200000001</v>
      </c>
      <c r="AY263" s="638">
        <v>1</v>
      </c>
      <c r="AZ263" s="638">
        <v>86115</v>
      </c>
      <c r="BA263" s="635">
        <f t="shared" si="102"/>
        <v>70459.293000000005</v>
      </c>
      <c r="BB263" s="636">
        <v>2</v>
      </c>
      <c r="BC263" s="636">
        <v>78391</v>
      </c>
      <c r="BD263" s="637">
        <f t="shared" si="103"/>
        <v>128279.03240000001</v>
      </c>
      <c r="BE263" s="638">
        <v>1</v>
      </c>
      <c r="BF263" s="638">
        <v>73979</v>
      </c>
      <c r="BG263" s="635">
        <f t="shared" si="104"/>
        <v>60529.6178</v>
      </c>
      <c r="BH263" s="636">
        <v>1</v>
      </c>
      <c r="BI263" s="636">
        <v>46798</v>
      </c>
      <c r="BJ263" s="637">
        <f t="shared" si="105"/>
        <v>38290.123599999999</v>
      </c>
      <c r="BK263" s="638"/>
      <c r="BL263" s="638"/>
      <c r="BM263" s="635">
        <f t="shared" si="106"/>
        <v>0</v>
      </c>
      <c r="BN263" s="636"/>
      <c r="BO263" s="636"/>
      <c r="BP263" s="637">
        <f t="shared" si="107"/>
        <v>0</v>
      </c>
      <c r="BQ263" s="638">
        <v>1</v>
      </c>
      <c r="BR263" s="638">
        <v>46798</v>
      </c>
      <c r="BS263" s="635">
        <f t="shared" si="108"/>
        <v>38290.123599999999</v>
      </c>
      <c r="BT263" s="636"/>
      <c r="BU263" s="636"/>
      <c r="BV263" s="637">
        <f t="shared" si="109"/>
        <v>0</v>
      </c>
      <c r="BW263" s="638"/>
      <c r="BX263" s="638"/>
      <c r="BY263" s="641">
        <f t="shared" si="110"/>
        <v>0</v>
      </c>
    </row>
    <row r="264" spans="1:79" x14ac:dyDescent="0.2">
      <c r="A264" s="377" t="s">
        <v>107</v>
      </c>
      <c r="B264" s="378" t="s">
        <v>974</v>
      </c>
      <c r="C264" s="383"/>
      <c r="D264" s="436">
        <v>162609</v>
      </c>
      <c r="E264" s="381">
        <v>10</v>
      </c>
      <c r="F264" s="631">
        <v>11</v>
      </c>
      <c r="G264" s="632">
        <v>65934</v>
      </c>
      <c r="H264" s="633">
        <f t="shared" ref="H264:H327" si="111">F264*G264</f>
        <v>725274</v>
      </c>
      <c r="I264" s="634">
        <v>10</v>
      </c>
      <c r="J264" s="634">
        <v>65704.2</v>
      </c>
      <c r="K264" s="635">
        <f t="shared" ref="K264:K327" si="112">I264*J264</f>
        <v>657042</v>
      </c>
      <c r="L264" s="636">
        <v>3</v>
      </c>
      <c r="M264" s="636">
        <v>53328</v>
      </c>
      <c r="N264" s="637">
        <f t="shared" ref="N264:N327" si="113">L264*M264</f>
        <v>159984</v>
      </c>
      <c r="O264" s="638">
        <v>3</v>
      </c>
      <c r="P264" s="638">
        <v>53328.332999999999</v>
      </c>
      <c r="Q264" s="635">
        <f t="shared" ref="Q264:Q327" si="114">O264*P264</f>
        <v>159984.99900000001</v>
      </c>
      <c r="R264" s="636">
        <v>1</v>
      </c>
      <c r="S264" s="636">
        <v>45541</v>
      </c>
      <c r="T264" s="637">
        <f t="shared" ref="T264:T327" si="115">R264*S264</f>
        <v>45541</v>
      </c>
      <c r="U264" s="639"/>
      <c r="V264" s="639"/>
      <c r="W264" s="635">
        <f t="shared" ref="W264:W327" si="116">U264*V264</f>
        <v>0</v>
      </c>
      <c r="X264" s="636"/>
      <c r="Y264" s="636"/>
      <c r="Z264" s="637">
        <f t="shared" ref="Z264:Z327" si="117">X264*Y264</f>
        <v>0</v>
      </c>
      <c r="AA264" s="638">
        <v>2</v>
      </c>
      <c r="AB264" s="638">
        <v>43920</v>
      </c>
      <c r="AC264" s="635">
        <f t="shared" ref="AC264:AC327" si="118">AA264*AB264</f>
        <v>87840</v>
      </c>
      <c r="AD264" s="636"/>
      <c r="AE264" s="636"/>
      <c r="AF264" s="637">
        <f t="shared" ref="AF264:AF327" si="119">AD264*AE264</f>
        <v>0</v>
      </c>
      <c r="AG264" s="638"/>
      <c r="AH264" s="638"/>
      <c r="AI264" s="635">
        <f t="shared" ref="AI264:AI327" si="120">AG264*AH264</f>
        <v>0</v>
      </c>
      <c r="AJ264" s="636"/>
      <c r="AK264" s="636"/>
      <c r="AL264" s="637">
        <f t="shared" ref="AL264:AL327" si="121">AJ264*AK264</f>
        <v>0</v>
      </c>
      <c r="AM264" s="638"/>
      <c r="AN264" s="638"/>
      <c r="AO264" s="640">
        <f t="shared" ref="AO264:AO327" si="122">AM264*AN264</f>
        <v>0</v>
      </c>
      <c r="AP264" s="636">
        <v>2</v>
      </c>
      <c r="AQ264" s="636">
        <v>69884</v>
      </c>
      <c r="AR264" s="637">
        <f t="shared" ref="AR264:AR327" si="123">(AP264*AQ264)*0.8182</f>
        <v>114358.17760000001</v>
      </c>
      <c r="AS264" s="638">
        <v>1</v>
      </c>
      <c r="AT264" s="638">
        <v>69884</v>
      </c>
      <c r="AU264" s="635">
        <f t="shared" ref="AU264:AU327" si="124">(AS264*AT264)*0.8182</f>
        <v>57179.088800000005</v>
      </c>
      <c r="AV264" s="636">
        <v>4</v>
      </c>
      <c r="AW264" s="636">
        <v>63551</v>
      </c>
      <c r="AX264" s="637">
        <f t="shared" ref="AX264:AX327" si="125">(AV264*AW264)*0.8182</f>
        <v>207989.71280000001</v>
      </c>
      <c r="AY264" s="638">
        <v>4</v>
      </c>
      <c r="AZ264" s="638">
        <v>63551.25</v>
      </c>
      <c r="BA264" s="635">
        <f t="shared" ref="BA264:BA327" si="126">(AY264*AZ264)*0.8182</f>
        <v>207990.53100000002</v>
      </c>
      <c r="BB264" s="636">
        <v>2</v>
      </c>
      <c r="BC264" s="636">
        <v>54649</v>
      </c>
      <c r="BD264" s="637">
        <f t="shared" ref="BD264:BD327" si="127">(BB264*BC264)*0.8182</f>
        <v>89427.623600000006</v>
      </c>
      <c r="BE264" s="638">
        <v>1</v>
      </c>
      <c r="BF264" s="638">
        <v>54649</v>
      </c>
      <c r="BG264" s="635">
        <f t="shared" ref="BG264:BG327" si="128">(BE264*BF264)*0.8182</f>
        <v>44713.811800000003</v>
      </c>
      <c r="BH264" s="636"/>
      <c r="BI264" s="636"/>
      <c r="BJ264" s="637">
        <f t="shared" ref="BJ264:BJ327" si="129">(BH264*BI264)*0.8182</f>
        <v>0</v>
      </c>
      <c r="BK264" s="638"/>
      <c r="BL264" s="638"/>
      <c r="BM264" s="635">
        <f t="shared" ref="BM264:BM327" si="130">(BK264*BL264)*0.8182</f>
        <v>0</v>
      </c>
      <c r="BN264" s="636"/>
      <c r="BO264" s="636"/>
      <c r="BP264" s="637">
        <f t="shared" ref="BP264:BP327" si="131">(BN264*BO264)*0.8182</f>
        <v>0</v>
      </c>
      <c r="BQ264" s="638"/>
      <c r="BR264" s="638"/>
      <c r="BS264" s="635">
        <f t="shared" ref="BS264:BS327" si="132">(BQ264*BR264)*0.8182</f>
        <v>0</v>
      </c>
      <c r="BT264" s="636"/>
      <c r="BU264" s="636"/>
      <c r="BV264" s="637">
        <f t="shared" ref="BV264:BV327" si="133">(BT264*BU264)*0.8182</f>
        <v>0</v>
      </c>
      <c r="BW264" s="638"/>
      <c r="BX264" s="638"/>
      <c r="BY264" s="641">
        <f t="shared" ref="BY264:BY327" si="134">(BW264*BX264)*0.8182</f>
        <v>0</v>
      </c>
    </row>
    <row r="265" spans="1:79" x14ac:dyDescent="0.2">
      <c r="A265" s="345" t="s">
        <v>108</v>
      </c>
      <c r="B265" s="346" t="s">
        <v>521</v>
      </c>
      <c r="C265" s="347"/>
      <c r="D265" s="345">
        <v>176080</v>
      </c>
      <c r="E265" s="267">
        <v>1</v>
      </c>
      <c r="F265" s="631">
        <v>115</v>
      </c>
      <c r="G265" s="632">
        <v>88827</v>
      </c>
      <c r="H265" s="633">
        <f t="shared" si="111"/>
        <v>10215105</v>
      </c>
      <c r="I265" s="634">
        <v>115</v>
      </c>
      <c r="J265" s="634">
        <v>92220</v>
      </c>
      <c r="K265" s="635">
        <f t="shared" si="112"/>
        <v>10605300</v>
      </c>
      <c r="L265" s="636">
        <v>137</v>
      </c>
      <c r="M265" s="636">
        <v>69758</v>
      </c>
      <c r="N265" s="637">
        <f t="shared" si="113"/>
        <v>9556846</v>
      </c>
      <c r="O265" s="638">
        <v>153</v>
      </c>
      <c r="P265" s="638">
        <v>72749</v>
      </c>
      <c r="Q265" s="635">
        <f t="shared" si="114"/>
        <v>11130597</v>
      </c>
      <c r="R265" s="636">
        <v>237</v>
      </c>
      <c r="S265" s="636">
        <v>61119.62</v>
      </c>
      <c r="T265" s="637">
        <f t="shared" si="115"/>
        <v>14485349.940000001</v>
      </c>
      <c r="U265" s="639">
        <v>237</v>
      </c>
      <c r="V265" s="639">
        <v>64642</v>
      </c>
      <c r="W265" s="635">
        <f t="shared" si="116"/>
        <v>15320154</v>
      </c>
      <c r="X265" s="636">
        <v>111</v>
      </c>
      <c r="Y265" s="636">
        <v>39566.04</v>
      </c>
      <c r="Z265" s="637">
        <f t="shared" si="117"/>
        <v>4391830.4400000004</v>
      </c>
      <c r="AA265" s="638">
        <v>115</v>
      </c>
      <c r="AB265" s="638">
        <v>40702</v>
      </c>
      <c r="AC265" s="635">
        <f t="shared" si="118"/>
        <v>4680730</v>
      </c>
      <c r="AD265" s="636">
        <v>49</v>
      </c>
      <c r="AE265" s="636">
        <v>29139.59</v>
      </c>
      <c r="AF265" s="637">
        <f t="shared" si="119"/>
        <v>1427839.91</v>
      </c>
      <c r="AG265" s="638">
        <v>58</v>
      </c>
      <c r="AH265" s="638">
        <v>30552</v>
      </c>
      <c r="AI265" s="635">
        <f t="shared" si="120"/>
        <v>1772016</v>
      </c>
      <c r="AJ265" s="636"/>
      <c r="AK265" s="636"/>
      <c r="AL265" s="637">
        <f t="shared" si="121"/>
        <v>0</v>
      </c>
      <c r="AM265" s="638"/>
      <c r="AN265" s="638"/>
      <c r="AO265" s="640">
        <f t="shared" si="122"/>
        <v>0</v>
      </c>
      <c r="AP265" s="636">
        <v>107</v>
      </c>
      <c r="AQ265" s="636">
        <v>114592.2</v>
      </c>
      <c r="AR265" s="637">
        <f t="shared" si="123"/>
        <v>10032249.17028</v>
      </c>
      <c r="AS265" s="638">
        <v>116</v>
      </c>
      <c r="AT265" s="638">
        <v>121800</v>
      </c>
      <c r="AU265" s="635">
        <f t="shared" si="124"/>
        <v>11560184.16</v>
      </c>
      <c r="AV265" s="636">
        <v>47</v>
      </c>
      <c r="AW265" s="636">
        <v>89604.32</v>
      </c>
      <c r="AX265" s="637">
        <f t="shared" si="125"/>
        <v>3445769.9673280003</v>
      </c>
      <c r="AY265" s="638">
        <v>54</v>
      </c>
      <c r="AZ265" s="638">
        <v>88967</v>
      </c>
      <c r="BA265" s="635">
        <f t="shared" si="126"/>
        <v>3930811.1676000003</v>
      </c>
      <c r="BB265" s="636">
        <v>33</v>
      </c>
      <c r="BC265" s="636">
        <v>80297.03</v>
      </c>
      <c r="BD265" s="637">
        <f t="shared" si="127"/>
        <v>2168067.9882179997</v>
      </c>
      <c r="BE265" s="638">
        <v>44</v>
      </c>
      <c r="BF265" s="638">
        <v>68866</v>
      </c>
      <c r="BG265" s="635">
        <f t="shared" si="128"/>
        <v>2479231.0928000002</v>
      </c>
      <c r="BH265" s="636">
        <v>14</v>
      </c>
      <c r="BI265" s="636">
        <v>53122.07</v>
      </c>
      <c r="BJ265" s="637">
        <f t="shared" si="129"/>
        <v>608502.68743599998</v>
      </c>
      <c r="BK265" s="638">
        <v>16</v>
      </c>
      <c r="BL265" s="638">
        <v>54578</v>
      </c>
      <c r="BM265" s="635">
        <f t="shared" si="130"/>
        <v>714491.51360000006</v>
      </c>
      <c r="BN265" s="636"/>
      <c r="BO265" s="636"/>
      <c r="BP265" s="637">
        <f t="shared" si="131"/>
        <v>0</v>
      </c>
      <c r="BQ265" s="638"/>
      <c r="BR265" s="638"/>
      <c r="BS265" s="635">
        <f t="shared" si="132"/>
        <v>0</v>
      </c>
      <c r="BT265" s="636"/>
      <c r="BU265" s="636"/>
      <c r="BV265" s="637">
        <f t="shared" si="133"/>
        <v>0</v>
      </c>
      <c r="BW265" s="638"/>
      <c r="BX265" s="638"/>
      <c r="BY265" s="641">
        <f t="shared" si="134"/>
        <v>0</v>
      </c>
    </row>
    <row r="266" spans="1:79" x14ac:dyDescent="0.2">
      <c r="A266" s="345" t="s">
        <v>108</v>
      </c>
      <c r="B266" s="346" t="s">
        <v>522</v>
      </c>
      <c r="C266" s="347"/>
      <c r="D266" s="345">
        <v>176372</v>
      </c>
      <c r="E266" s="267">
        <v>1</v>
      </c>
      <c r="F266" s="631">
        <v>103</v>
      </c>
      <c r="G266" s="632">
        <v>83467.59</v>
      </c>
      <c r="H266" s="633">
        <f t="shared" si="111"/>
        <v>8597161.7699999996</v>
      </c>
      <c r="I266" s="634">
        <v>97</v>
      </c>
      <c r="J266" s="634">
        <v>86938</v>
      </c>
      <c r="K266" s="635">
        <f t="shared" si="112"/>
        <v>8432986</v>
      </c>
      <c r="L266" s="636">
        <v>166</v>
      </c>
      <c r="M266" s="636">
        <v>62776.800000000003</v>
      </c>
      <c r="N266" s="637">
        <f t="shared" si="113"/>
        <v>10420948.800000001</v>
      </c>
      <c r="O266" s="638">
        <v>175</v>
      </c>
      <c r="P266" s="638">
        <v>64685</v>
      </c>
      <c r="Q266" s="635">
        <f t="shared" si="114"/>
        <v>11319875</v>
      </c>
      <c r="R266" s="636">
        <v>209</v>
      </c>
      <c r="S266" s="636">
        <v>55838.95</v>
      </c>
      <c r="T266" s="637">
        <f t="shared" si="115"/>
        <v>11670340.549999999</v>
      </c>
      <c r="U266" s="639">
        <v>186</v>
      </c>
      <c r="V266" s="639">
        <v>57816</v>
      </c>
      <c r="W266" s="635">
        <f t="shared" si="116"/>
        <v>10753776</v>
      </c>
      <c r="X266" s="636">
        <v>133</v>
      </c>
      <c r="Y266" s="636">
        <v>45612.98</v>
      </c>
      <c r="Z266" s="637">
        <f t="shared" si="117"/>
        <v>6066526.3400000008</v>
      </c>
      <c r="AA266" s="638">
        <v>140</v>
      </c>
      <c r="AB266" s="638">
        <v>47599</v>
      </c>
      <c r="AC266" s="635">
        <f t="shared" si="118"/>
        <v>6663860</v>
      </c>
      <c r="AD266" s="636">
        <v>4</v>
      </c>
      <c r="AE266" s="636">
        <v>51506.75</v>
      </c>
      <c r="AF266" s="637">
        <f t="shared" si="119"/>
        <v>206027</v>
      </c>
      <c r="AG266" s="638">
        <v>3</v>
      </c>
      <c r="AH266" s="638">
        <v>57075</v>
      </c>
      <c r="AI266" s="635">
        <f t="shared" si="120"/>
        <v>171225</v>
      </c>
      <c r="AJ266" s="636"/>
      <c r="AK266" s="636"/>
      <c r="AL266" s="637">
        <f t="shared" si="121"/>
        <v>0</v>
      </c>
      <c r="AM266" s="638"/>
      <c r="AN266" s="638"/>
      <c r="AO266" s="640">
        <f t="shared" si="122"/>
        <v>0</v>
      </c>
      <c r="AP266" s="636">
        <v>32</v>
      </c>
      <c r="AQ266" s="636">
        <v>107356.5</v>
      </c>
      <c r="AR266" s="637">
        <f t="shared" si="123"/>
        <v>2810850.8256000001</v>
      </c>
      <c r="AS266" s="638">
        <v>30</v>
      </c>
      <c r="AT266" s="638">
        <v>109825</v>
      </c>
      <c r="AU266" s="635">
        <f t="shared" si="124"/>
        <v>2695764.45</v>
      </c>
      <c r="AV266" s="636">
        <v>30</v>
      </c>
      <c r="AW266" s="636">
        <v>86640.7</v>
      </c>
      <c r="AX266" s="637">
        <f t="shared" si="125"/>
        <v>2126682.6222000001</v>
      </c>
      <c r="AY266" s="638">
        <v>22</v>
      </c>
      <c r="AZ266" s="638">
        <v>89304</v>
      </c>
      <c r="BA266" s="635">
        <f t="shared" si="126"/>
        <v>1607507.7216</v>
      </c>
      <c r="BB266" s="636">
        <v>9</v>
      </c>
      <c r="BC266" s="636">
        <v>68604.22</v>
      </c>
      <c r="BD266" s="637">
        <f t="shared" si="127"/>
        <v>505187.755236</v>
      </c>
      <c r="BE266" s="638">
        <v>7</v>
      </c>
      <c r="BF266" s="638">
        <v>79704</v>
      </c>
      <c r="BG266" s="635">
        <f t="shared" si="128"/>
        <v>456496.68960000004</v>
      </c>
      <c r="BH266" s="636">
        <v>14</v>
      </c>
      <c r="BI266" s="636">
        <v>44971.79</v>
      </c>
      <c r="BJ266" s="637">
        <f t="shared" si="129"/>
        <v>515142.86009200005</v>
      </c>
      <c r="BK266" s="638">
        <v>10</v>
      </c>
      <c r="BL266" s="638">
        <v>52967</v>
      </c>
      <c r="BM266" s="635">
        <f t="shared" si="130"/>
        <v>433375.99400000001</v>
      </c>
      <c r="BN266" s="636"/>
      <c r="BO266" s="636"/>
      <c r="BP266" s="637">
        <f t="shared" si="131"/>
        <v>0</v>
      </c>
      <c r="BQ266" s="638">
        <v>1</v>
      </c>
      <c r="BR266" s="638">
        <v>55098</v>
      </c>
      <c r="BS266" s="635">
        <f t="shared" si="132"/>
        <v>45081.183600000004</v>
      </c>
      <c r="BT266" s="636"/>
      <c r="BU266" s="636"/>
      <c r="BV266" s="637">
        <f t="shared" si="133"/>
        <v>0</v>
      </c>
      <c r="BW266" s="638"/>
      <c r="BX266" s="638"/>
      <c r="BY266" s="641">
        <f t="shared" si="134"/>
        <v>0</v>
      </c>
    </row>
    <row r="267" spans="1:79" x14ac:dyDescent="0.2">
      <c r="A267" s="345" t="s">
        <v>108</v>
      </c>
      <c r="B267" s="265" t="s">
        <v>523</v>
      </c>
      <c r="C267" s="266"/>
      <c r="D267" s="345">
        <v>175856</v>
      </c>
      <c r="E267" s="267">
        <v>2</v>
      </c>
      <c r="F267" s="631">
        <v>51</v>
      </c>
      <c r="G267" s="632">
        <v>67262.289999999994</v>
      </c>
      <c r="H267" s="633">
        <f t="shared" si="111"/>
        <v>3430376.7899999996</v>
      </c>
      <c r="I267" s="634">
        <v>50</v>
      </c>
      <c r="J267" s="634">
        <v>69662</v>
      </c>
      <c r="K267" s="635">
        <f t="shared" si="112"/>
        <v>3483100</v>
      </c>
      <c r="L267" s="636">
        <v>83</v>
      </c>
      <c r="M267" s="636">
        <v>60935.98</v>
      </c>
      <c r="N267" s="637">
        <f t="shared" si="113"/>
        <v>5057686.34</v>
      </c>
      <c r="O267" s="638">
        <v>91</v>
      </c>
      <c r="P267" s="638">
        <v>62929</v>
      </c>
      <c r="Q267" s="635">
        <f t="shared" si="114"/>
        <v>5726539</v>
      </c>
      <c r="R267" s="636">
        <v>123</v>
      </c>
      <c r="S267" s="636">
        <v>54188.91</v>
      </c>
      <c r="T267" s="637">
        <f t="shared" si="115"/>
        <v>6665235.9300000006</v>
      </c>
      <c r="U267" s="639">
        <v>114</v>
      </c>
      <c r="V267" s="639">
        <v>55516</v>
      </c>
      <c r="W267" s="635">
        <f t="shared" si="116"/>
        <v>6328824</v>
      </c>
      <c r="X267" s="636">
        <v>63</v>
      </c>
      <c r="Y267" s="636">
        <v>39313.760000000002</v>
      </c>
      <c r="Z267" s="637">
        <f t="shared" si="117"/>
        <v>2476766.8800000004</v>
      </c>
      <c r="AA267" s="638">
        <v>64</v>
      </c>
      <c r="AB267" s="638">
        <v>41378</v>
      </c>
      <c r="AC267" s="635">
        <f t="shared" si="118"/>
        <v>2648192</v>
      </c>
      <c r="AD267" s="636">
        <v>4</v>
      </c>
      <c r="AE267" s="636">
        <v>41500</v>
      </c>
      <c r="AF267" s="637">
        <f t="shared" si="119"/>
        <v>166000</v>
      </c>
      <c r="AG267" s="638">
        <v>1</v>
      </c>
      <c r="AH267" s="638">
        <v>34747</v>
      </c>
      <c r="AI267" s="635">
        <f t="shared" si="120"/>
        <v>34747</v>
      </c>
      <c r="AJ267" s="636"/>
      <c r="AK267" s="636"/>
      <c r="AL267" s="637">
        <f t="shared" si="121"/>
        <v>0</v>
      </c>
      <c r="AM267" s="638"/>
      <c r="AN267" s="638"/>
      <c r="AO267" s="640">
        <f t="shared" si="122"/>
        <v>0</v>
      </c>
      <c r="AP267" s="636">
        <v>28</v>
      </c>
      <c r="AQ267" s="636">
        <v>101161.1</v>
      </c>
      <c r="AR267" s="637">
        <f t="shared" si="123"/>
        <v>2317560.3365600002</v>
      </c>
      <c r="AS267" s="638">
        <v>31</v>
      </c>
      <c r="AT267" s="638">
        <v>100053</v>
      </c>
      <c r="AU267" s="635">
        <f t="shared" si="124"/>
        <v>2537764.3026000001</v>
      </c>
      <c r="AV267" s="636">
        <v>16</v>
      </c>
      <c r="AW267" s="636">
        <v>81537.06</v>
      </c>
      <c r="AX267" s="637">
        <f t="shared" si="125"/>
        <v>1067417.9598719999</v>
      </c>
      <c r="AY267" s="638">
        <v>16</v>
      </c>
      <c r="AZ267" s="638">
        <v>84405</v>
      </c>
      <c r="BA267" s="635">
        <f t="shared" si="126"/>
        <v>1104962.736</v>
      </c>
      <c r="BB267" s="636">
        <v>9</v>
      </c>
      <c r="BC267" s="636">
        <v>67373.22</v>
      </c>
      <c r="BD267" s="637">
        <f t="shared" si="127"/>
        <v>496122.91743600002</v>
      </c>
      <c r="BE267" s="638">
        <v>10</v>
      </c>
      <c r="BF267" s="638">
        <v>74402</v>
      </c>
      <c r="BG267" s="635">
        <f t="shared" si="128"/>
        <v>608757.16399999999</v>
      </c>
      <c r="BH267" s="636">
        <v>2</v>
      </c>
      <c r="BI267" s="636">
        <v>69400</v>
      </c>
      <c r="BJ267" s="637">
        <f t="shared" si="129"/>
        <v>113566.16</v>
      </c>
      <c r="BK267" s="638">
        <v>1</v>
      </c>
      <c r="BL267" s="638">
        <v>55361</v>
      </c>
      <c r="BM267" s="635">
        <f t="shared" si="130"/>
        <v>45296.370200000005</v>
      </c>
      <c r="BN267" s="636">
        <v>1</v>
      </c>
      <c r="BO267" s="636">
        <v>52810</v>
      </c>
      <c r="BP267" s="637">
        <f t="shared" si="131"/>
        <v>43209.142</v>
      </c>
      <c r="BQ267" s="638"/>
      <c r="BR267" s="638"/>
      <c r="BS267" s="635">
        <f t="shared" si="132"/>
        <v>0</v>
      </c>
      <c r="BT267" s="636"/>
      <c r="BU267" s="636"/>
      <c r="BV267" s="637">
        <f t="shared" si="133"/>
        <v>0</v>
      </c>
      <c r="BW267" s="638"/>
      <c r="BX267" s="638"/>
      <c r="BY267" s="641">
        <f t="shared" si="134"/>
        <v>0</v>
      </c>
    </row>
    <row r="268" spans="1:79" x14ac:dyDescent="0.2">
      <c r="A268" s="345" t="s">
        <v>108</v>
      </c>
      <c r="B268" s="348" t="s">
        <v>524</v>
      </c>
      <c r="C268" s="386" t="s">
        <v>870</v>
      </c>
      <c r="D268" s="345">
        <v>176017</v>
      </c>
      <c r="E268" s="267">
        <v>2</v>
      </c>
      <c r="F268" s="631">
        <v>111</v>
      </c>
      <c r="G268" s="632">
        <v>106940.1</v>
      </c>
      <c r="H268" s="633">
        <f t="shared" si="111"/>
        <v>11870351.100000001</v>
      </c>
      <c r="I268" s="634">
        <v>116</v>
      </c>
      <c r="J268" s="634">
        <v>109089</v>
      </c>
      <c r="K268" s="635">
        <f t="shared" si="112"/>
        <v>12654324</v>
      </c>
      <c r="L268" s="636">
        <v>167</v>
      </c>
      <c r="M268" s="636">
        <v>74760.05</v>
      </c>
      <c r="N268" s="637">
        <f t="shared" si="113"/>
        <v>12484928.35</v>
      </c>
      <c r="O268" s="638">
        <v>172</v>
      </c>
      <c r="P268" s="638">
        <v>75926</v>
      </c>
      <c r="Q268" s="635">
        <f t="shared" si="114"/>
        <v>13059272</v>
      </c>
      <c r="R268" s="636">
        <v>170</v>
      </c>
      <c r="S268" s="636">
        <v>62999.15</v>
      </c>
      <c r="T268" s="637">
        <f t="shared" si="115"/>
        <v>10709855.5</v>
      </c>
      <c r="U268" s="639">
        <v>177</v>
      </c>
      <c r="V268" s="639">
        <v>64783</v>
      </c>
      <c r="W268" s="635">
        <f t="shared" si="116"/>
        <v>11466591</v>
      </c>
      <c r="X268" s="636">
        <v>106</v>
      </c>
      <c r="Y268" s="636">
        <v>36619.620000000003</v>
      </c>
      <c r="Z268" s="637">
        <f t="shared" si="117"/>
        <v>3881679.72</v>
      </c>
      <c r="AA268" s="638">
        <v>124</v>
      </c>
      <c r="AB268" s="638">
        <v>37480</v>
      </c>
      <c r="AC268" s="635">
        <f t="shared" si="118"/>
        <v>4647520</v>
      </c>
      <c r="AD268" s="636">
        <v>12</v>
      </c>
      <c r="AE268" s="636">
        <v>41331.58</v>
      </c>
      <c r="AF268" s="637">
        <f t="shared" si="119"/>
        <v>495978.96</v>
      </c>
      <c r="AG268" s="638">
        <v>13</v>
      </c>
      <c r="AH268" s="638">
        <v>45364</v>
      </c>
      <c r="AI268" s="635">
        <f t="shared" si="120"/>
        <v>589732</v>
      </c>
      <c r="AJ268" s="636"/>
      <c r="AK268" s="636"/>
      <c r="AL268" s="637">
        <f t="shared" si="121"/>
        <v>0</v>
      </c>
      <c r="AM268" s="638"/>
      <c r="AN268" s="638"/>
      <c r="AO268" s="640">
        <f t="shared" si="122"/>
        <v>0</v>
      </c>
      <c r="AP268" s="636">
        <v>52</v>
      </c>
      <c r="AQ268" s="636">
        <v>125090.8</v>
      </c>
      <c r="AR268" s="637">
        <f t="shared" si="123"/>
        <v>5322163.2131200004</v>
      </c>
      <c r="AS268" s="638">
        <v>50</v>
      </c>
      <c r="AT268" s="638">
        <v>132084</v>
      </c>
      <c r="AU268" s="635">
        <f t="shared" si="124"/>
        <v>5403556.4400000004</v>
      </c>
      <c r="AV268" s="636">
        <v>42</v>
      </c>
      <c r="AW268" s="636">
        <v>104918</v>
      </c>
      <c r="AX268" s="637">
        <f t="shared" si="125"/>
        <v>3605444.1192000001</v>
      </c>
      <c r="AY268" s="638">
        <v>50</v>
      </c>
      <c r="AZ268" s="638">
        <v>107887</v>
      </c>
      <c r="BA268" s="635">
        <f t="shared" si="126"/>
        <v>4413657.17</v>
      </c>
      <c r="BB268" s="636">
        <v>35</v>
      </c>
      <c r="BC268" s="636">
        <v>85588</v>
      </c>
      <c r="BD268" s="637">
        <f t="shared" si="127"/>
        <v>2450983.5560000003</v>
      </c>
      <c r="BE268" s="638">
        <v>34</v>
      </c>
      <c r="BF268" s="638">
        <v>90299</v>
      </c>
      <c r="BG268" s="635">
        <f t="shared" si="128"/>
        <v>2512009.8212000001</v>
      </c>
      <c r="BH268" s="636">
        <v>26</v>
      </c>
      <c r="BI268" s="636">
        <v>56164.81</v>
      </c>
      <c r="BJ268" s="637">
        <f t="shared" si="129"/>
        <v>1194805.236092</v>
      </c>
      <c r="BK268" s="638">
        <v>26</v>
      </c>
      <c r="BL268" s="638">
        <v>61064</v>
      </c>
      <c r="BM268" s="635">
        <f t="shared" si="130"/>
        <v>1299026.6848000002</v>
      </c>
      <c r="BN268" s="636">
        <v>2</v>
      </c>
      <c r="BO268" s="636">
        <v>58659</v>
      </c>
      <c r="BP268" s="637">
        <f t="shared" si="131"/>
        <v>95989.587599999999</v>
      </c>
      <c r="BQ268" s="638">
        <v>2</v>
      </c>
      <c r="BR268" s="638">
        <v>61097</v>
      </c>
      <c r="BS268" s="635">
        <f t="shared" si="132"/>
        <v>99979.130799999999</v>
      </c>
      <c r="BT268" s="636"/>
      <c r="BU268" s="636"/>
      <c r="BV268" s="637">
        <f t="shared" si="133"/>
        <v>0</v>
      </c>
      <c r="BW268" s="638"/>
      <c r="BX268" s="638"/>
      <c r="BY268" s="641">
        <f t="shared" si="134"/>
        <v>0</v>
      </c>
      <c r="CA268" s="530" t="s">
        <v>1050</v>
      </c>
    </row>
    <row r="269" spans="1:79" x14ac:dyDescent="0.2">
      <c r="A269" s="345" t="s">
        <v>108</v>
      </c>
      <c r="B269" s="346" t="s">
        <v>525</v>
      </c>
      <c r="C269" s="347"/>
      <c r="D269" s="345">
        <v>175342</v>
      </c>
      <c r="E269" s="267">
        <v>4</v>
      </c>
      <c r="F269" s="631">
        <v>28</v>
      </c>
      <c r="G269" s="632">
        <v>67375</v>
      </c>
      <c r="H269" s="633">
        <f t="shared" si="111"/>
        <v>1886500</v>
      </c>
      <c r="I269" s="634">
        <v>29</v>
      </c>
      <c r="J269" s="634">
        <v>65675.649999999994</v>
      </c>
      <c r="K269" s="635">
        <f t="shared" si="112"/>
        <v>1904593.8499999999</v>
      </c>
      <c r="L269" s="636">
        <v>29</v>
      </c>
      <c r="M269" s="636">
        <v>57754.34</v>
      </c>
      <c r="N269" s="637">
        <f t="shared" si="113"/>
        <v>1674875.8599999999</v>
      </c>
      <c r="O269" s="638">
        <v>27</v>
      </c>
      <c r="P269" s="638">
        <v>54855</v>
      </c>
      <c r="Q269" s="635">
        <f t="shared" si="114"/>
        <v>1481085</v>
      </c>
      <c r="R269" s="636">
        <v>46</v>
      </c>
      <c r="S269" s="636">
        <v>54787.33</v>
      </c>
      <c r="T269" s="637">
        <f t="shared" si="115"/>
        <v>2520217.1800000002</v>
      </c>
      <c r="U269" s="639">
        <v>41</v>
      </c>
      <c r="V269" s="639">
        <v>53871.438999999998</v>
      </c>
      <c r="W269" s="635">
        <f t="shared" si="116"/>
        <v>2208728.9989999998</v>
      </c>
      <c r="X269" s="636">
        <v>41</v>
      </c>
      <c r="Y269" s="636">
        <v>38654.44</v>
      </c>
      <c r="Z269" s="637">
        <f t="shared" si="117"/>
        <v>1584832.04</v>
      </c>
      <c r="AA269" s="638">
        <v>39</v>
      </c>
      <c r="AB269" s="638">
        <v>39175.56</v>
      </c>
      <c r="AC269" s="635">
        <f t="shared" si="118"/>
        <v>1527846.8399999999</v>
      </c>
      <c r="AD269" s="636"/>
      <c r="AE269" s="636"/>
      <c r="AF269" s="637">
        <f t="shared" si="119"/>
        <v>0</v>
      </c>
      <c r="AG269" s="638"/>
      <c r="AH269" s="638"/>
      <c r="AI269" s="635">
        <f t="shared" si="120"/>
        <v>0</v>
      </c>
      <c r="AJ269" s="636"/>
      <c r="AK269" s="636"/>
      <c r="AL269" s="637">
        <f t="shared" si="121"/>
        <v>0</v>
      </c>
      <c r="AM269" s="638"/>
      <c r="AN269" s="638"/>
      <c r="AO269" s="640">
        <f t="shared" si="122"/>
        <v>0</v>
      </c>
      <c r="AP269" s="636">
        <v>6</v>
      </c>
      <c r="AQ269" s="636">
        <v>92533.83</v>
      </c>
      <c r="AR269" s="637">
        <f t="shared" si="123"/>
        <v>454267.07823600003</v>
      </c>
      <c r="AS269" s="638">
        <v>6</v>
      </c>
      <c r="AT269" s="638">
        <v>97449</v>
      </c>
      <c r="AU269" s="635">
        <f t="shared" si="124"/>
        <v>478396.63080000004</v>
      </c>
      <c r="AV269" s="636">
        <v>7</v>
      </c>
      <c r="AW269" s="636">
        <v>90364</v>
      </c>
      <c r="AX269" s="637">
        <f t="shared" si="125"/>
        <v>517550.77360000001</v>
      </c>
      <c r="AY269" s="638">
        <v>7</v>
      </c>
      <c r="AZ269" s="638">
        <v>95410</v>
      </c>
      <c r="BA269" s="635">
        <f t="shared" si="126"/>
        <v>546451.23400000005</v>
      </c>
      <c r="BB269" s="636">
        <v>10</v>
      </c>
      <c r="BC269" s="636">
        <v>75069.2</v>
      </c>
      <c r="BD269" s="637">
        <f t="shared" si="127"/>
        <v>614216.19440000004</v>
      </c>
      <c r="BE269" s="638">
        <v>8</v>
      </c>
      <c r="BF269" s="638">
        <v>76959</v>
      </c>
      <c r="BG269" s="635">
        <f t="shared" si="128"/>
        <v>503742.83040000004</v>
      </c>
      <c r="BH269" s="636">
        <v>10</v>
      </c>
      <c r="BI269" s="636">
        <v>50260.800000000003</v>
      </c>
      <c r="BJ269" s="637">
        <f t="shared" si="129"/>
        <v>411233.86560000002</v>
      </c>
      <c r="BK269" s="638">
        <v>7</v>
      </c>
      <c r="BL269" s="638">
        <v>53380</v>
      </c>
      <c r="BM269" s="635">
        <f t="shared" si="130"/>
        <v>305728.61200000002</v>
      </c>
      <c r="BN269" s="636"/>
      <c r="BO269" s="636"/>
      <c r="BP269" s="637">
        <f t="shared" si="131"/>
        <v>0</v>
      </c>
      <c r="BQ269" s="638"/>
      <c r="BR269" s="638"/>
      <c r="BS269" s="635">
        <f t="shared" si="132"/>
        <v>0</v>
      </c>
      <c r="BT269" s="636"/>
      <c r="BU269" s="636"/>
      <c r="BV269" s="637">
        <f t="shared" si="133"/>
        <v>0</v>
      </c>
      <c r="BW269" s="638"/>
      <c r="BX269" s="638"/>
      <c r="BY269" s="641">
        <f t="shared" si="134"/>
        <v>0</v>
      </c>
      <c r="CA269" s="530" t="s">
        <v>1051</v>
      </c>
    </row>
    <row r="270" spans="1:79" x14ac:dyDescent="0.2">
      <c r="A270" s="345" t="s">
        <v>108</v>
      </c>
      <c r="B270" s="265" t="s">
        <v>526</v>
      </c>
      <c r="C270" s="266"/>
      <c r="D270" s="256">
        <v>175616</v>
      </c>
      <c r="E270" s="256">
        <v>4</v>
      </c>
      <c r="F270" s="631">
        <v>24</v>
      </c>
      <c r="G270" s="632">
        <v>65237.54</v>
      </c>
      <c r="H270" s="633">
        <f t="shared" si="111"/>
        <v>1565700.96</v>
      </c>
      <c r="I270" s="634">
        <v>20</v>
      </c>
      <c r="J270" s="634">
        <v>65153</v>
      </c>
      <c r="K270" s="635">
        <f t="shared" si="112"/>
        <v>1303060</v>
      </c>
      <c r="L270" s="636">
        <v>34</v>
      </c>
      <c r="M270" s="636">
        <v>56097.15</v>
      </c>
      <c r="N270" s="637">
        <f t="shared" si="113"/>
        <v>1907303.1</v>
      </c>
      <c r="O270" s="638">
        <v>35</v>
      </c>
      <c r="P270" s="638">
        <v>56807</v>
      </c>
      <c r="Q270" s="635">
        <f t="shared" si="114"/>
        <v>1988245</v>
      </c>
      <c r="R270" s="636">
        <v>44</v>
      </c>
      <c r="S270" s="636">
        <v>48098.45</v>
      </c>
      <c r="T270" s="637">
        <f t="shared" si="115"/>
        <v>2116331.7999999998</v>
      </c>
      <c r="U270" s="639">
        <v>46</v>
      </c>
      <c r="V270" s="639">
        <v>50632</v>
      </c>
      <c r="W270" s="635">
        <f t="shared" si="116"/>
        <v>2329072</v>
      </c>
      <c r="X270" s="636">
        <v>45</v>
      </c>
      <c r="Y270" s="636">
        <v>45533.36</v>
      </c>
      <c r="Z270" s="637">
        <f t="shared" si="117"/>
        <v>2049001.2</v>
      </c>
      <c r="AA270" s="638">
        <v>42</v>
      </c>
      <c r="AB270" s="638">
        <v>46745</v>
      </c>
      <c r="AC270" s="635">
        <f t="shared" si="118"/>
        <v>1963290</v>
      </c>
      <c r="AD270" s="636"/>
      <c r="AE270" s="636"/>
      <c r="AF270" s="637">
        <f t="shared" si="119"/>
        <v>0</v>
      </c>
      <c r="AG270" s="638"/>
      <c r="AH270" s="638"/>
      <c r="AI270" s="635">
        <f t="shared" si="120"/>
        <v>0</v>
      </c>
      <c r="AJ270" s="636"/>
      <c r="AK270" s="636"/>
      <c r="AL270" s="637">
        <f t="shared" si="121"/>
        <v>0</v>
      </c>
      <c r="AM270" s="638"/>
      <c r="AN270" s="638"/>
      <c r="AO270" s="640">
        <f t="shared" si="122"/>
        <v>0</v>
      </c>
      <c r="AP270" s="636">
        <v>8</v>
      </c>
      <c r="AQ270" s="636">
        <v>76727.63</v>
      </c>
      <c r="AR270" s="637">
        <f t="shared" si="123"/>
        <v>502228.37492800003</v>
      </c>
      <c r="AS270" s="638">
        <v>11</v>
      </c>
      <c r="AT270" s="638">
        <v>84968</v>
      </c>
      <c r="AU270" s="635">
        <f t="shared" si="124"/>
        <v>764728.99360000005</v>
      </c>
      <c r="AV270" s="636">
        <v>13</v>
      </c>
      <c r="AW270" s="636">
        <v>71279.460000000006</v>
      </c>
      <c r="AX270" s="637">
        <f t="shared" si="125"/>
        <v>758171.1042360001</v>
      </c>
      <c r="AY270" s="638">
        <v>10</v>
      </c>
      <c r="AZ270" s="638">
        <v>65750</v>
      </c>
      <c r="BA270" s="635">
        <f t="shared" si="126"/>
        <v>537966.5</v>
      </c>
      <c r="BB270" s="636">
        <v>12</v>
      </c>
      <c r="BC270" s="636">
        <v>58557</v>
      </c>
      <c r="BD270" s="637">
        <f t="shared" si="127"/>
        <v>574936.04879999999</v>
      </c>
      <c r="BE270" s="638">
        <v>10</v>
      </c>
      <c r="BF270" s="638">
        <v>53992</v>
      </c>
      <c r="BG270" s="635">
        <f t="shared" si="128"/>
        <v>441762.54399999999</v>
      </c>
      <c r="BH270" s="636">
        <v>6</v>
      </c>
      <c r="BI270" s="636">
        <v>76033.33</v>
      </c>
      <c r="BJ270" s="637">
        <f t="shared" si="129"/>
        <v>373262.82363599999</v>
      </c>
      <c r="BK270" s="638">
        <v>9</v>
      </c>
      <c r="BL270" s="638">
        <v>61781</v>
      </c>
      <c r="BM270" s="635">
        <f t="shared" si="130"/>
        <v>454942.9278</v>
      </c>
      <c r="BN270" s="636"/>
      <c r="BO270" s="636"/>
      <c r="BP270" s="637">
        <f t="shared" si="131"/>
        <v>0</v>
      </c>
      <c r="BQ270" s="638"/>
      <c r="BR270" s="638"/>
      <c r="BS270" s="635">
        <f t="shared" si="132"/>
        <v>0</v>
      </c>
      <c r="BT270" s="636"/>
      <c r="BU270" s="636"/>
      <c r="BV270" s="637">
        <f t="shared" si="133"/>
        <v>0</v>
      </c>
      <c r="BW270" s="638"/>
      <c r="BX270" s="638"/>
      <c r="BY270" s="641">
        <f t="shared" si="134"/>
        <v>0</v>
      </c>
      <c r="CA270" s="530"/>
    </row>
    <row r="271" spans="1:79" x14ac:dyDescent="0.2">
      <c r="A271" s="345" t="s">
        <v>108</v>
      </c>
      <c r="B271" s="350" t="s">
        <v>527</v>
      </c>
      <c r="C271" s="349"/>
      <c r="D271" s="351">
        <v>176044</v>
      </c>
      <c r="E271" s="260">
        <v>4</v>
      </c>
      <c r="F271" s="631">
        <v>14</v>
      </c>
      <c r="G271" s="632">
        <v>64285.79</v>
      </c>
      <c r="H271" s="633">
        <f t="shared" si="111"/>
        <v>900001.06</v>
      </c>
      <c r="I271" s="634">
        <v>15</v>
      </c>
      <c r="J271" s="634">
        <v>64904.6</v>
      </c>
      <c r="K271" s="635">
        <f t="shared" si="112"/>
        <v>973569</v>
      </c>
      <c r="L271" s="636">
        <v>20</v>
      </c>
      <c r="M271" s="636">
        <v>55056.800000000003</v>
      </c>
      <c r="N271" s="637">
        <f t="shared" si="113"/>
        <v>1101136</v>
      </c>
      <c r="O271" s="638">
        <v>24</v>
      </c>
      <c r="P271" s="638">
        <v>54360</v>
      </c>
      <c r="Q271" s="635">
        <f t="shared" si="114"/>
        <v>1304640</v>
      </c>
      <c r="R271" s="636">
        <v>48</v>
      </c>
      <c r="S271" s="636">
        <v>47774.92</v>
      </c>
      <c r="T271" s="637">
        <f t="shared" si="115"/>
        <v>2293196.16</v>
      </c>
      <c r="U271" s="639">
        <v>48</v>
      </c>
      <c r="V271" s="639">
        <v>47940</v>
      </c>
      <c r="W271" s="635">
        <f t="shared" si="116"/>
        <v>2301120</v>
      </c>
      <c r="X271" s="636">
        <v>20</v>
      </c>
      <c r="Y271" s="636">
        <v>40021.699999999997</v>
      </c>
      <c r="Z271" s="637">
        <f t="shared" si="117"/>
        <v>800434</v>
      </c>
      <c r="AA271" s="638">
        <v>18</v>
      </c>
      <c r="AB271" s="638">
        <v>39746.559999999998</v>
      </c>
      <c r="AC271" s="635">
        <f t="shared" si="118"/>
        <v>715438.07999999996</v>
      </c>
      <c r="AD271" s="636"/>
      <c r="AE271" s="636"/>
      <c r="AF271" s="637">
        <f t="shared" si="119"/>
        <v>0</v>
      </c>
      <c r="AG271" s="638"/>
      <c r="AH271" s="638"/>
      <c r="AI271" s="635">
        <f t="shared" si="120"/>
        <v>0</v>
      </c>
      <c r="AJ271" s="636"/>
      <c r="AK271" s="636"/>
      <c r="AL271" s="637">
        <f t="shared" si="121"/>
        <v>0</v>
      </c>
      <c r="AM271" s="638"/>
      <c r="AN271" s="638"/>
      <c r="AO271" s="640">
        <f t="shared" si="122"/>
        <v>0</v>
      </c>
      <c r="AP271" s="636">
        <v>2</v>
      </c>
      <c r="AQ271" s="636">
        <v>74946</v>
      </c>
      <c r="AR271" s="637">
        <f t="shared" si="123"/>
        <v>122641.63440000001</v>
      </c>
      <c r="AS271" s="638">
        <v>5</v>
      </c>
      <c r="AT271" s="638">
        <v>81848</v>
      </c>
      <c r="AU271" s="635">
        <f t="shared" si="124"/>
        <v>334840.16800000001</v>
      </c>
      <c r="AV271" s="636">
        <v>11</v>
      </c>
      <c r="AW271" s="636">
        <v>75545.64</v>
      </c>
      <c r="AX271" s="637">
        <f t="shared" si="125"/>
        <v>679925.86912800011</v>
      </c>
      <c r="AY271" s="638">
        <v>9</v>
      </c>
      <c r="AZ271" s="638">
        <v>72202</v>
      </c>
      <c r="BA271" s="635">
        <f t="shared" si="126"/>
        <v>531681.08759999997</v>
      </c>
      <c r="BB271" s="636">
        <v>7</v>
      </c>
      <c r="BC271" s="636">
        <v>63736.14</v>
      </c>
      <c r="BD271" s="637">
        <f t="shared" si="127"/>
        <v>365042.36823600001</v>
      </c>
      <c r="BE271" s="638">
        <v>6</v>
      </c>
      <c r="BF271" s="638">
        <v>62173</v>
      </c>
      <c r="BG271" s="635">
        <f t="shared" si="128"/>
        <v>305219.69160000002</v>
      </c>
      <c r="BH271" s="636">
        <v>4</v>
      </c>
      <c r="BI271" s="636">
        <v>45555.25</v>
      </c>
      <c r="BJ271" s="637">
        <f t="shared" si="129"/>
        <v>149093.22220000002</v>
      </c>
      <c r="BK271" s="638">
        <v>5</v>
      </c>
      <c r="BL271" s="638">
        <v>46444</v>
      </c>
      <c r="BM271" s="635">
        <f t="shared" si="130"/>
        <v>190002.40400000001</v>
      </c>
      <c r="BN271" s="636"/>
      <c r="BO271" s="636"/>
      <c r="BP271" s="637">
        <f t="shared" si="131"/>
        <v>0</v>
      </c>
      <c r="BQ271" s="638"/>
      <c r="BR271" s="638"/>
      <c r="BS271" s="635">
        <f t="shared" si="132"/>
        <v>0</v>
      </c>
      <c r="BT271" s="636"/>
      <c r="BU271" s="636"/>
      <c r="BV271" s="637">
        <f t="shared" si="133"/>
        <v>0</v>
      </c>
      <c r="BW271" s="638"/>
      <c r="BX271" s="638"/>
      <c r="BY271" s="641">
        <f t="shared" si="134"/>
        <v>0</v>
      </c>
      <c r="CA271" s="530"/>
    </row>
    <row r="272" spans="1:79" x14ac:dyDescent="0.2">
      <c r="A272" s="345" t="s">
        <v>108</v>
      </c>
      <c r="B272" s="346" t="s">
        <v>528</v>
      </c>
      <c r="C272" s="347"/>
      <c r="D272" s="345">
        <v>176035</v>
      </c>
      <c r="E272" s="267">
        <v>5</v>
      </c>
      <c r="F272" s="631">
        <v>20</v>
      </c>
      <c r="G272" s="632">
        <v>54516.55</v>
      </c>
      <c r="H272" s="633">
        <f t="shared" si="111"/>
        <v>1090331</v>
      </c>
      <c r="I272" s="634">
        <v>21</v>
      </c>
      <c r="J272" s="634">
        <v>55750</v>
      </c>
      <c r="K272" s="635">
        <f t="shared" si="112"/>
        <v>1170750</v>
      </c>
      <c r="L272" s="636">
        <v>17</v>
      </c>
      <c r="M272" s="636">
        <v>45683</v>
      </c>
      <c r="N272" s="637">
        <f t="shared" si="113"/>
        <v>776611</v>
      </c>
      <c r="O272" s="638">
        <v>22</v>
      </c>
      <c r="P272" s="638">
        <v>47749</v>
      </c>
      <c r="Q272" s="635">
        <f t="shared" si="114"/>
        <v>1050478</v>
      </c>
      <c r="R272" s="636">
        <v>31</v>
      </c>
      <c r="S272" s="636">
        <v>47956.13</v>
      </c>
      <c r="T272" s="637">
        <f t="shared" si="115"/>
        <v>1486640.03</v>
      </c>
      <c r="U272" s="639">
        <v>28</v>
      </c>
      <c r="V272" s="639">
        <v>46548</v>
      </c>
      <c r="W272" s="635">
        <f t="shared" si="116"/>
        <v>1303344</v>
      </c>
      <c r="X272" s="636">
        <v>38</v>
      </c>
      <c r="Y272" s="636">
        <v>45760.5789</v>
      </c>
      <c r="Z272" s="637">
        <f t="shared" si="117"/>
        <v>1738901.9982</v>
      </c>
      <c r="AA272" s="638">
        <v>39</v>
      </c>
      <c r="AB272" s="638">
        <v>45532</v>
      </c>
      <c r="AC272" s="635">
        <f t="shared" si="118"/>
        <v>1775748</v>
      </c>
      <c r="AD272" s="636"/>
      <c r="AE272" s="636"/>
      <c r="AF272" s="637">
        <f t="shared" si="119"/>
        <v>0</v>
      </c>
      <c r="AG272" s="638"/>
      <c r="AH272" s="638"/>
      <c r="AI272" s="635">
        <f t="shared" si="120"/>
        <v>0</v>
      </c>
      <c r="AJ272" s="636"/>
      <c r="AK272" s="636"/>
      <c r="AL272" s="637">
        <f t="shared" si="121"/>
        <v>0</v>
      </c>
      <c r="AM272" s="638"/>
      <c r="AN272" s="638"/>
      <c r="AO272" s="640">
        <f t="shared" si="122"/>
        <v>0</v>
      </c>
      <c r="AP272" s="636">
        <v>7</v>
      </c>
      <c r="AQ272" s="636">
        <v>70719.86</v>
      </c>
      <c r="AR272" s="637">
        <f t="shared" si="123"/>
        <v>405040.92616400006</v>
      </c>
      <c r="AS272" s="638">
        <v>9</v>
      </c>
      <c r="AT272" s="638">
        <v>70344</v>
      </c>
      <c r="AU272" s="635">
        <f t="shared" si="124"/>
        <v>517999.14720000001</v>
      </c>
      <c r="AV272" s="636">
        <v>3</v>
      </c>
      <c r="AW272" s="636">
        <v>67217</v>
      </c>
      <c r="AX272" s="637">
        <f t="shared" si="125"/>
        <v>164990.84820000001</v>
      </c>
      <c r="AY272" s="638">
        <v>1</v>
      </c>
      <c r="AZ272" s="638">
        <v>59569</v>
      </c>
      <c r="BA272" s="635">
        <f t="shared" si="126"/>
        <v>48739.355800000005</v>
      </c>
      <c r="BB272" s="636">
        <v>3</v>
      </c>
      <c r="BC272" s="636">
        <v>70083.33</v>
      </c>
      <c r="BD272" s="637">
        <f t="shared" si="127"/>
        <v>172026.541818</v>
      </c>
      <c r="BE272" s="638">
        <v>3</v>
      </c>
      <c r="BF272" s="638">
        <v>77123</v>
      </c>
      <c r="BG272" s="635">
        <f t="shared" si="128"/>
        <v>189306.1158</v>
      </c>
      <c r="BH272" s="636">
        <v>11</v>
      </c>
      <c r="BI272" s="636">
        <v>64702.73</v>
      </c>
      <c r="BJ272" s="637">
        <f t="shared" si="129"/>
        <v>582337.51054600009</v>
      </c>
      <c r="BK272" s="638">
        <v>14</v>
      </c>
      <c r="BL272" s="638">
        <v>64752</v>
      </c>
      <c r="BM272" s="635">
        <f t="shared" si="130"/>
        <v>741721.20960000006</v>
      </c>
      <c r="BN272" s="636"/>
      <c r="BO272" s="636"/>
      <c r="BP272" s="637">
        <f t="shared" si="131"/>
        <v>0</v>
      </c>
      <c r="BQ272" s="638"/>
      <c r="BR272" s="638"/>
      <c r="BS272" s="635">
        <f t="shared" si="132"/>
        <v>0</v>
      </c>
      <c r="BT272" s="636"/>
      <c r="BU272" s="636"/>
      <c r="BV272" s="637">
        <f t="shared" si="133"/>
        <v>0</v>
      </c>
      <c r="BW272" s="638"/>
      <c r="BX272" s="638"/>
      <c r="BY272" s="641">
        <f t="shared" si="134"/>
        <v>0</v>
      </c>
      <c r="CA272" s="530"/>
    </row>
    <row r="273" spans="1:79" x14ac:dyDescent="0.2">
      <c r="A273" s="400" t="s">
        <v>108</v>
      </c>
      <c r="B273" s="405" t="s">
        <v>979</v>
      </c>
      <c r="C273" s="406"/>
      <c r="D273" s="444">
        <v>175786</v>
      </c>
      <c r="E273" s="410">
        <v>8</v>
      </c>
      <c r="F273" s="631"/>
      <c r="G273" s="632"/>
      <c r="H273" s="633">
        <f t="shared" si="111"/>
        <v>0</v>
      </c>
      <c r="I273" s="634"/>
      <c r="J273" s="634"/>
      <c r="K273" s="635">
        <f t="shared" si="112"/>
        <v>0</v>
      </c>
      <c r="L273" s="636"/>
      <c r="M273" s="636"/>
      <c r="N273" s="637">
        <f t="shared" si="113"/>
        <v>0</v>
      </c>
      <c r="O273" s="638"/>
      <c r="P273" s="638"/>
      <c r="Q273" s="635">
        <f t="shared" si="114"/>
        <v>0</v>
      </c>
      <c r="R273" s="636"/>
      <c r="S273" s="636"/>
      <c r="T273" s="637">
        <f t="shared" si="115"/>
        <v>0</v>
      </c>
      <c r="U273" s="639"/>
      <c r="V273" s="639"/>
      <c r="W273" s="635">
        <f t="shared" si="116"/>
        <v>0</v>
      </c>
      <c r="X273" s="636"/>
      <c r="Y273" s="636"/>
      <c r="Z273" s="637">
        <f t="shared" si="117"/>
        <v>0</v>
      </c>
      <c r="AA273" s="638"/>
      <c r="AB273" s="638"/>
      <c r="AC273" s="635">
        <f t="shared" si="118"/>
        <v>0</v>
      </c>
      <c r="AD273" s="636"/>
      <c r="AE273" s="636"/>
      <c r="AF273" s="637">
        <f t="shared" si="119"/>
        <v>0</v>
      </c>
      <c r="AG273" s="638"/>
      <c r="AH273" s="638"/>
      <c r="AI273" s="635">
        <f t="shared" si="120"/>
        <v>0</v>
      </c>
      <c r="AJ273" s="636">
        <v>283</v>
      </c>
      <c r="AK273" s="636">
        <v>46529.7</v>
      </c>
      <c r="AL273" s="637">
        <f t="shared" si="121"/>
        <v>13167905.1</v>
      </c>
      <c r="AM273" s="638">
        <v>313</v>
      </c>
      <c r="AN273" s="638">
        <v>43493.599999999999</v>
      </c>
      <c r="AO273" s="640">
        <f t="shared" si="122"/>
        <v>13613496.799999999</v>
      </c>
      <c r="AP273" s="636"/>
      <c r="AQ273" s="636"/>
      <c r="AR273" s="637">
        <f t="shared" si="123"/>
        <v>0</v>
      </c>
      <c r="AS273" s="638"/>
      <c r="AT273" s="638"/>
      <c r="AU273" s="635">
        <f t="shared" si="124"/>
        <v>0</v>
      </c>
      <c r="AV273" s="636"/>
      <c r="AW273" s="636"/>
      <c r="AX273" s="637">
        <f t="shared" si="125"/>
        <v>0</v>
      </c>
      <c r="AY273" s="638"/>
      <c r="AZ273" s="638"/>
      <c r="BA273" s="635">
        <f t="shared" si="126"/>
        <v>0</v>
      </c>
      <c r="BB273" s="636"/>
      <c r="BC273" s="636"/>
      <c r="BD273" s="637">
        <f t="shared" si="127"/>
        <v>0</v>
      </c>
      <c r="BE273" s="638"/>
      <c r="BF273" s="638"/>
      <c r="BG273" s="635">
        <f t="shared" si="128"/>
        <v>0</v>
      </c>
      <c r="BH273" s="636"/>
      <c r="BI273" s="636"/>
      <c r="BJ273" s="637">
        <f t="shared" si="129"/>
        <v>0</v>
      </c>
      <c r="BK273" s="638"/>
      <c r="BL273" s="638"/>
      <c r="BM273" s="635">
        <f t="shared" si="130"/>
        <v>0</v>
      </c>
      <c r="BN273" s="636"/>
      <c r="BO273" s="636"/>
      <c r="BP273" s="637">
        <f t="shared" si="131"/>
        <v>0</v>
      </c>
      <c r="BQ273" s="638"/>
      <c r="BR273" s="638"/>
      <c r="BS273" s="635">
        <f t="shared" si="132"/>
        <v>0</v>
      </c>
      <c r="BT273" s="636">
        <v>120</v>
      </c>
      <c r="BU273" s="636">
        <v>53713.474999999999</v>
      </c>
      <c r="BV273" s="637">
        <f t="shared" si="133"/>
        <v>5273803.8294000002</v>
      </c>
      <c r="BW273" s="638">
        <v>107</v>
      </c>
      <c r="BX273" s="646">
        <f>6711940/BW273</f>
        <v>62728.411214953274</v>
      </c>
      <c r="BY273" s="641">
        <f t="shared" si="134"/>
        <v>5491709.3080000002</v>
      </c>
      <c r="CA273" s="531" t="s">
        <v>1037</v>
      </c>
    </row>
    <row r="274" spans="1:79" x14ac:dyDescent="0.2">
      <c r="A274" s="400" t="s">
        <v>108</v>
      </c>
      <c r="B274" s="405" t="s">
        <v>980</v>
      </c>
      <c r="C274" s="406" t="s">
        <v>994</v>
      </c>
      <c r="D274" s="407">
        <v>175829</v>
      </c>
      <c r="E274" s="407">
        <v>8</v>
      </c>
      <c r="F274" s="631"/>
      <c r="G274" s="632"/>
      <c r="H274" s="633">
        <f t="shared" si="111"/>
        <v>0</v>
      </c>
      <c r="I274" s="634"/>
      <c r="J274" s="634"/>
      <c r="K274" s="635">
        <f t="shared" si="112"/>
        <v>0</v>
      </c>
      <c r="L274" s="636"/>
      <c r="M274" s="636"/>
      <c r="N274" s="637">
        <f t="shared" si="113"/>
        <v>0</v>
      </c>
      <c r="O274" s="638"/>
      <c r="P274" s="638"/>
      <c r="Q274" s="635">
        <f t="shared" si="114"/>
        <v>0</v>
      </c>
      <c r="R274" s="636"/>
      <c r="S274" s="636"/>
      <c r="T274" s="637">
        <f t="shared" si="115"/>
        <v>0</v>
      </c>
      <c r="U274" s="639"/>
      <c r="V274" s="639"/>
      <c r="W274" s="635">
        <f t="shared" si="116"/>
        <v>0</v>
      </c>
      <c r="X274" s="636"/>
      <c r="Y274" s="636"/>
      <c r="Z274" s="637">
        <f t="shared" si="117"/>
        <v>0</v>
      </c>
      <c r="AA274" s="638"/>
      <c r="AB274" s="638"/>
      <c r="AC274" s="635">
        <f t="shared" si="118"/>
        <v>0</v>
      </c>
      <c r="AD274" s="636"/>
      <c r="AE274" s="636"/>
      <c r="AF274" s="637">
        <f t="shared" si="119"/>
        <v>0</v>
      </c>
      <c r="AG274" s="638"/>
      <c r="AH274" s="638"/>
      <c r="AI274" s="635">
        <f t="shared" si="120"/>
        <v>0</v>
      </c>
      <c r="AJ274" s="636">
        <v>145</v>
      </c>
      <c r="AK274" s="636">
        <v>57619.3</v>
      </c>
      <c r="AL274" s="637">
        <f t="shared" si="121"/>
        <v>8354798.5</v>
      </c>
      <c r="AM274" s="638">
        <v>148</v>
      </c>
      <c r="AN274" s="638">
        <v>60257.5</v>
      </c>
      <c r="AO274" s="640">
        <f t="shared" si="122"/>
        <v>8918110</v>
      </c>
      <c r="AP274" s="636"/>
      <c r="AQ274" s="636"/>
      <c r="AR274" s="637">
        <f t="shared" si="123"/>
        <v>0</v>
      </c>
      <c r="AS274" s="638"/>
      <c r="AT274" s="638"/>
      <c r="AU274" s="635">
        <f t="shared" si="124"/>
        <v>0</v>
      </c>
      <c r="AV274" s="636"/>
      <c r="AW274" s="636"/>
      <c r="AX274" s="637">
        <f t="shared" si="125"/>
        <v>0</v>
      </c>
      <c r="AY274" s="638"/>
      <c r="AZ274" s="638"/>
      <c r="BA274" s="635">
        <f t="shared" si="126"/>
        <v>0</v>
      </c>
      <c r="BB274" s="636"/>
      <c r="BC274" s="636"/>
      <c r="BD274" s="637">
        <f t="shared" si="127"/>
        <v>0</v>
      </c>
      <c r="BE274" s="638"/>
      <c r="BF274" s="638"/>
      <c r="BG274" s="635">
        <f t="shared" si="128"/>
        <v>0</v>
      </c>
      <c r="BH274" s="636"/>
      <c r="BI274" s="636"/>
      <c r="BJ274" s="637">
        <f t="shared" si="129"/>
        <v>0</v>
      </c>
      <c r="BK274" s="638"/>
      <c r="BL274" s="638"/>
      <c r="BM274" s="635">
        <f t="shared" si="130"/>
        <v>0</v>
      </c>
      <c r="BN274" s="636"/>
      <c r="BO274" s="636"/>
      <c r="BP274" s="637">
        <f t="shared" si="131"/>
        <v>0</v>
      </c>
      <c r="BQ274" s="638"/>
      <c r="BR274" s="638"/>
      <c r="BS274" s="635">
        <f t="shared" si="132"/>
        <v>0</v>
      </c>
      <c r="BT274" s="636">
        <v>62</v>
      </c>
      <c r="BU274" s="636">
        <v>72853.016129032258</v>
      </c>
      <c r="BV274" s="637">
        <f t="shared" si="133"/>
        <v>3695716.9434000002</v>
      </c>
      <c r="BW274" s="638">
        <v>60</v>
      </c>
      <c r="BX274" s="646">
        <f>4581506/BW274</f>
        <v>76358.433333333334</v>
      </c>
      <c r="BY274" s="641">
        <f t="shared" si="134"/>
        <v>3748588.2092000004</v>
      </c>
      <c r="CA274" s="531" t="s">
        <v>1038</v>
      </c>
    </row>
    <row r="275" spans="1:79" x14ac:dyDescent="0.2">
      <c r="A275" s="400" t="s">
        <v>108</v>
      </c>
      <c r="B275" s="408" t="s">
        <v>981</v>
      </c>
      <c r="C275" s="406" t="s">
        <v>994</v>
      </c>
      <c r="D275" s="400">
        <v>176071</v>
      </c>
      <c r="E275" s="410">
        <v>8</v>
      </c>
      <c r="F275" s="631"/>
      <c r="G275" s="632"/>
      <c r="H275" s="633">
        <f t="shared" si="111"/>
        <v>0</v>
      </c>
      <c r="I275" s="634"/>
      <c r="J275" s="634"/>
      <c r="K275" s="635">
        <f t="shared" si="112"/>
        <v>0</v>
      </c>
      <c r="L275" s="636"/>
      <c r="M275" s="636"/>
      <c r="N275" s="637">
        <f t="shared" si="113"/>
        <v>0</v>
      </c>
      <c r="O275" s="638"/>
      <c r="P275" s="638"/>
      <c r="Q275" s="635">
        <f t="shared" si="114"/>
        <v>0</v>
      </c>
      <c r="R275" s="636"/>
      <c r="S275" s="636"/>
      <c r="T275" s="637">
        <f t="shared" si="115"/>
        <v>0</v>
      </c>
      <c r="U275" s="639"/>
      <c r="V275" s="639"/>
      <c r="W275" s="635">
        <f t="shared" si="116"/>
        <v>0</v>
      </c>
      <c r="X275" s="636"/>
      <c r="Y275" s="636"/>
      <c r="Z275" s="637">
        <f t="shared" si="117"/>
        <v>0</v>
      </c>
      <c r="AA275" s="638"/>
      <c r="AB275" s="638"/>
      <c r="AC275" s="635">
        <f t="shared" si="118"/>
        <v>0</v>
      </c>
      <c r="AD275" s="636"/>
      <c r="AE275" s="636"/>
      <c r="AF275" s="637">
        <f t="shared" si="119"/>
        <v>0</v>
      </c>
      <c r="AG275" s="638"/>
      <c r="AH275" s="638"/>
      <c r="AI275" s="635">
        <f t="shared" si="120"/>
        <v>0</v>
      </c>
      <c r="AJ275" s="636">
        <v>252.8</v>
      </c>
      <c r="AK275" s="636">
        <v>46358.5</v>
      </c>
      <c r="AL275" s="637">
        <f t="shared" si="121"/>
        <v>11719428.800000001</v>
      </c>
      <c r="AM275" s="638">
        <v>251.2</v>
      </c>
      <c r="AN275" s="638">
        <v>47666</v>
      </c>
      <c r="AO275" s="640">
        <f t="shared" si="122"/>
        <v>11973699.199999999</v>
      </c>
      <c r="AP275" s="636"/>
      <c r="AQ275" s="636"/>
      <c r="AR275" s="637">
        <f t="shared" si="123"/>
        <v>0</v>
      </c>
      <c r="AS275" s="638"/>
      <c r="AT275" s="638"/>
      <c r="AU275" s="635">
        <f t="shared" si="124"/>
        <v>0</v>
      </c>
      <c r="AV275" s="636"/>
      <c r="AW275" s="636"/>
      <c r="AX275" s="637">
        <f t="shared" si="125"/>
        <v>0</v>
      </c>
      <c r="AY275" s="638"/>
      <c r="AZ275" s="638"/>
      <c r="BA275" s="635">
        <f t="shared" si="126"/>
        <v>0</v>
      </c>
      <c r="BB275" s="636"/>
      <c r="BC275" s="636"/>
      <c r="BD275" s="637">
        <f t="shared" si="127"/>
        <v>0</v>
      </c>
      <c r="BE275" s="638"/>
      <c r="BF275" s="638"/>
      <c r="BG275" s="635">
        <f t="shared" si="128"/>
        <v>0</v>
      </c>
      <c r="BH275" s="636"/>
      <c r="BI275" s="636"/>
      <c r="BJ275" s="637">
        <f t="shared" si="129"/>
        <v>0</v>
      </c>
      <c r="BK275" s="638"/>
      <c r="BL275" s="638"/>
      <c r="BM275" s="635">
        <f t="shared" si="130"/>
        <v>0</v>
      </c>
      <c r="BN275" s="636"/>
      <c r="BO275" s="636"/>
      <c r="BP275" s="637">
        <f t="shared" si="131"/>
        <v>0</v>
      </c>
      <c r="BQ275" s="638"/>
      <c r="BR275" s="638"/>
      <c r="BS275" s="635">
        <f t="shared" si="132"/>
        <v>0</v>
      </c>
      <c r="BT275" s="636">
        <v>84.5</v>
      </c>
      <c r="BU275" s="636">
        <v>50490.3550295858</v>
      </c>
      <c r="BV275" s="637">
        <f t="shared" si="133"/>
        <v>3490797.1170000001</v>
      </c>
      <c r="BW275" s="638">
        <v>73.7</v>
      </c>
      <c r="BX275" s="646">
        <f>3727589/BW275</f>
        <v>50577.869742198098</v>
      </c>
      <c r="BY275" s="641">
        <f t="shared" si="134"/>
        <v>3049913.3198000002</v>
      </c>
      <c r="CA275" s="531" t="s">
        <v>1039</v>
      </c>
    </row>
    <row r="276" spans="1:79" x14ac:dyDescent="0.2">
      <c r="A276" s="400" t="s">
        <v>108</v>
      </c>
      <c r="B276" s="408" t="s">
        <v>982</v>
      </c>
      <c r="C276" s="406" t="s">
        <v>994</v>
      </c>
      <c r="D276" s="400">
        <v>176178</v>
      </c>
      <c r="E276" s="400">
        <v>8</v>
      </c>
      <c r="F276" s="631"/>
      <c r="G276" s="632"/>
      <c r="H276" s="633">
        <f t="shared" si="111"/>
        <v>0</v>
      </c>
      <c r="I276" s="634"/>
      <c r="J276" s="634"/>
      <c r="K276" s="635">
        <f t="shared" si="112"/>
        <v>0</v>
      </c>
      <c r="L276" s="636"/>
      <c r="M276" s="636"/>
      <c r="N276" s="637">
        <f t="shared" si="113"/>
        <v>0</v>
      </c>
      <c r="O276" s="638"/>
      <c r="P276" s="638"/>
      <c r="Q276" s="635">
        <f t="shared" si="114"/>
        <v>0</v>
      </c>
      <c r="R276" s="636"/>
      <c r="S276" s="636"/>
      <c r="T276" s="637">
        <f t="shared" si="115"/>
        <v>0</v>
      </c>
      <c r="U276" s="639"/>
      <c r="V276" s="639"/>
      <c r="W276" s="635">
        <f t="shared" si="116"/>
        <v>0</v>
      </c>
      <c r="X276" s="636"/>
      <c r="Y276" s="636"/>
      <c r="Z276" s="637">
        <f t="shared" si="117"/>
        <v>0</v>
      </c>
      <c r="AA276" s="638"/>
      <c r="AB276" s="638"/>
      <c r="AC276" s="635">
        <f t="shared" si="118"/>
        <v>0</v>
      </c>
      <c r="AD276" s="636"/>
      <c r="AE276" s="636"/>
      <c r="AF276" s="637">
        <f t="shared" si="119"/>
        <v>0</v>
      </c>
      <c r="AG276" s="638"/>
      <c r="AH276" s="638"/>
      <c r="AI276" s="635">
        <f t="shared" si="120"/>
        <v>0</v>
      </c>
      <c r="AJ276" s="636">
        <v>183</v>
      </c>
      <c r="AK276" s="636">
        <v>50668.5</v>
      </c>
      <c r="AL276" s="637">
        <f t="shared" si="121"/>
        <v>9272335.5</v>
      </c>
      <c r="AM276" s="638">
        <v>183</v>
      </c>
      <c r="AN276" s="638">
        <v>52790.7</v>
      </c>
      <c r="AO276" s="640">
        <f t="shared" si="122"/>
        <v>9660698.0999999996</v>
      </c>
      <c r="AP276" s="636"/>
      <c r="AQ276" s="636"/>
      <c r="AR276" s="637">
        <f t="shared" si="123"/>
        <v>0</v>
      </c>
      <c r="AS276" s="638"/>
      <c r="AT276" s="638"/>
      <c r="AU276" s="635">
        <f t="shared" si="124"/>
        <v>0</v>
      </c>
      <c r="AV276" s="636"/>
      <c r="AW276" s="636"/>
      <c r="AX276" s="637">
        <f t="shared" si="125"/>
        <v>0</v>
      </c>
      <c r="AY276" s="638"/>
      <c r="AZ276" s="638"/>
      <c r="BA276" s="635">
        <f t="shared" si="126"/>
        <v>0</v>
      </c>
      <c r="BB276" s="636"/>
      <c r="BC276" s="636"/>
      <c r="BD276" s="637">
        <f t="shared" si="127"/>
        <v>0</v>
      </c>
      <c r="BE276" s="638"/>
      <c r="BF276" s="638"/>
      <c r="BG276" s="635">
        <f t="shared" si="128"/>
        <v>0</v>
      </c>
      <c r="BH276" s="636"/>
      <c r="BI276" s="636"/>
      <c r="BJ276" s="637">
        <f t="shared" si="129"/>
        <v>0</v>
      </c>
      <c r="BK276" s="638"/>
      <c r="BL276" s="638"/>
      <c r="BM276" s="635">
        <f t="shared" si="130"/>
        <v>0</v>
      </c>
      <c r="BN276" s="636"/>
      <c r="BO276" s="636"/>
      <c r="BP276" s="637">
        <f t="shared" si="131"/>
        <v>0</v>
      </c>
      <c r="BQ276" s="638"/>
      <c r="BR276" s="638"/>
      <c r="BS276" s="635">
        <f t="shared" si="132"/>
        <v>0</v>
      </c>
      <c r="BT276" s="636">
        <v>38</v>
      </c>
      <c r="BU276" s="636">
        <v>55514</v>
      </c>
      <c r="BV276" s="637">
        <f t="shared" si="133"/>
        <v>1726019.0824000002</v>
      </c>
      <c r="BW276" s="638">
        <v>38</v>
      </c>
      <c r="BX276" s="646">
        <f>2229521/BW276</f>
        <v>58671.605263157893</v>
      </c>
      <c r="BY276" s="641">
        <f t="shared" si="134"/>
        <v>1824194.0822000001</v>
      </c>
      <c r="CA276" s="531" t="s">
        <v>1040</v>
      </c>
    </row>
    <row r="277" spans="1:79" x14ac:dyDescent="0.2">
      <c r="A277" s="400" t="s">
        <v>108</v>
      </c>
      <c r="B277" s="405" t="s">
        <v>983</v>
      </c>
      <c r="C277" s="406" t="s">
        <v>995</v>
      </c>
      <c r="D277" s="444">
        <v>175573</v>
      </c>
      <c r="E277" s="410">
        <v>9</v>
      </c>
      <c r="F277" s="631"/>
      <c r="G277" s="632"/>
      <c r="H277" s="633">
        <f t="shared" si="111"/>
        <v>0</v>
      </c>
      <c r="I277" s="634"/>
      <c r="J277" s="634"/>
      <c r="K277" s="635">
        <f t="shared" si="112"/>
        <v>0</v>
      </c>
      <c r="L277" s="636"/>
      <c r="M277" s="636"/>
      <c r="N277" s="637">
        <f t="shared" si="113"/>
        <v>0</v>
      </c>
      <c r="O277" s="638"/>
      <c r="P277" s="638"/>
      <c r="Q277" s="635">
        <f t="shared" si="114"/>
        <v>0</v>
      </c>
      <c r="R277" s="636"/>
      <c r="S277" s="636"/>
      <c r="T277" s="637">
        <f t="shared" si="115"/>
        <v>0</v>
      </c>
      <c r="U277" s="639"/>
      <c r="V277" s="639"/>
      <c r="W277" s="635">
        <f t="shared" si="116"/>
        <v>0</v>
      </c>
      <c r="X277" s="636"/>
      <c r="Y277" s="636"/>
      <c r="Z277" s="637">
        <f t="shared" si="117"/>
        <v>0</v>
      </c>
      <c r="AA277" s="638"/>
      <c r="AB277" s="638"/>
      <c r="AC277" s="635">
        <f t="shared" si="118"/>
        <v>0</v>
      </c>
      <c r="AD277" s="636"/>
      <c r="AE277" s="636"/>
      <c r="AF277" s="637">
        <f t="shared" si="119"/>
        <v>0</v>
      </c>
      <c r="AG277" s="638"/>
      <c r="AH277" s="638"/>
      <c r="AI277" s="635">
        <f t="shared" si="120"/>
        <v>0</v>
      </c>
      <c r="AJ277" s="636">
        <v>111.5</v>
      </c>
      <c r="AK277" s="636">
        <v>47684.4</v>
      </c>
      <c r="AL277" s="637">
        <f t="shared" si="121"/>
        <v>5316810.6000000006</v>
      </c>
      <c r="AM277" s="638">
        <v>117</v>
      </c>
      <c r="AN277" s="638">
        <v>47013.3</v>
      </c>
      <c r="AO277" s="640">
        <f t="shared" si="122"/>
        <v>5500556.1000000006</v>
      </c>
      <c r="AP277" s="636"/>
      <c r="AQ277" s="636"/>
      <c r="AR277" s="637">
        <f t="shared" si="123"/>
        <v>0</v>
      </c>
      <c r="AS277" s="638"/>
      <c r="AT277" s="638"/>
      <c r="AU277" s="635">
        <f t="shared" si="124"/>
        <v>0</v>
      </c>
      <c r="AV277" s="636"/>
      <c r="AW277" s="636"/>
      <c r="AX277" s="637">
        <f t="shared" si="125"/>
        <v>0</v>
      </c>
      <c r="AY277" s="638"/>
      <c r="AZ277" s="638"/>
      <c r="BA277" s="635">
        <f t="shared" si="126"/>
        <v>0</v>
      </c>
      <c r="BB277" s="636"/>
      <c r="BC277" s="636"/>
      <c r="BD277" s="637">
        <f t="shared" si="127"/>
        <v>0</v>
      </c>
      <c r="BE277" s="638"/>
      <c r="BF277" s="638"/>
      <c r="BG277" s="635">
        <f t="shared" si="128"/>
        <v>0</v>
      </c>
      <c r="BH277" s="636"/>
      <c r="BI277" s="636"/>
      <c r="BJ277" s="637">
        <f t="shared" si="129"/>
        <v>0</v>
      </c>
      <c r="BK277" s="638"/>
      <c r="BL277" s="638"/>
      <c r="BM277" s="635">
        <f t="shared" si="130"/>
        <v>0</v>
      </c>
      <c r="BN277" s="636"/>
      <c r="BO277" s="636"/>
      <c r="BP277" s="637">
        <f t="shared" si="131"/>
        <v>0</v>
      </c>
      <c r="BQ277" s="638"/>
      <c r="BR277" s="638"/>
      <c r="BS277" s="635">
        <f t="shared" si="132"/>
        <v>0</v>
      </c>
      <c r="BT277" s="636">
        <v>0</v>
      </c>
      <c r="BU277" s="636">
        <v>0</v>
      </c>
      <c r="BV277" s="637">
        <f t="shared" si="133"/>
        <v>0</v>
      </c>
      <c r="BW277" s="638"/>
      <c r="BX277" s="647"/>
      <c r="BY277" s="641">
        <f t="shared" si="134"/>
        <v>0</v>
      </c>
      <c r="CA277" s="532"/>
    </row>
    <row r="278" spans="1:79" x14ac:dyDescent="0.2">
      <c r="A278" s="400" t="s">
        <v>108</v>
      </c>
      <c r="B278" s="401" t="s">
        <v>984</v>
      </c>
      <c r="C278" s="406" t="s">
        <v>995</v>
      </c>
      <c r="D278" s="400">
        <v>175643</v>
      </c>
      <c r="E278" s="400">
        <v>9</v>
      </c>
      <c r="F278" s="631"/>
      <c r="G278" s="632"/>
      <c r="H278" s="633">
        <f t="shared" si="111"/>
        <v>0</v>
      </c>
      <c r="I278" s="634"/>
      <c r="J278" s="634"/>
      <c r="K278" s="635">
        <f t="shared" si="112"/>
        <v>0</v>
      </c>
      <c r="L278" s="636"/>
      <c r="M278" s="636"/>
      <c r="N278" s="637">
        <f t="shared" si="113"/>
        <v>0</v>
      </c>
      <c r="O278" s="638"/>
      <c r="P278" s="638"/>
      <c r="Q278" s="635">
        <f t="shared" si="114"/>
        <v>0</v>
      </c>
      <c r="R278" s="636"/>
      <c r="S278" s="636"/>
      <c r="T278" s="637">
        <f t="shared" si="115"/>
        <v>0</v>
      </c>
      <c r="U278" s="639"/>
      <c r="V278" s="639"/>
      <c r="W278" s="635">
        <f t="shared" si="116"/>
        <v>0</v>
      </c>
      <c r="X278" s="636"/>
      <c r="Y278" s="636"/>
      <c r="Z278" s="637">
        <f t="shared" si="117"/>
        <v>0</v>
      </c>
      <c r="AA278" s="638"/>
      <c r="AB278" s="638"/>
      <c r="AC278" s="635">
        <f t="shared" si="118"/>
        <v>0</v>
      </c>
      <c r="AD278" s="636"/>
      <c r="AE278" s="636"/>
      <c r="AF278" s="637">
        <f t="shared" si="119"/>
        <v>0</v>
      </c>
      <c r="AG278" s="638"/>
      <c r="AH278" s="638"/>
      <c r="AI278" s="635">
        <f t="shared" si="120"/>
        <v>0</v>
      </c>
      <c r="AJ278" s="636">
        <v>73</v>
      </c>
      <c r="AK278" s="636">
        <v>47197.9</v>
      </c>
      <c r="AL278" s="637">
        <f t="shared" si="121"/>
        <v>3445446.7</v>
      </c>
      <c r="AM278" s="638">
        <v>73</v>
      </c>
      <c r="AN278" s="638">
        <v>47972.1</v>
      </c>
      <c r="AO278" s="640">
        <f t="shared" si="122"/>
        <v>3501963.3</v>
      </c>
      <c r="AP278" s="636"/>
      <c r="AQ278" s="636"/>
      <c r="AR278" s="637">
        <f t="shared" si="123"/>
        <v>0</v>
      </c>
      <c r="AS278" s="638"/>
      <c r="AT278" s="638"/>
      <c r="AU278" s="635">
        <f t="shared" si="124"/>
        <v>0</v>
      </c>
      <c r="AV278" s="636"/>
      <c r="AW278" s="636"/>
      <c r="AX278" s="637">
        <f t="shared" si="125"/>
        <v>0</v>
      </c>
      <c r="AY278" s="638"/>
      <c r="AZ278" s="638"/>
      <c r="BA278" s="635">
        <f t="shared" si="126"/>
        <v>0</v>
      </c>
      <c r="BB278" s="636"/>
      <c r="BC278" s="636"/>
      <c r="BD278" s="637">
        <f t="shared" si="127"/>
        <v>0</v>
      </c>
      <c r="BE278" s="638"/>
      <c r="BF278" s="638"/>
      <c r="BG278" s="635">
        <f t="shared" si="128"/>
        <v>0</v>
      </c>
      <c r="BH278" s="636"/>
      <c r="BI278" s="636"/>
      <c r="BJ278" s="637">
        <f t="shared" si="129"/>
        <v>0</v>
      </c>
      <c r="BK278" s="638"/>
      <c r="BL278" s="638"/>
      <c r="BM278" s="635">
        <f t="shared" si="130"/>
        <v>0</v>
      </c>
      <c r="BN278" s="636"/>
      <c r="BO278" s="636"/>
      <c r="BP278" s="637">
        <f t="shared" si="131"/>
        <v>0</v>
      </c>
      <c r="BQ278" s="638"/>
      <c r="BR278" s="638"/>
      <c r="BS278" s="635">
        <f t="shared" si="132"/>
        <v>0</v>
      </c>
      <c r="BT278" s="636">
        <v>9</v>
      </c>
      <c r="BU278" s="636">
        <v>46461.444444444445</v>
      </c>
      <c r="BV278" s="637">
        <f t="shared" si="133"/>
        <v>342132.78460000001</v>
      </c>
      <c r="BW278" s="638">
        <v>9</v>
      </c>
      <c r="BX278" s="646">
        <f>420699/BW278</f>
        <v>46744.333333333336</v>
      </c>
      <c r="BY278" s="641">
        <f t="shared" si="134"/>
        <v>344215.92180000001</v>
      </c>
      <c r="CA278" s="531" t="s">
        <v>1041</v>
      </c>
    </row>
    <row r="279" spans="1:79" x14ac:dyDescent="0.2">
      <c r="A279" s="400" t="s">
        <v>108</v>
      </c>
      <c r="B279" s="408" t="s">
        <v>985</v>
      </c>
      <c r="C279" s="406"/>
      <c r="D279" s="400">
        <v>175652</v>
      </c>
      <c r="E279" s="400">
        <v>9</v>
      </c>
      <c r="F279" s="631"/>
      <c r="G279" s="632"/>
      <c r="H279" s="633">
        <f t="shared" si="111"/>
        <v>0</v>
      </c>
      <c r="I279" s="634"/>
      <c r="J279" s="634"/>
      <c r="K279" s="635">
        <f t="shared" si="112"/>
        <v>0</v>
      </c>
      <c r="L279" s="636"/>
      <c r="M279" s="636"/>
      <c r="N279" s="637">
        <f t="shared" si="113"/>
        <v>0</v>
      </c>
      <c r="O279" s="638"/>
      <c r="P279" s="638"/>
      <c r="Q279" s="635">
        <f t="shared" si="114"/>
        <v>0</v>
      </c>
      <c r="R279" s="636"/>
      <c r="S279" s="636"/>
      <c r="T279" s="637">
        <f t="shared" si="115"/>
        <v>0</v>
      </c>
      <c r="U279" s="639"/>
      <c r="V279" s="639"/>
      <c r="W279" s="635">
        <f t="shared" si="116"/>
        <v>0</v>
      </c>
      <c r="X279" s="636"/>
      <c r="Y279" s="636"/>
      <c r="Z279" s="637">
        <f t="shared" si="117"/>
        <v>0</v>
      </c>
      <c r="AA279" s="638"/>
      <c r="AB279" s="638"/>
      <c r="AC279" s="635">
        <f t="shared" si="118"/>
        <v>0</v>
      </c>
      <c r="AD279" s="636"/>
      <c r="AE279" s="636"/>
      <c r="AF279" s="637">
        <f t="shared" si="119"/>
        <v>0</v>
      </c>
      <c r="AG279" s="638"/>
      <c r="AH279" s="638"/>
      <c r="AI279" s="635">
        <f t="shared" si="120"/>
        <v>0</v>
      </c>
      <c r="AJ279" s="636">
        <v>85.7</v>
      </c>
      <c r="AK279" s="636">
        <v>51386</v>
      </c>
      <c r="AL279" s="637">
        <f t="shared" si="121"/>
        <v>4403780.2</v>
      </c>
      <c r="AM279" s="638">
        <v>88.7</v>
      </c>
      <c r="AN279" s="638">
        <v>54739.4</v>
      </c>
      <c r="AO279" s="640">
        <f t="shared" si="122"/>
        <v>4855384.78</v>
      </c>
      <c r="AP279" s="636"/>
      <c r="AQ279" s="636"/>
      <c r="AR279" s="637">
        <f t="shared" si="123"/>
        <v>0</v>
      </c>
      <c r="AS279" s="638"/>
      <c r="AT279" s="638"/>
      <c r="AU279" s="635">
        <f t="shared" si="124"/>
        <v>0</v>
      </c>
      <c r="AV279" s="636"/>
      <c r="AW279" s="636"/>
      <c r="AX279" s="637">
        <f t="shared" si="125"/>
        <v>0</v>
      </c>
      <c r="AY279" s="638"/>
      <c r="AZ279" s="638"/>
      <c r="BA279" s="635">
        <f t="shared" si="126"/>
        <v>0</v>
      </c>
      <c r="BB279" s="636"/>
      <c r="BC279" s="636"/>
      <c r="BD279" s="637">
        <f t="shared" si="127"/>
        <v>0</v>
      </c>
      <c r="BE279" s="638"/>
      <c r="BF279" s="638"/>
      <c r="BG279" s="635">
        <f t="shared" si="128"/>
        <v>0</v>
      </c>
      <c r="BH279" s="636"/>
      <c r="BI279" s="636"/>
      <c r="BJ279" s="637">
        <f t="shared" si="129"/>
        <v>0</v>
      </c>
      <c r="BK279" s="638"/>
      <c r="BL279" s="638"/>
      <c r="BM279" s="635">
        <f t="shared" si="130"/>
        <v>0</v>
      </c>
      <c r="BN279" s="636"/>
      <c r="BO279" s="636"/>
      <c r="BP279" s="637">
        <f t="shared" si="131"/>
        <v>0</v>
      </c>
      <c r="BQ279" s="638"/>
      <c r="BR279" s="638"/>
      <c r="BS279" s="635">
        <f t="shared" si="132"/>
        <v>0</v>
      </c>
      <c r="BT279" s="636">
        <v>25.3</v>
      </c>
      <c r="BU279" s="636">
        <v>58564.545454545456</v>
      </c>
      <c r="BV279" s="637">
        <f t="shared" si="133"/>
        <v>1212313.0306000002</v>
      </c>
      <c r="BW279" s="638">
        <v>17.3</v>
      </c>
      <c r="BX279" s="646">
        <f>977337/BW279</f>
        <v>56493.468208092483</v>
      </c>
      <c r="BY279" s="641">
        <f t="shared" si="134"/>
        <v>799657.13340000005</v>
      </c>
      <c r="CA279" s="531" t="s">
        <v>1042</v>
      </c>
    </row>
    <row r="280" spans="1:79" x14ac:dyDescent="0.2">
      <c r="A280" s="400" t="s">
        <v>108</v>
      </c>
      <c r="B280" s="405" t="s">
        <v>986</v>
      </c>
      <c r="C280" s="406"/>
      <c r="D280" s="400">
        <v>175810</v>
      </c>
      <c r="E280" s="410">
        <v>9</v>
      </c>
      <c r="F280" s="631"/>
      <c r="G280" s="632"/>
      <c r="H280" s="633">
        <f t="shared" si="111"/>
        <v>0</v>
      </c>
      <c r="I280" s="634"/>
      <c r="J280" s="634"/>
      <c r="K280" s="635">
        <f t="shared" si="112"/>
        <v>0</v>
      </c>
      <c r="L280" s="636"/>
      <c r="M280" s="636"/>
      <c r="N280" s="637">
        <f t="shared" si="113"/>
        <v>0</v>
      </c>
      <c r="O280" s="638"/>
      <c r="P280" s="638"/>
      <c r="Q280" s="635">
        <f t="shared" si="114"/>
        <v>0</v>
      </c>
      <c r="R280" s="636"/>
      <c r="S280" s="636"/>
      <c r="T280" s="637">
        <f t="shared" si="115"/>
        <v>0</v>
      </c>
      <c r="U280" s="639"/>
      <c r="V280" s="639"/>
      <c r="W280" s="635">
        <f t="shared" si="116"/>
        <v>0</v>
      </c>
      <c r="X280" s="636"/>
      <c r="Y280" s="636"/>
      <c r="Z280" s="637">
        <f t="shared" si="117"/>
        <v>0</v>
      </c>
      <c r="AA280" s="638"/>
      <c r="AB280" s="638"/>
      <c r="AC280" s="635">
        <f t="shared" si="118"/>
        <v>0</v>
      </c>
      <c r="AD280" s="636"/>
      <c r="AE280" s="636"/>
      <c r="AF280" s="637">
        <f t="shared" si="119"/>
        <v>0</v>
      </c>
      <c r="AG280" s="638"/>
      <c r="AH280" s="638"/>
      <c r="AI280" s="635">
        <f t="shared" si="120"/>
        <v>0</v>
      </c>
      <c r="AJ280" s="636">
        <v>138</v>
      </c>
      <c r="AK280" s="636">
        <v>55184.2</v>
      </c>
      <c r="AL280" s="637">
        <f t="shared" si="121"/>
        <v>7615419.5999999996</v>
      </c>
      <c r="AM280" s="638">
        <v>139</v>
      </c>
      <c r="AN280" s="638">
        <v>56276.3</v>
      </c>
      <c r="AO280" s="640">
        <f t="shared" si="122"/>
        <v>7822405.7000000002</v>
      </c>
      <c r="AP280" s="636"/>
      <c r="AQ280" s="636"/>
      <c r="AR280" s="637">
        <f t="shared" si="123"/>
        <v>0</v>
      </c>
      <c r="AS280" s="638"/>
      <c r="AT280" s="638"/>
      <c r="AU280" s="635">
        <f t="shared" si="124"/>
        <v>0</v>
      </c>
      <c r="AV280" s="636"/>
      <c r="AW280" s="636"/>
      <c r="AX280" s="637">
        <f t="shared" si="125"/>
        <v>0</v>
      </c>
      <c r="AY280" s="638"/>
      <c r="AZ280" s="638"/>
      <c r="BA280" s="635">
        <f t="shared" si="126"/>
        <v>0</v>
      </c>
      <c r="BB280" s="636"/>
      <c r="BC280" s="636"/>
      <c r="BD280" s="637">
        <f t="shared" si="127"/>
        <v>0</v>
      </c>
      <c r="BE280" s="638"/>
      <c r="BF280" s="638"/>
      <c r="BG280" s="635">
        <f t="shared" si="128"/>
        <v>0</v>
      </c>
      <c r="BH280" s="636"/>
      <c r="BI280" s="636"/>
      <c r="BJ280" s="637">
        <f t="shared" si="129"/>
        <v>0</v>
      </c>
      <c r="BK280" s="638"/>
      <c r="BL280" s="638"/>
      <c r="BM280" s="635">
        <f t="shared" si="130"/>
        <v>0</v>
      </c>
      <c r="BN280" s="636"/>
      <c r="BO280" s="636"/>
      <c r="BP280" s="637">
        <f t="shared" si="131"/>
        <v>0</v>
      </c>
      <c r="BQ280" s="638"/>
      <c r="BR280" s="638"/>
      <c r="BS280" s="635">
        <f t="shared" si="132"/>
        <v>0</v>
      </c>
      <c r="BT280" s="636">
        <v>27</v>
      </c>
      <c r="BU280" s="636">
        <v>52952.148148148146</v>
      </c>
      <c r="BV280" s="637">
        <f t="shared" si="133"/>
        <v>1169787.0856000001</v>
      </c>
      <c r="BW280" s="638">
        <v>29</v>
      </c>
      <c r="BX280" s="646">
        <f>1464959/BW280</f>
        <v>50515.827586206899</v>
      </c>
      <c r="BY280" s="641">
        <f t="shared" si="134"/>
        <v>1198629.4538</v>
      </c>
      <c r="CA280" s="531" t="s">
        <v>1043</v>
      </c>
    </row>
    <row r="281" spans="1:79" x14ac:dyDescent="0.2">
      <c r="A281" s="400" t="s">
        <v>108</v>
      </c>
      <c r="B281" s="405" t="s">
        <v>987</v>
      </c>
      <c r="C281" s="406"/>
      <c r="D281" s="400">
        <v>175883</v>
      </c>
      <c r="E281" s="410">
        <v>9</v>
      </c>
      <c r="F281" s="631"/>
      <c r="G281" s="632"/>
      <c r="H281" s="633">
        <f t="shared" si="111"/>
        <v>0</v>
      </c>
      <c r="I281" s="634"/>
      <c r="J281" s="634"/>
      <c r="K281" s="635">
        <f t="shared" si="112"/>
        <v>0</v>
      </c>
      <c r="L281" s="636"/>
      <c r="M281" s="636"/>
      <c r="N281" s="637">
        <f t="shared" si="113"/>
        <v>0</v>
      </c>
      <c r="O281" s="638"/>
      <c r="P281" s="638"/>
      <c r="Q281" s="635">
        <f t="shared" si="114"/>
        <v>0</v>
      </c>
      <c r="R281" s="636"/>
      <c r="S281" s="636"/>
      <c r="T281" s="637">
        <f t="shared" si="115"/>
        <v>0</v>
      </c>
      <c r="U281" s="639"/>
      <c r="V281" s="639"/>
      <c r="W281" s="635">
        <f t="shared" si="116"/>
        <v>0</v>
      </c>
      <c r="X281" s="636"/>
      <c r="Y281" s="636"/>
      <c r="Z281" s="637">
        <f t="shared" si="117"/>
        <v>0</v>
      </c>
      <c r="AA281" s="638"/>
      <c r="AB281" s="638"/>
      <c r="AC281" s="635">
        <f t="shared" si="118"/>
        <v>0</v>
      </c>
      <c r="AD281" s="636"/>
      <c r="AE281" s="636"/>
      <c r="AF281" s="637">
        <f t="shared" si="119"/>
        <v>0</v>
      </c>
      <c r="AG281" s="638"/>
      <c r="AH281" s="638"/>
      <c r="AI281" s="635">
        <f t="shared" si="120"/>
        <v>0</v>
      </c>
      <c r="AJ281" s="636">
        <v>123.5</v>
      </c>
      <c r="AK281" s="636">
        <v>52897.7</v>
      </c>
      <c r="AL281" s="637">
        <f t="shared" si="121"/>
        <v>6532865.9499999993</v>
      </c>
      <c r="AM281" s="638">
        <v>127</v>
      </c>
      <c r="AN281" s="638">
        <v>51650.1</v>
      </c>
      <c r="AO281" s="640">
        <f t="shared" si="122"/>
        <v>6559562.7000000002</v>
      </c>
      <c r="AP281" s="636"/>
      <c r="AQ281" s="636"/>
      <c r="AR281" s="637">
        <f t="shared" si="123"/>
        <v>0</v>
      </c>
      <c r="AS281" s="638"/>
      <c r="AT281" s="638"/>
      <c r="AU281" s="635">
        <f t="shared" si="124"/>
        <v>0</v>
      </c>
      <c r="AV281" s="636"/>
      <c r="AW281" s="636"/>
      <c r="AX281" s="637">
        <f t="shared" si="125"/>
        <v>0</v>
      </c>
      <c r="AY281" s="638"/>
      <c r="AZ281" s="638"/>
      <c r="BA281" s="635">
        <f t="shared" si="126"/>
        <v>0</v>
      </c>
      <c r="BB281" s="636"/>
      <c r="BC281" s="636"/>
      <c r="BD281" s="637">
        <f t="shared" si="127"/>
        <v>0</v>
      </c>
      <c r="BE281" s="638"/>
      <c r="BF281" s="638"/>
      <c r="BG281" s="635">
        <f t="shared" si="128"/>
        <v>0</v>
      </c>
      <c r="BH281" s="636"/>
      <c r="BI281" s="636"/>
      <c r="BJ281" s="637">
        <f t="shared" si="129"/>
        <v>0</v>
      </c>
      <c r="BK281" s="638"/>
      <c r="BL281" s="638"/>
      <c r="BM281" s="635">
        <f t="shared" si="130"/>
        <v>0</v>
      </c>
      <c r="BN281" s="636"/>
      <c r="BO281" s="636"/>
      <c r="BP281" s="637">
        <f t="shared" si="131"/>
        <v>0</v>
      </c>
      <c r="BQ281" s="638"/>
      <c r="BR281" s="638"/>
      <c r="BS281" s="635">
        <f t="shared" si="132"/>
        <v>0</v>
      </c>
      <c r="BT281" s="636">
        <v>19</v>
      </c>
      <c r="BU281" s="636">
        <v>58520.84210526316</v>
      </c>
      <c r="BV281" s="637">
        <f t="shared" si="133"/>
        <v>909753.30720000004</v>
      </c>
      <c r="BW281" s="638">
        <v>16</v>
      </c>
      <c r="BX281" s="646">
        <f>940494/BW281</f>
        <v>58780.875</v>
      </c>
      <c r="BY281" s="641">
        <f t="shared" si="134"/>
        <v>769512.19079999998</v>
      </c>
      <c r="CA281" s="531" t="s">
        <v>1044</v>
      </c>
    </row>
    <row r="282" spans="1:79" x14ac:dyDescent="0.2">
      <c r="A282" s="400" t="s">
        <v>108</v>
      </c>
      <c r="B282" s="408" t="s">
        <v>988</v>
      </c>
      <c r="C282" s="406" t="s">
        <v>995</v>
      </c>
      <c r="D282" s="400">
        <v>175935</v>
      </c>
      <c r="E282" s="410">
        <v>9</v>
      </c>
      <c r="F282" s="631"/>
      <c r="G282" s="632"/>
      <c r="H282" s="633">
        <f t="shared" si="111"/>
        <v>0</v>
      </c>
      <c r="I282" s="634"/>
      <c r="J282" s="634"/>
      <c r="K282" s="635">
        <f t="shared" si="112"/>
        <v>0</v>
      </c>
      <c r="L282" s="636"/>
      <c r="M282" s="636"/>
      <c r="N282" s="637">
        <f t="shared" si="113"/>
        <v>0</v>
      </c>
      <c r="O282" s="638"/>
      <c r="P282" s="638"/>
      <c r="Q282" s="635">
        <f t="shared" si="114"/>
        <v>0</v>
      </c>
      <c r="R282" s="636"/>
      <c r="S282" s="636"/>
      <c r="T282" s="637">
        <f t="shared" si="115"/>
        <v>0</v>
      </c>
      <c r="U282" s="639"/>
      <c r="V282" s="639"/>
      <c r="W282" s="635">
        <f t="shared" si="116"/>
        <v>0</v>
      </c>
      <c r="X282" s="636"/>
      <c r="Y282" s="636"/>
      <c r="Z282" s="637">
        <f t="shared" si="117"/>
        <v>0</v>
      </c>
      <c r="AA282" s="638"/>
      <c r="AB282" s="638"/>
      <c r="AC282" s="635">
        <f t="shared" si="118"/>
        <v>0</v>
      </c>
      <c r="AD282" s="636"/>
      <c r="AE282" s="636"/>
      <c r="AF282" s="637">
        <f t="shared" si="119"/>
        <v>0</v>
      </c>
      <c r="AG282" s="638"/>
      <c r="AH282" s="638"/>
      <c r="AI282" s="635">
        <f t="shared" si="120"/>
        <v>0</v>
      </c>
      <c r="AJ282" s="636">
        <v>92</v>
      </c>
      <c r="AK282" s="636">
        <v>44019.3</v>
      </c>
      <c r="AL282" s="637">
        <f t="shared" si="121"/>
        <v>4049775.6</v>
      </c>
      <c r="AM282" s="638">
        <v>95.8</v>
      </c>
      <c r="AN282" s="638">
        <v>43742.8</v>
      </c>
      <c r="AO282" s="640">
        <f t="shared" si="122"/>
        <v>4190560.24</v>
      </c>
      <c r="AP282" s="636"/>
      <c r="AQ282" s="636"/>
      <c r="AR282" s="637">
        <f t="shared" si="123"/>
        <v>0</v>
      </c>
      <c r="AS282" s="638"/>
      <c r="AT282" s="638"/>
      <c r="AU282" s="635">
        <f t="shared" si="124"/>
        <v>0</v>
      </c>
      <c r="AV282" s="636"/>
      <c r="AW282" s="636"/>
      <c r="AX282" s="637">
        <f t="shared" si="125"/>
        <v>0</v>
      </c>
      <c r="AY282" s="638"/>
      <c r="AZ282" s="638"/>
      <c r="BA282" s="635">
        <f t="shared" si="126"/>
        <v>0</v>
      </c>
      <c r="BB282" s="636"/>
      <c r="BC282" s="636"/>
      <c r="BD282" s="637">
        <f t="shared" si="127"/>
        <v>0</v>
      </c>
      <c r="BE282" s="638"/>
      <c r="BF282" s="638"/>
      <c r="BG282" s="635">
        <f t="shared" si="128"/>
        <v>0</v>
      </c>
      <c r="BH282" s="636"/>
      <c r="BI282" s="636"/>
      <c r="BJ282" s="637">
        <f t="shared" si="129"/>
        <v>0</v>
      </c>
      <c r="BK282" s="638"/>
      <c r="BL282" s="638"/>
      <c r="BM282" s="635">
        <f t="shared" si="130"/>
        <v>0</v>
      </c>
      <c r="BN282" s="636"/>
      <c r="BO282" s="636"/>
      <c r="BP282" s="637">
        <f t="shared" si="131"/>
        <v>0</v>
      </c>
      <c r="BQ282" s="638"/>
      <c r="BR282" s="638"/>
      <c r="BS282" s="635">
        <f t="shared" si="132"/>
        <v>0</v>
      </c>
      <c r="BT282" s="636">
        <v>63</v>
      </c>
      <c r="BU282" s="636">
        <v>47333.079365079364</v>
      </c>
      <c r="BV282" s="637">
        <f t="shared" si="133"/>
        <v>2439859.3088000002</v>
      </c>
      <c r="BW282" s="638">
        <v>63.9</v>
      </c>
      <c r="BX282" s="646">
        <f>3046413/BW282</f>
        <v>47674.694835680755</v>
      </c>
      <c r="BY282" s="641">
        <f t="shared" si="134"/>
        <v>2492575.1166000003</v>
      </c>
      <c r="CA282" s="531" t="s">
        <v>1045</v>
      </c>
    </row>
    <row r="283" spans="1:79" x14ac:dyDescent="0.2">
      <c r="A283" s="400" t="s">
        <v>108</v>
      </c>
      <c r="B283" s="408" t="s">
        <v>989</v>
      </c>
      <c r="C283" s="406" t="s">
        <v>995</v>
      </c>
      <c r="D283" s="400">
        <v>176008</v>
      </c>
      <c r="E283" s="410">
        <v>9</v>
      </c>
      <c r="F283" s="631"/>
      <c r="G283" s="632"/>
      <c r="H283" s="633">
        <f t="shared" si="111"/>
        <v>0</v>
      </c>
      <c r="I283" s="634"/>
      <c r="J283" s="634"/>
      <c r="K283" s="635">
        <f t="shared" si="112"/>
        <v>0</v>
      </c>
      <c r="L283" s="636"/>
      <c r="M283" s="636"/>
      <c r="N283" s="637">
        <f t="shared" si="113"/>
        <v>0</v>
      </c>
      <c r="O283" s="638"/>
      <c r="P283" s="638"/>
      <c r="Q283" s="635">
        <f t="shared" si="114"/>
        <v>0</v>
      </c>
      <c r="R283" s="636"/>
      <c r="S283" s="636"/>
      <c r="T283" s="637">
        <f t="shared" si="115"/>
        <v>0</v>
      </c>
      <c r="U283" s="639"/>
      <c r="V283" s="639"/>
      <c r="W283" s="635">
        <f t="shared" si="116"/>
        <v>0</v>
      </c>
      <c r="X283" s="636"/>
      <c r="Y283" s="636"/>
      <c r="Z283" s="637">
        <f t="shared" si="117"/>
        <v>0</v>
      </c>
      <c r="AA283" s="638"/>
      <c r="AB283" s="638"/>
      <c r="AC283" s="635">
        <f t="shared" si="118"/>
        <v>0</v>
      </c>
      <c r="AD283" s="636"/>
      <c r="AE283" s="636"/>
      <c r="AF283" s="637">
        <f t="shared" si="119"/>
        <v>0</v>
      </c>
      <c r="AG283" s="638"/>
      <c r="AH283" s="638"/>
      <c r="AI283" s="635">
        <f t="shared" si="120"/>
        <v>0</v>
      </c>
      <c r="AJ283" s="636">
        <v>113</v>
      </c>
      <c r="AK283" s="636">
        <v>50243.5</v>
      </c>
      <c r="AL283" s="637">
        <f t="shared" si="121"/>
        <v>5677515.5</v>
      </c>
      <c r="AM283" s="638">
        <v>104.3</v>
      </c>
      <c r="AN283" s="638">
        <v>51037.599999999999</v>
      </c>
      <c r="AO283" s="640">
        <f t="shared" si="122"/>
        <v>5323221.68</v>
      </c>
      <c r="AP283" s="636"/>
      <c r="AQ283" s="636"/>
      <c r="AR283" s="637">
        <f t="shared" si="123"/>
        <v>0</v>
      </c>
      <c r="AS283" s="638"/>
      <c r="AT283" s="638"/>
      <c r="AU283" s="635">
        <f t="shared" si="124"/>
        <v>0</v>
      </c>
      <c r="AV283" s="636"/>
      <c r="AW283" s="636"/>
      <c r="AX283" s="637">
        <f t="shared" si="125"/>
        <v>0</v>
      </c>
      <c r="AY283" s="638"/>
      <c r="AZ283" s="638"/>
      <c r="BA283" s="635">
        <f t="shared" si="126"/>
        <v>0</v>
      </c>
      <c r="BB283" s="636"/>
      <c r="BC283" s="636"/>
      <c r="BD283" s="637">
        <f t="shared" si="127"/>
        <v>0</v>
      </c>
      <c r="BE283" s="638"/>
      <c r="BF283" s="638"/>
      <c r="BG283" s="635">
        <f t="shared" si="128"/>
        <v>0</v>
      </c>
      <c r="BH283" s="636"/>
      <c r="BI283" s="636"/>
      <c r="BJ283" s="637">
        <f t="shared" si="129"/>
        <v>0</v>
      </c>
      <c r="BK283" s="638"/>
      <c r="BL283" s="638"/>
      <c r="BM283" s="635">
        <f t="shared" si="130"/>
        <v>0</v>
      </c>
      <c r="BN283" s="636"/>
      <c r="BO283" s="636"/>
      <c r="BP283" s="637">
        <f t="shared" si="131"/>
        <v>0</v>
      </c>
      <c r="BQ283" s="638"/>
      <c r="BR283" s="638"/>
      <c r="BS283" s="635">
        <f t="shared" si="132"/>
        <v>0</v>
      </c>
      <c r="BT283" s="636">
        <v>4</v>
      </c>
      <c r="BU283" s="636">
        <v>41411</v>
      </c>
      <c r="BV283" s="637">
        <f t="shared" si="133"/>
        <v>135529.92079999999</v>
      </c>
      <c r="BW283" s="638">
        <v>8</v>
      </c>
      <c r="BX283" s="646">
        <f>395739/BW283</f>
        <v>49467.375</v>
      </c>
      <c r="BY283" s="641">
        <f t="shared" si="134"/>
        <v>323793.64980000001</v>
      </c>
      <c r="CA283" s="531" t="s">
        <v>1046</v>
      </c>
    </row>
    <row r="284" spans="1:79" x14ac:dyDescent="0.2">
      <c r="A284" s="400" t="s">
        <v>108</v>
      </c>
      <c r="B284" s="408" t="s">
        <v>990</v>
      </c>
      <c r="C284" s="406" t="s">
        <v>995</v>
      </c>
      <c r="D284" s="400">
        <v>176169</v>
      </c>
      <c r="E284" s="400">
        <v>9</v>
      </c>
      <c r="F284" s="631"/>
      <c r="G284" s="632"/>
      <c r="H284" s="633">
        <f t="shared" si="111"/>
        <v>0</v>
      </c>
      <c r="I284" s="634"/>
      <c r="J284" s="634"/>
      <c r="K284" s="635">
        <f t="shared" si="112"/>
        <v>0</v>
      </c>
      <c r="L284" s="636"/>
      <c r="M284" s="636"/>
      <c r="N284" s="637">
        <f t="shared" si="113"/>
        <v>0</v>
      </c>
      <c r="O284" s="638"/>
      <c r="P284" s="638"/>
      <c r="Q284" s="635">
        <f t="shared" si="114"/>
        <v>0</v>
      </c>
      <c r="R284" s="636"/>
      <c r="S284" s="636"/>
      <c r="T284" s="637">
        <f t="shared" si="115"/>
        <v>0</v>
      </c>
      <c r="U284" s="639"/>
      <c r="V284" s="639"/>
      <c r="W284" s="635">
        <f t="shared" si="116"/>
        <v>0</v>
      </c>
      <c r="X284" s="636"/>
      <c r="Y284" s="636"/>
      <c r="Z284" s="637">
        <f t="shared" si="117"/>
        <v>0</v>
      </c>
      <c r="AA284" s="638"/>
      <c r="AB284" s="638"/>
      <c r="AC284" s="635">
        <f t="shared" si="118"/>
        <v>0</v>
      </c>
      <c r="AD284" s="636"/>
      <c r="AE284" s="636"/>
      <c r="AF284" s="637">
        <f t="shared" si="119"/>
        <v>0</v>
      </c>
      <c r="AG284" s="638"/>
      <c r="AH284" s="638"/>
      <c r="AI284" s="635">
        <f t="shared" si="120"/>
        <v>0</v>
      </c>
      <c r="AJ284" s="636">
        <v>103</v>
      </c>
      <c r="AK284" s="636">
        <v>51957.7</v>
      </c>
      <c r="AL284" s="637">
        <f t="shared" si="121"/>
        <v>5351643.0999999996</v>
      </c>
      <c r="AM284" s="638">
        <v>102</v>
      </c>
      <c r="AN284" s="638">
        <v>52046</v>
      </c>
      <c r="AO284" s="640">
        <f t="shared" si="122"/>
        <v>5308692</v>
      </c>
      <c r="AP284" s="636"/>
      <c r="AQ284" s="636"/>
      <c r="AR284" s="637">
        <f t="shared" si="123"/>
        <v>0</v>
      </c>
      <c r="AS284" s="638"/>
      <c r="AT284" s="638"/>
      <c r="AU284" s="635">
        <f t="shared" si="124"/>
        <v>0</v>
      </c>
      <c r="AV284" s="636"/>
      <c r="AW284" s="636"/>
      <c r="AX284" s="637">
        <f t="shared" si="125"/>
        <v>0</v>
      </c>
      <c r="AY284" s="638"/>
      <c r="AZ284" s="638"/>
      <c r="BA284" s="635">
        <f t="shared" si="126"/>
        <v>0</v>
      </c>
      <c r="BB284" s="636"/>
      <c r="BC284" s="636"/>
      <c r="BD284" s="637">
        <f t="shared" si="127"/>
        <v>0</v>
      </c>
      <c r="BE284" s="638"/>
      <c r="BF284" s="638"/>
      <c r="BG284" s="635">
        <f t="shared" si="128"/>
        <v>0</v>
      </c>
      <c r="BH284" s="636"/>
      <c r="BI284" s="636"/>
      <c r="BJ284" s="637">
        <f t="shared" si="129"/>
        <v>0</v>
      </c>
      <c r="BK284" s="638"/>
      <c r="BL284" s="638"/>
      <c r="BM284" s="635">
        <f t="shared" si="130"/>
        <v>0</v>
      </c>
      <c r="BN284" s="636"/>
      <c r="BO284" s="636"/>
      <c r="BP284" s="637">
        <f t="shared" si="131"/>
        <v>0</v>
      </c>
      <c r="BQ284" s="638"/>
      <c r="BR284" s="638"/>
      <c r="BS284" s="635">
        <f t="shared" si="132"/>
        <v>0</v>
      </c>
      <c r="BT284" s="636">
        <v>22</v>
      </c>
      <c r="BU284" s="636">
        <v>62918.727272727272</v>
      </c>
      <c r="BV284" s="637">
        <f t="shared" si="133"/>
        <v>1132562.2584000002</v>
      </c>
      <c r="BW284" s="638">
        <v>22</v>
      </c>
      <c r="BX284" s="646">
        <f>1390281/BW284</f>
        <v>63194.590909090912</v>
      </c>
      <c r="BY284" s="641">
        <f t="shared" si="134"/>
        <v>1137527.9142</v>
      </c>
      <c r="CA284" s="531" t="s">
        <v>1047</v>
      </c>
    </row>
    <row r="285" spans="1:79" x14ac:dyDescent="0.2">
      <c r="A285" s="400" t="s">
        <v>108</v>
      </c>
      <c r="B285" s="405" t="s">
        <v>991</v>
      </c>
      <c r="C285" s="406"/>
      <c r="D285" s="444">
        <v>176239</v>
      </c>
      <c r="E285" s="410">
        <v>9</v>
      </c>
      <c r="F285" s="631"/>
      <c r="G285" s="632"/>
      <c r="H285" s="633">
        <f t="shared" si="111"/>
        <v>0</v>
      </c>
      <c r="I285" s="634"/>
      <c r="J285" s="634"/>
      <c r="K285" s="635">
        <f t="shared" si="112"/>
        <v>0</v>
      </c>
      <c r="L285" s="636"/>
      <c r="M285" s="636"/>
      <c r="N285" s="637">
        <f t="shared" si="113"/>
        <v>0</v>
      </c>
      <c r="O285" s="638"/>
      <c r="P285" s="638"/>
      <c r="Q285" s="635">
        <f t="shared" si="114"/>
        <v>0</v>
      </c>
      <c r="R285" s="636"/>
      <c r="S285" s="636"/>
      <c r="T285" s="637">
        <f t="shared" si="115"/>
        <v>0</v>
      </c>
      <c r="U285" s="639"/>
      <c r="V285" s="639"/>
      <c r="W285" s="635">
        <f t="shared" si="116"/>
        <v>0</v>
      </c>
      <c r="X285" s="636"/>
      <c r="Y285" s="636"/>
      <c r="Z285" s="637">
        <f t="shared" si="117"/>
        <v>0</v>
      </c>
      <c r="AA285" s="638"/>
      <c r="AB285" s="638"/>
      <c r="AC285" s="635">
        <f t="shared" si="118"/>
        <v>0</v>
      </c>
      <c r="AD285" s="636"/>
      <c r="AE285" s="636"/>
      <c r="AF285" s="637">
        <f t="shared" si="119"/>
        <v>0</v>
      </c>
      <c r="AG285" s="638"/>
      <c r="AH285" s="638"/>
      <c r="AI285" s="635">
        <f t="shared" si="120"/>
        <v>0</v>
      </c>
      <c r="AJ285" s="636">
        <v>183</v>
      </c>
      <c r="AK285" s="636">
        <v>56687.4</v>
      </c>
      <c r="AL285" s="637">
        <f t="shared" si="121"/>
        <v>10373794.200000001</v>
      </c>
      <c r="AM285" s="638">
        <v>187</v>
      </c>
      <c r="AN285" s="638">
        <v>56705</v>
      </c>
      <c r="AO285" s="640">
        <f t="shared" si="122"/>
        <v>10603835</v>
      </c>
      <c r="AP285" s="636"/>
      <c r="AQ285" s="636"/>
      <c r="AR285" s="637">
        <f t="shared" si="123"/>
        <v>0</v>
      </c>
      <c r="AS285" s="638"/>
      <c r="AT285" s="638"/>
      <c r="AU285" s="635">
        <f t="shared" si="124"/>
        <v>0</v>
      </c>
      <c r="AV285" s="636"/>
      <c r="AW285" s="636"/>
      <c r="AX285" s="637">
        <f t="shared" si="125"/>
        <v>0</v>
      </c>
      <c r="AY285" s="638"/>
      <c r="AZ285" s="638"/>
      <c r="BA285" s="635">
        <f t="shared" si="126"/>
        <v>0</v>
      </c>
      <c r="BB285" s="636"/>
      <c r="BC285" s="636"/>
      <c r="BD285" s="637">
        <f t="shared" si="127"/>
        <v>0</v>
      </c>
      <c r="BE285" s="638"/>
      <c r="BF285" s="638"/>
      <c r="BG285" s="635">
        <f t="shared" si="128"/>
        <v>0</v>
      </c>
      <c r="BH285" s="636"/>
      <c r="BI285" s="636"/>
      <c r="BJ285" s="637">
        <f t="shared" si="129"/>
        <v>0</v>
      </c>
      <c r="BK285" s="638"/>
      <c r="BL285" s="638"/>
      <c r="BM285" s="635">
        <f t="shared" si="130"/>
        <v>0</v>
      </c>
      <c r="BN285" s="636"/>
      <c r="BO285" s="636"/>
      <c r="BP285" s="637">
        <f t="shared" si="131"/>
        <v>0</v>
      </c>
      <c r="BQ285" s="638"/>
      <c r="BR285" s="638"/>
      <c r="BS285" s="635">
        <f t="shared" si="132"/>
        <v>0</v>
      </c>
      <c r="BT285" s="636">
        <v>0</v>
      </c>
      <c r="BU285" s="636">
        <v>0</v>
      </c>
      <c r="BV285" s="637">
        <f t="shared" si="133"/>
        <v>0</v>
      </c>
      <c r="BW285" s="638"/>
      <c r="BX285" s="647"/>
      <c r="BY285" s="641">
        <f t="shared" si="134"/>
        <v>0</v>
      </c>
      <c r="CA285" s="532"/>
    </row>
    <row r="286" spans="1:79" x14ac:dyDescent="0.2">
      <c r="A286" s="400" t="s">
        <v>108</v>
      </c>
      <c r="B286" s="405" t="s">
        <v>992</v>
      </c>
      <c r="C286" s="406"/>
      <c r="D286" s="400">
        <v>175519</v>
      </c>
      <c r="E286" s="410">
        <v>10</v>
      </c>
      <c r="F286" s="631"/>
      <c r="G286" s="632"/>
      <c r="H286" s="633">
        <f t="shared" si="111"/>
        <v>0</v>
      </c>
      <c r="I286" s="634"/>
      <c r="J286" s="634"/>
      <c r="K286" s="635">
        <f t="shared" si="112"/>
        <v>0</v>
      </c>
      <c r="L286" s="636"/>
      <c r="M286" s="636"/>
      <c r="N286" s="637">
        <f t="shared" si="113"/>
        <v>0</v>
      </c>
      <c r="O286" s="638"/>
      <c r="P286" s="638"/>
      <c r="Q286" s="635">
        <f t="shared" si="114"/>
        <v>0</v>
      </c>
      <c r="R286" s="636"/>
      <c r="S286" s="636"/>
      <c r="T286" s="637">
        <f t="shared" si="115"/>
        <v>0</v>
      </c>
      <c r="U286" s="639"/>
      <c r="V286" s="639"/>
      <c r="W286" s="635">
        <f t="shared" si="116"/>
        <v>0</v>
      </c>
      <c r="X286" s="636"/>
      <c r="Y286" s="636"/>
      <c r="Z286" s="637">
        <f t="shared" si="117"/>
        <v>0</v>
      </c>
      <c r="AA286" s="638"/>
      <c r="AB286" s="638"/>
      <c r="AC286" s="635">
        <f t="shared" si="118"/>
        <v>0</v>
      </c>
      <c r="AD286" s="636"/>
      <c r="AE286" s="636"/>
      <c r="AF286" s="637">
        <f t="shared" si="119"/>
        <v>0</v>
      </c>
      <c r="AG286" s="638"/>
      <c r="AH286" s="638"/>
      <c r="AI286" s="635">
        <f t="shared" si="120"/>
        <v>0</v>
      </c>
      <c r="AJ286" s="636">
        <v>53</v>
      </c>
      <c r="AK286" s="636">
        <v>44817.5</v>
      </c>
      <c r="AL286" s="637">
        <f t="shared" si="121"/>
        <v>2375327.5</v>
      </c>
      <c r="AM286" s="638">
        <v>57</v>
      </c>
      <c r="AN286" s="638">
        <v>44610.9</v>
      </c>
      <c r="AO286" s="640">
        <f t="shared" si="122"/>
        <v>2542821.3000000003</v>
      </c>
      <c r="AP286" s="636"/>
      <c r="AQ286" s="636"/>
      <c r="AR286" s="637">
        <f t="shared" si="123"/>
        <v>0</v>
      </c>
      <c r="AS286" s="638"/>
      <c r="AT286" s="638"/>
      <c r="AU286" s="635">
        <f t="shared" si="124"/>
        <v>0</v>
      </c>
      <c r="AV286" s="636"/>
      <c r="AW286" s="636"/>
      <c r="AX286" s="637">
        <f t="shared" si="125"/>
        <v>0</v>
      </c>
      <c r="AY286" s="638"/>
      <c r="AZ286" s="638"/>
      <c r="BA286" s="635">
        <f t="shared" si="126"/>
        <v>0</v>
      </c>
      <c r="BB286" s="636"/>
      <c r="BC286" s="636"/>
      <c r="BD286" s="637">
        <f t="shared" si="127"/>
        <v>0</v>
      </c>
      <c r="BE286" s="638"/>
      <c r="BF286" s="638"/>
      <c r="BG286" s="635">
        <f t="shared" si="128"/>
        <v>0</v>
      </c>
      <c r="BH286" s="636"/>
      <c r="BI286" s="636"/>
      <c r="BJ286" s="637">
        <f t="shared" si="129"/>
        <v>0</v>
      </c>
      <c r="BK286" s="638"/>
      <c r="BL286" s="638"/>
      <c r="BM286" s="635">
        <f t="shared" si="130"/>
        <v>0</v>
      </c>
      <c r="BN286" s="636"/>
      <c r="BO286" s="636"/>
      <c r="BP286" s="637">
        <f t="shared" si="131"/>
        <v>0</v>
      </c>
      <c r="BQ286" s="638"/>
      <c r="BR286" s="638"/>
      <c r="BS286" s="635">
        <f t="shared" si="132"/>
        <v>0</v>
      </c>
      <c r="BT286" s="636">
        <v>21</v>
      </c>
      <c r="BU286" s="636">
        <v>38637.333333333336</v>
      </c>
      <c r="BV286" s="637">
        <f t="shared" si="133"/>
        <v>663874.38880000007</v>
      </c>
      <c r="BW286" s="638">
        <v>24</v>
      </c>
      <c r="BX286" s="646">
        <f>939178/BW286</f>
        <v>39132.416666666664</v>
      </c>
      <c r="BY286" s="641">
        <f t="shared" si="134"/>
        <v>768435.43960000004</v>
      </c>
      <c r="CA286" s="531" t="s">
        <v>1048</v>
      </c>
    </row>
    <row r="287" spans="1:79" x14ac:dyDescent="0.2">
      <c r="A287" s="400" t="s">
        <v>108</v>
      </c>
      <c r="B287" s="408" t="s">
        <v>993</v>
      </c>
      <c r="C287" s="409"/>
      <c r="D287" s="400">
        <v>176354</v>
      </c>
      <c r="E287" s="410">
        <v>10</v>
      </c>
      <c r="F287" s="631"/>
      <c r="G287" s="632"/>
      <c r="H287" s="633">
        <f t="shared" si="111"/>
        <v>0</v>
      </c>
      <c r="I287" s="634"/>
      <c r="J287" s="634"/>
      <c r="K287" s="635">
        <f t="shared" si="112"/>
        <v>0</v>
      </c>
      <c r="L287" s="636"/>
      <c r="M287" s="636"/>
      <c r="N287" s="637">
        <f t="shared" si="113"/>
        <v>0</v>
      </c>
      <c r="O287" s="638"/>
      <c r="P287" s="638"/>
      <c r="Q287" s="635">
        <f t="shared" si="114"/>
        <v>0</v>
      </c>
      <c r="R287" s="636"/>
      <c r="S287" s="636"/>
      <c r="T287" s="637">
        <f t="shared" si="115"/>
        <v>0</v>
      </c>
      <c r="U287" s="639"/>
      <c r="V287" s="639"/>
      <c r="W287" s="635">
        <f t="shared" si="116"/>
        <v>0</v>
      </c>
      <c r="X287" s="636"/>
      <c r="Y287" s="636"/>
      <c r="Z287" s="637">
        <f t="shared" si="117"/>
        <v>0</v>
      </c>
      <c r="AA287" s="638"/>
      <c r="AB287" s="638"/>
      <c r="AC287" s="635">
        <f t="shared" si="118"/>
        <v>0</v>
      </c>
      <c r="AD287" s="636"/>
      <c r="AE287" s="636"/>
      <c r="AF287" s="637">
        <f t="shared" si="119"/>
        <v>0</v>
      </c>
      <c r="AG287" s="638"/>
      <c r="AH287" s="638"/>
      <c r="AI287" s="635">
        <f t="shared" si="120"/>
        <v>0</v>
      </c>
      <c r="AJ287" s="636">
        <v>59</v>
      </c>
      <c r="AK287" s="636">
        <v>55420.5</v>
      </c>
      <c r="AL287" s="637">
        <f t="shared" si="121"/>
        <v>3269809.5</v>
      </c>
      <c r="AM287" s="638">
        <v>59</v>
      </c>
      <c r="AN287" s="638">
        <v>56308.6</v>
      </c>
      <c r="AO287" s="640">
        <f t="shared" si="122"/>
        <v>3322207.4</v>
      </c>
      <c r="AP287" s="636"/>
      <c r="AQ287" s="636"/>
      <c r="AR287" s="637">
        <f t="shared" si="123"/>
        <v>0</v>
      </c>
      <c r="AS287" s="638"/>
      <c r="AT287" s="638"/>
      <c r="AU287" s="635">
        <f t="shared" si="124"/>
        <v>0</v>
      </c>
      <c r="AV287" s="636"/>
      <c r="AW287" s="636"/>
      <c r="AX287" s="637">
        <f t="shared" si="125"/>
        <v>0</v>
      </c>
      <c r="AY287" s="638"/>
      <c r="AZ287" s="638"/>
      <c r="BA287" s="635">
        <f t="shared" si="126"/>
        <v>0</v>
      </c>
      <c r="BB287" s="636"/>
      <c r="BC287" s="636"/>
      <c r="BD287" s="637">
        <f t="shared" si="127"/>
        <v>0</v>
      </c>
      <c r="BE287" s="638"/>
      <c r="BF287" s="638"/>
      <c r="BG287" s="635">
        <f t="shared" si="128"/>
        <v>0</v>
      </c>
      <c r="BH287" s="636"/>
      <c r="BI287" s="636"/>
      <c r="BJ287" s="637">
        <f t="shared" si="129"/>
        <v>0</v>
      </c>
      <c r="BK287" s="638"/>
      <c r="BL287" s="638"/>
      <c r="BM287" s="635">
        <f t="shared" si="130"/>
        <v>0</v>
      </c>
      <c r="BN287" s="636"/>
      <c r="BO287" s="636"/>
      <c r="BP287" s="637">
        <f t="shared" si="131"/>
        <v>0</v>
      </c>
      <c r="BQ287" s="638"/>
      <c r="BR287" s="638"/>
      <c r="BS287" s="635">
        <f t="shared" si="132"/>
        <v>0</v>
      </c>
      <c r="BT287" s="636">
        <v>12</v>
      </c>
      <c r="BU287" s="636">
        <v>42368.75</v>
      </c>
      <c r="BV287" s="637">
        <f t="shared" si="133"/>
        <v>415993.33500000002</v>
      </c>
      <c r="BW287" s="638">
        <v>9</v>
      </c>
      <c r="BX287" s="646">
        <f>399110/BW287</f>
        <v>44345.555555555555</v>
      </c>
      <c r="BY287" s="641">
        <f t="shared" si="134"/>
        <v>326551.80200000003</v>
      </c>
      <c r="CA287" s="531" t="s">
        <v>1049</v>
      </c>
    </row>
    <row r="288" spans="1:79" x14ac:dyDescent="0.2">
      <c r="A288" s="352" t="s">
        <v>109</v>
      </c>
      <c r="B288" s="353" t="s">
        <v>529</v>
      </c>
      <c r="C288" s="354"/>
      <c r="D288" s="355">
        <v>199193</v>
      </c>
      <c r="E288" s="356">
        <v>1</v>
      </c>
      <c r="F288" s="631">
        <v>401</v>
      </c>
      <c r="G288" s="632">
        <v>123240</v>
      </c>
      <c r="H288" s="633">
        <f t="shared" si="111"/>
        <v>49419240</v>
      </c>
      <c r="I288" s="634">
        <v>397</v>
      </c>
      <c r="J288" s="634">
        <v>124967</v>
      </c>
      <c r="K288" s="635">
        <f t="shared" si="112"/>
        <v>49611899</v>
      </c>
      <c r="L288" s="636">
        <v>304</v>
      </c>
      <c r="M288" s="636">
        <v>85875</v>
      </c>
      <c r="N288" s="637">
        <f t="shared" si="113"/>
        <v>26106000</v>
      </c>
      <c r="O288" s="638">
        <v>318</v>
      </c>
      <c r="P288" s="638">
        <v>85641</v>
      </c>
      <c r="Q288" s="635">
        <f t="shared" si="114"/>
        <v>27233838</v>
      </c>
      <c r="R288" s="636">
        <v>211</v>
      </c>
      <c r="S288" s="636">
        <v>74260</v>
      </c>
      <c r="T288" s="637">
        <f t="shared" si="115"/>
        <v>15668860</v>
      </c>
      <c r="U288" s="639">
        <v>209</v>
      </c>
      <c r="V288" s="639">
        <v>75380</v>
      </c>
      <c r="W288" s="635">
        <f t="shared" si="116"/>
        <v>15754420</v>
      </c>
      <c r="X288" s="636">
        <v>4</v>
      </c>
      <c r="Y288" s="636">
        <v>65750</v>
      </c>
      <c r="Z288" s="637">
        <f t="shared" si="117"/>
        <v>263000</v>
      </c>
      <c r="AA288" s="638">
        <v>4</v>
      </c>
      <c r="AB288" s="638">
        <v>75250</v>
      </c>
      <c r="AC288" s="635">
        <f t="shared" si="118"/>
        <v>301000</v>
      </c>
      <c r="AD288" s="636">
        <v>225</v>
      </c>
      <c r="AE288" s="636">
        <v>50467</v>
      </c>
      <c r="AF288" s="637">
        <f t="shared" si="119"/>
        <v>11355075</v>
      </c>
      <c r="AG288" s="638">
        <v>220</v>
      </c>
      <c r="AH288" s="638">
        <v>52045</v>
      </c>
      <c r="AI288" s="635">
        <f t="shared" si="120"/>
        <v>11449900</v>
      </c>
      <c r="AJ288" s="636"/>
      <c r="AK288" s="636"/>
      <c r="AL288" s="637">
        <f t="shared" si="121"/>
        <v>0</v>
      </c>
      <c r="AM288" s="638"/>
      <c r="AN288" s="638"/>
      <c r="AO288" s="640">
        <f t="shared" si="122"/>
        <v>0</v>
      </c>
      <c r="AP288" s="636">
        <v>275</v>
      </c>
      <c r="AQ288" s="636">
        <v>129044</v>
      </c>
      <c r="AR288" s="637">
        <f t="shared" si="123"/>
        <v>29035545.220000003</v>
      </c>
      <c r="AS288" s="638">
        <v>261</v>
      </c>
      <c r="AT288" s="638">
        <v>127670</v>
      </c>
      <c r="AU288" s="635">
        <f t="shared" si="124"/>
        <v>27263954.034000002</v>
      </c>
      <c r="AV288" s="636">
        <v>124</v>
      </c>
      <c r="AW288" s="636">
        <v>96723</v>
      </c>
      <c r="AX288" s="637">
        <f t="shared" si="125"/>
        <v>9813206.0664000008</v>
      </c>
      <c r="AY288" s="638">
        <v>128</v>
      </c>
      <c r="AZ288" s="638">
        <v>96563</v>
      </c>
      <c r="BA288" s="635">
        <f t="shared" si="126"/>
        <v>10113004.364800001</v>
      </c>
      <c r="BB288" s="636">
        <v>127</v>
      </c>
      <c r="BC288" s="636">
        <v>78134</v>
      </c>
      <c r="BD288" s="637">
        <f t="shared" si="127"/>
        <v>8119013.3276000004</v>
      </c>
      <c r="BE288" s="638">
        <v>124</v>
      </c>
      <c r="BF288" s="638">
        <v>77286</v>
      </c>
      <c r="BG288" s="635">
        <f t="shared" si="128"/>
        <v>7841190.2448000005</v>
      </c>
      <c r="BH288" s="636">
        <v>1</v>
      </c>
      <c r="BI288" s="636">
        <v>51500</v>
      </c>
      <c r="BJ288" s="637">
        <f t="shared" si="129"/>
        <v>42137.3</v>
      </c>
      <c r="BK288" s="638">
        <v>1</v>
      </c>
      <c r="BL288" s="638">
        <v>51500</v>
      </c>
      <c r="BM288" s="635">
        <f t="shared" si="130"/>
        <v>42137.3</v>
      </c>
      <c r="BN288" s="636">
        <v>83</v>
      </c>
      <c r="BO288" s="636">
        <v>82069</v>
      </c>
      <c r="BP288" s="637">
        <f t="shared" si="131"/>
        <v>5573355.0314000007</v>
      </c>
      <c r="BQ288" s="638">
        <v>74</v>
      </c>
      <c r="BR288" s="638">
        <v>84190</v>
      </c>
      <c r="BS288" s="635">
        <f t="shared" si="132"/>
        <v>5097435.0920000002</v>
      </c>
      <c r="BT288" s="636"/>
      <c r="BU288" s="636"/>
      <c r="BV288" s="637">
        <f t="shared" si="133"/>
        <v>0</v>
      </c>
      <c r="BW288" s="638"/>
      <c r="BX288" s="638"/>
      <c r="BY288" s="641">
        <f t="shared" si="134"/>
        <v>0</v>
      </c>
    </row>
    <row r="289" spans="1:77" x14ac:dyDescent="0.2">
      <c r="A289" s="352" t="s">
        <v>109</v>
      </c>
      <c r="B289" s="353" t="s">
        <v>530</v>
      </c>
      <c r="C289" s="354"/>
      <c r="D289" s="355">
        <v>199120</v>
      </c>
      <c r="E289" s="356">
        <v>1</v>
      </c>
      <c r="F289" s="631">
        <v>504</v>
      </c>
      <c r="G289" s="632">
        <v>140969</v>
      </c>
      <c r="H289" s="633">
        <f t="shared" si="111"/>
        <v>71048376</v>
      </c>
      <c r="I289" s="634">
        <v>487</v>
      </c>
      <c r="J289" s="634">
        <v>141602</v>
      </c>
      <c r="K289" s="635">
        <f t="shared" si="112"/>
        <v>68960174</v>
      </c>
      <c r="L289" s="636">
        <v>261</v>
      </c>
      <c r="M289" s="636">
        <v>91259</v>
      </c>
      <c r="N289" s="637">
        <f t="shared" si="113"/>
        <v>23818599</v>
      </c>
      <c r="O289" s="638">
        <v>274</v>
      </c>
      <c r="P289" s="638">
        <v>92190</v>
      </c>
      <c r="Q289" s="635">
        <f t="shared" si="114"/>
        <v>25260060</v>
      </c>
      <c r="R289" s="636">
        <v>249</v>
      </c>
      <c r="S289" s="636">
        <v>84273</v>
      </c>
      <c r="T289" s="637">
        <f t="shared" si="115"/>
        <v>20983977</v>
      </c>
      <c r="U289" s="639">
        <v>266</v>
      </c>
      <c r="V289" s="639">
        <v>84145</v>
      </c>
      <c r="W289" s="635">
        <f t="shared" si="116"/>
        <v>22382570</v>
      </c>
      <c r="X289" s="636">
        <v>8</v>
      </c>
      <c r="Y289" s="636">
        <v>95625</v>
      </c>
      <c r="Z289" s="637">
        <f t="shared" si="117"/>
        <v>765000</v>
      </c>
      <c r="AA289" s="638">
        <v>4</v>
      </c>
      <c r="AB289" s="638">
        <v>119250</v>
      </c>
      <c r="AC289" s="635">
        <f t="shared" si="118"/>
        <v>477000</v>
      </c>
      <c r="AD289" s="636">
        <v>210</v>
      </c>
      <c r="AE289" s="636">
        <v>62319</v>
      </c>
      <c r="AF289" s="637">
        <f t="shared" si="119"/>
        <v>13086990</v>
      </c>
      <c r="AG289" s="638">
        <v>210</v>
      </c>
      <c r="AH289" s="638">
        <v>61040</v>
      </c>
      <c r="AI289" s="635">
        <f t="shared" si="120"/>
        <v>12818400</v>
      </c>
      <c r="AJ289" s="636"/>
      <c r="AK289" s="636"/>
      <c r="AL289" s="637">
        <f t="shared" si="121"/>
        <v>0</v>
      </c>
      <c r="AM289" s="638"/>
      <c r="AN289" s="638"/>
      <c r="AO289" s="640">
        <f t="shared" si="122"/>
        <v>0</v>
      </c>
      <c r="AP289" s="636">
        <v>129</v>
      </c>
      <c r="AQ289" s="636">
        <v>186539</v>
      </c>
      <c r="AR289" s="637">
        <f t="shared" si="123"/>
        <v>19688781.064200003</v>
      </c>
      <c r="AS289" s="638">
        <v>128</v>
      </c>
      <c r="AT289" s="638">
        <v>187043</v>
      </c>
      <c r="AU289" s="635">
        <f t="shared" si="124"/>
        <v>19588938.572799999</v>
      </c>
      <c r="AV289" s="636">
        <v>91</v>
      </c>
      <c r="AW289" s="636">
        <v>120336</v>
      </c>
      <c r="AX289" s="637">
        <f t="shared" si="125"/>
        <v>8959761.2832000013</v>
      </c>
      <c r="AY289" s="638">
        <v>92</v>
      </c>
      <c r="AZ289" s="638">
        <v>124455</v>
      </c>
      <c r="BA289" s="635">
        <f t="shared" si="126"/>
        <v>9368275.4519999996</v>
      </c>
      <c r="BB289" s="636">
        <v>86</v>
      </c>
      <c r="BC289" s="636">
        <v>88085</v>
      </c>
      <c r="BD289" s="637">
        <f t="shared" si="127"/>
        <v>6198118.642</v>
      </c>
      <c r="BE289" s="638">
        <v>95</v>
      </c>
      <c r="BF289" s="638">
        <v>85776</v>
      </c>
      <c r="BG289" s="635">
        <f t="shared" si="128"/>
        <v>6667282.7039999999</v>
      </c>
      <c r="BH289" s="636">
        <v>3</v>
      </c>
      <c r="BI289" s="636">
        <v>68124</v>
      </c>
      <c r="BJ289" s="637">
        <f t="shared" si="129"/>
        <v>167217.1704</v>
      </c>
      <c r="BK289" s="638">
        <v>2</v>
      </c>
      <c r="BL289" s="638">
        <v>77246</v>
      </c>
      <c r="BM289" s="635">
        <f t="shared" si="130"/>
        <v>126405.35440000001</v>
      </c>
      <c r="BN289" s="636">
        <v>130</v>
      </c>
      <c r="BO289" s="636">
        <v>106557</v>
      </c>
      <c r="BP289" s="637">
        <f t="shared" si="131"/>
        <v>11334041.862</v>
      </c>
      <c r="BQ289" s="638">
        <v>128</v>
      </c>
      <c r="BR289" s="638">
        <v>103005</v>
      </c>
      <c r="BS289" s="635">
        <f t="shared" si="132"/>
        <v>10787672.448000001</v>
      </c>
      <c r="BT289" s="636"/>
      <c r="BU289" s="636"/>
      <c r="BV289" s="637">
        <f t="shared" si="133"/>
        <v>0</v>
      </c>
      <c r="BW289" s="638"/>
      <c r="BX289" s="638"/>
      <c r="BY289" s="641">
        <f t="shared" si="134"/>
        <v>0</v>
      </c>
    </row>
    <row r="290" spans="1:77" x14ac:dyDescent="0.2">
      <c r="A290" s="352" t="s">
        <v>109</v>
      </c>
      <c r="B290" s="357" t="s">
        <v>532</v>
      </c>
      <c r="C290" s="419" t="s">
        <v>871</v>
      </c>
      <c r="D290" s="355">
        <v>199148</v>
      </c>
      <c r="E290" s="420">
        <v>1</v>
      </c>
      <c r="F290" s="631">
        <v>182</v>
      </c>
      <c r="G290" s="632">
        <v>109545</v>
      </c>
      <c r="H290" s="633">
        <f t="shared" si="111"/>
        <v>19937190</v>
      </c>
      <c r="I290" s="634">
        <v>177</v>
      </c>
      <c r="J290" s="634">
        <v>109378</v>
      </c>
      <c r="K290" s="635">
        <f t="shared" si="112"/>
        <v>19359906</v>
      </c>
      <c r="L290" s="636">
        <v>233</v>
      </c>
      <c r="M290" s="636">
        <v>77321</v>
      </c>
      <c r="N290" s="637">
        <f t="shared" si="113"/>
        <v>18015793</v>
      </c>
      <c r="O290" s="638">
        <v>240</v>
      </c>
      <c r="P290" s="638">
        <v>75849</v>
      </c>
      <c r="Q290" s="635">
        <f t="shared" si="114"/>
        <v>18203760</v>
      </c>
      <c r="R290" s="636">
        <v>148</v>
      </c>
      <c r="S290" s="636">
        <v>64111</v>
      </c>
      <c r="T290" s="637">
        <f t="shared" si="115"/>
        <v>9488428</v>
      </c>
      <c r="U290" s="638">
        <v>133</v>
      </c>
      <c r="V290" s="638">
        <v>62880</v>
      </c>
      <c r="W290" s="635">
        <f t="shared" si="116"/>
        <v>8363040</v>
      </c>
      <c r="X290" s="636">
        <v>45</v>
      </c>
      <c r="Y290" s="636">
        <v>58957</v>
      </c>
      <c r="Z290" s="637">
        <f t="shared" si="117"/>
        <v>2653065</v>
      </c>
      <c r="AA290" s="638">
        <v>43</v>
      </c>
      <c r="AB290" s="638">
        <v>57329</v>
      </c>
      <c r="AC290" s="635">
        <f t="shared" si="118"/>
        <v>2465147</v>
      </c>
      <c r="AD290" s="636">
        <v>174</v>
      </c>
      <c r="AE290" s="636">
        <v>44486</v>
      </c>
      <c r="AF290" s="637">
        <f t="shared" si="119"/>
        <v>7740564</v>
      </c>
      <c r="AG290" s="638">
        <v>154</v>
      </c>
      <c r="AH290" s="638">
        <v>43411</v>
      </c>
      <c r="AI290" s="635">
        <f t="shared" si="120"/>
        <v>6685294</v>
      </c>
      <c r="AJ290" s="636"/>
      <c r="AK290" s="636"/>
      <c r="AL290" s="637">
        <f t="shared" si="121"/>
        <v>0</v>
      </c>
      <c r="AM290" s="638"/>
      <c r="AN290" s="638"/>
      <c r="AO290" s="640">
        <f t="shared" si="122"/>
        <v>0</v>
      </c>
      <c r="AP290" s="636">
        <v>12</v>
      </c>
      <c r="AQ290" s="636">
        <v>132189</v>
      </c>
      <c r="AR290" s="637">
        <f t="shared" si="123"/>
        <v>1297884.4776000001</v>
      </c>
      <c r="AS290" s="638">
        <v>18</v>
      </c>
      <c r="AT290" s="638">
        <v>125455</v>
      </c>
      <c r="AU290" s="635">
        <f t="shared" si="124"/>
        <v>1847651.0580000002</v>
      </c>
      <c r="AV290" s="636">
        <v>10</v>
      </c>
      <c r="AW290" s="636">
        <v>88962</v>
      </c>
      <c r="AX290" s="637">
        <f t="shared" si="125"/>
        <v>727887.08400000003</v>
      </c>
      <c r="AY290" s="638">
        <v>8</v>
      </c>
      <c r="AZ290" s="638">
        <v>77649</v>
      </c>
      <c r="BA290" s="635">
        <f t="shared" si="126"/>
        <v>508259.29440000001</v>
      </c>
      <c r="BB290" s="636">
        <v>2</v>
      </c>
      <c r="BC290" s="636">
        <v>96301</v>
      </c>
      <c r="BD290" s="637">
        <f t="shared" si="127"/>
        <v>157586.9564</v>
      </c>
      <c r="BE290" s="638">
        <v>2</v>
      </c>
      <c r="BF290" s="638">
        <v>96301</v>
      </c>
      <c r="BG290" s="635">
        <f t="shared" si="128"/>
        <v>157586.9564</v>
      </c>
      <c r="BH290" s="636">
        <v>15</v>
      </c>
      <c r="BI290" s="636">
        <v>60443</v>
      </c>
      <c r="BJ290" s="637">
        <f t="shared" si="129"/>
        <v>741816.93900000001</v>
      </c>
      <c r="BK290" s="638">
        <v>12</v>
      </c>
      <c r="BL290" s="638">
        <v>61746</v>
      </c>
      <c r="BM290" s="635">
        <f t="shared" si="130"/>
        <v>606246.9264</v>
      </c>
      <c r="BN290" s="636">
        <v>18</v>
      </c>
      <c r="BO290" s="636">
        <v>49898</v>
      </c>
      <c r="BP290" s="637">
        <f t="shared" si="131"/>
        <v>734877.78480000002</v>
      </c>
      <c r="BQ290" s="638">
        <v>19</v>
      </c>
      <c r="BR290" s="638">
        <v>49122</v>
      </c>
      <c r="BS290" s="635">
        <f t="shared" si="132"/>
        <v>763640.78760000004</v>
      </c>
      <c r="BT290" s="636"/>
      <c r="BU290" s="636"/>
      <c r="BV290" s="637">
        <f t="shared" si="133"/>
        <v>0</v>
      </c>
      <c r="BW290" s="638"/>
      <c r="BX290" s="638"/>
      <c r="BY290" s="641">
        <f t="shared" si="134"/>
        <v>0</v>
      </c>
    </row>
    <row r="291" spans="1:77" x14ac:dyDescent="0.2">
      <c r="A291" s="352" t="s">
        <v>109</v>
      </c>
      <c r="B291" s="353" t="s">
        <v>531</v>
      </c>
      <c r="C291" s="354"/>
      <c r="D291" s="355">
        <v>199139</v>
      </c>
      <c r="E291" s="356">
        <v>2</v>
      </c>
      <c r="F291" s="631">
        <v>178</v>
      </c>
      <c r="G291" s="632">
        <v>112695</v>
      </c>
      <c r="H291" s="633">
        <f t="shared" si="111"/>
        <v>20059710</v>
      </c>
      <c r="I291" s="634">
        <v>190</v>
      </c>
      <c r="J291" s="634">
        <v>112591</v>
      </c>
      <c r="K291" s="635">
        <f t="shared" si="112"/>
        <v>21392290</v>
      </c>
      <c r="L291" s="636">
        <v>281</v>
      </c>
      <c r="M291" s="636">
        <v>80833</v>
      </c>
      <c r="N291" s="637">
        <f t="shared" si="113"/>
        <v>22714073</v>
      </c>
      <c r="O291" s="638">
        <v>294</v>
      </c>
      <c r="P291" s="638">
        <v>79225</v>
      </c>
      <c r="Q291" s="635">
        <f t="shared" si="114"/>
        <v>23292150</v>
      </c>
      <c r="R291" s="636">
        <v>232</v>
      </c>
      <c r="S291" s="636">
        <v>69048</v>
      </c>
      <c r="T291" s="637">
        <f t="shared" si="115"/>
        <v>16019136</v>
      </c>
      <c r="U291" s="638">
        <v>214</v>
      </c>
      <c r="V291" s="638">
        <v>69883</v>
      </c>
      <c r="W291" s="635">
        <f t="shared" si="116"/>
        <v>14954962</v>
      </c>
      <c r="X291" s="636">
        <v>0</v>
      </c>
      <c r="Y291" s="636">
        <v>0</v>
      </c>
      <c r="Z291" s="637">
        <f t="shared" si="117"/>
        <v>0</v>
      </c>
      <c r="AA291" s="638">
        <v>0</v>
      </c>
      <c r="AB291" s="638">
        <v>0</v>
      </c>
      <c r="AC291" s="635">
        <f t="shared" si="118"/>
        <v>0</v>
      </c>
      <c r="AD291" s="636">
        <v>187</v>
      </c>
      <c r="AE291" s="636">
        <v>49549</v>
      </c>
      <c r="AF291" s="637">
        <f t="shared" si="119"/>
        <v>9265663</v>
      </c>
      <c r="AG291" s="638">
        <v>200</v>
      </c>
      <c r="AH291" s="638">
        <v>48965</v>
      </c>
      <c r="AI291" s="635">
        <f t="shared" si="120"/>
        <v>9793000</v>
      </c>
      <c r="AJ291" s="636"/>
      <c r="AK291" s="636"/>
      <c r="AL291" s="637">
        <f t="shared" si="121"/>
        <v>0</v>
      </c>
      <c r="AM291" s="638"/>
      <c r="AN291" s="638"/>
      <c r="AO291" s="640">
        <f t="shared" si="122"/>
        <v>0</v>
      </c>
      <c r="AP291" s="636">
        <v>26</v>
      </c>
      <c r="AQ291" s="636">
        <v>137596</v>
      </c>
      <c r="AR291" s="637">
        <f t="shared" si="123"/>
        <v>2927107.2272000001</v>
      </c>
      <c r="AS291" s="638">
        <v>24</v>
      </c>
      <c r="AT291" s="638">
        <v>137593</v>
      </c>
      <c r="AU291" s="635">
        <f t="shared" si="124"/>
        <v>2701886.2224000003</v>
      </c>
      <c r="AV291" s="636">
        <v>14</v>
      </c>
      <c r="AW291" s="636">
        <v>110332</v>
      </c>
      <c r="AX291" s="637">
        <f t="shared" si="125"/>
        <v>1263830.9936000002</v>
      </c>
      <c r="AY291" s="638">
        <v>10</v>
      </c>
      <c r="AZ291" s="638">
        <v>104028</v>
      </c>
      <c r="BA291" s="635">
        <f t="shared" si="126"/>
        <v>851157.09600000002</v>
      </c>
      <c r="BB291" s="636">
        <v>0</v>
      </c>
      <c r="BC291" s="636">
        <v>0</v>
      </c>
      <c r="BD291" s="637">
        <f t="shared" si="127"/>
        <v>0</v>
      </c>
      <c r="BE291" s="638">
        <v>0</v>
      </c>
      <c r="BF291" s="638">
        <v>0</v>
      </c>
      <c r="BG291" s="635">
        <f t="shared" si="128"/>
        <v>0</v>
      </c>
      <c r="BH291" s="636">
        <v>0</v>
      </c>
      <c r="BI291" s="636">
        <v>0</v>
      </c>
      <c r="BJ291" s="637">
        <f t="shared" si="129"/>
        <v>0</v>
      </c>
      <c r="BK291" s="638">
        <v>0</v>
      </c>
      <c r="BL291" s="638">
        <v>0</v>
      </c>
      <c r="BM291" s="635">
        <f t="shared" si="130"/>
        <v>0</v>
      </c>
      <c r="BN291" s="636">
        <v>31</v>
      </c>
      <c r="BO291" s="636">
        <v>68211</v>
      </c>
      <c r="BP291" s="637">
        <f t="shared" si="131"/>
        <v>1730117.4462000001</v>
      </c>
      <c r="BQ291" s="638">
        <v>39</v>
      </c>
      <c r="BR291" s="638">
        <v>67597</v>
      </c>
      <c r="BS291" s="635">
        <f t="shared" si="132"/>
        <v>2157006.7505999999</v>
      </c>
      <c r="BT291" s="636"/>
      <c r="BU291" s="636"/>
      <c r="BV291" s="637">
        <f t="shared" si="133"/>
        <v>0</v>
      </c>
      <c r="BW291" s="638"/>
      <c r="BX291" s="638"/>
      <c r="BY291" s="641">
        <f t="shared" si="134"/>
        <v>0</v>
      </c>
    </row>
    <row r="292" spans="1:77" x14ac:dyDescent="0.2">
      <c r="A292" s="352" t="s">
        <v>109</v>
      </c>
      <c r="B292" s="353" t="s">
        <v>533</v>
      </c>
      <c r="C292" s="354"/>
      <c r="D292" s="355">
        <v>197869</v>
      </c>
      <c r="E292" s="356">
        <v>3</v>
      </c>
      <c r="F292" s="631">
        <v>268</v>
      </c>
      <c r="G292" s="632">
        <v>89540</v>
      </c>
      <c r="H292" s="633">
        <f t="shared" si="111"/>
        <v>23996720</v>
      </c>
      <c r="I292" s="634">
        <v>267</v>
      </c>
      <c r="J292" s="634">
        <v>89280</v>
      </c>
      <c r="K292" s="635">
        <f t="shared" si="112"/>
        <v>23837760</v>
      </c>
      <c r="L292" s="636">
        <v>189</v>
      </c>
      <c r="M292" s="636">
        <v>72145</v>
      </c>
      <c r="N292" s="637">
        <f t="shared" si="113"/>
        <v>13635405</v>
      </c>
      <c r="O292" s="638">
        <v>205</v>
      </c>
      <c r="P292" s="638">
        <v>70287</v>
      </c>
      <c r="Q292" s="635">
        <f t="shared" si="114"/>
        <v>14408835</v>
      </c>
      <c r="R292" s="636">
        <v>232</v>
      </c>
      <c r="S292" s="636">
        <v>59937</v>
      </c>
      <c r="T292" s="637">
        <f t="shared" si="115"/>
        <v>13905384</v>
      </c>
      <c r="U292" s="638">
        <v>219</v>
      </c>
      <c r="V292" s="638">
        <v>60496</v>
      </c>
      <c r="W292" s="635">
        <f t="shared" si="116"/>
        <v>13248624</v>
      </c>
      <c r="X292" s="636">
        <v>7</v>
      </c>
      <c r="Y292" s="636">
        <v>54478</v>
      </c>
      <c r="Z292" s="637">
        <f t="shared" si="117"/>
        <v>381346</v>
      </c>
      <c r="AA292" s="638">
        <v>12</v>
      </c>
      <c r="AB292" s="638">
        <v>58066</v>
      </c>
      <c r="AC292" s="635">
        <f t="shared" si="118"/>
        <v>696792</v>
      </c>
      <c r="AD292" s="636">
        <v>158</v>
      </c>
      <c r="AE292" s="636">
        <v>43137</v>
      </c>
      <c r="AF292" s="637">
        <f t="shared" si="119"/>
        <v>6815646</v>
      </c>
      <c r="AG292" s="638">
        <v>153</v>
      </c>
      <c r="AH292" s="638">
        <v>41863</v>
      </c>
      <c r="AI292" s="635">
        <f t="shared" si="120"/>
        <v>6405039</v>
      </c>
      <c r="AJ292" s="636"/>
      <c r="AK292" s="636"/>
      <c r="AL292" s="637">
        <f t="shared" si="121"/>
        <v>0</v>
      </c>
      <c r="AM292" s="638"/>
      <c r="AN292" s="638"/>
      <c r="AO292" s="640">
        <f t="shared" si="122"/>
        <v>0</v>
      </c>
      <c r="AP292" s="636">
        <v>2</v>
      </c>
      <c r="AQ292" s="636">
        <v>93891</v>
      </c>
      <c r="AR292" s="637">
        <f t="shared" si="123"/>
        <v>153643.23240000001</v>
      </c>
      <c r="AS292" s="638">
        <v>4</v>
      </c>
      <c r="AT292" s="638">
        <v>109850</v>
      </c>
      <c r="AU292" s="635">
        <f t="shared" si="124"/>
        <v>359517.08</v>
      </c>
      <c r="AV292" s="636">
        <v>2</v>
      </c>
      <c r="AW292" s="636">
        <v>76720</v>
      </c>
      <c r="AX292" s="637">
        <f t="shared" si="125"/>
        <v>125544.60800000001</v>
      </c>
      <c r="AY292" s="638">
        <v>2</v>
      </c>
      <c r="AZ292" s="638">
        <v>76720</v>
      </c>
      <c r="BA292" s="635">
        <f t="shared" si="126"/>
        <v>125544.60800000001</v>
      </c>
      <c r="BB292" s="636">
        <v>1</v>
      </c>
      <c r="BC292" s="636">
        <v>63250</v>
      </c>
      <c r="BD292" s="637">
        <f t="shared" si="127"/>
        <v>51751.15</v>
      </c>
      <c r="BE292" s="638">
        <v>1</v>
      </c>
      <c r="BF292" s="638">
        <v>63250</v>
      </c>
      <c r="BG292" s="635">
        <f t="shared" si="128"/>
        <v>51751.15</v>
      </c>
      <c r="BH292" s="636">
        <v>0</v>
      </c>
      <c r="BI292" s="636">
        <v>0</v>
      </c>
      <c r="BJ292" s="637">
        <f t="shared" si="129"/>
        <v>0</v>
      </c>
      <c r="BK292" s="638">
        <v>0</v>
      </c>
      <c r="BL292" s="638">
        <v>0</v>
      </c>
      <c r="BM292" s="635">
        <f t="shared" si="130"/>
        <v>0</v>
      </c>
      <c r="BN292" s="636">
        <v>3</v>
      </c>
      <c r="BO292" s="636">
        <v>41500</v>
      </c>
      <c r="BP292" s="637">
        <f t="shared" si="131"/>
        <v>101865.90000000001</v>
      </c>
      <c r="BQ292" s="638">
        <v>8</v>
      </c>
      <c r="BR292" s="638">
        <v>41982</v>
      </c>
      <c r="BS292" s="635">
        <f t="shared" si="132"/>
        <v>274797.37920000002</v>
      </c>
      <c r="BT292" s="636"/>
      <c r="BU292" s="636"/>
      <c r="BV292" s="637">
        <f t="shared" si="133"/>
        <v>0</v>
      </c>
      <c r="BW292" s="638"/>
      <c r="BX292" s="638"/>
      <c r="BY292" s="641">
        <f t="shared" si="134"/>
        <v>0</v>
      </c>
    </row>
    <row r="293" spans="1:77" x14ac:dyDescent="0.2">
      <c r="A293" s="352" t="s">
        <v>109</v>
      </c>
      <c r="B293" s="357" t="s">
        <v>534</v>
      </c>
      <c r="C293" s="358" t="s">
        <v>387</v>
      </c>
      <c r="D293" s="355">
        <v>198464</v>
      </c>
      <c r="E293" s="356">
        <v>3</v>
      </c>
      <c r="F293" s="631">
        <v>174</v>
      </c>
      <c r="G293" s="632">
        <v>92662</v>
      </c>
      <c r="H293" s="633">
        <f t="shared" si="111"/>
        <v>16123188</v>
      </c>
      <c r="I293" s="634">
        <v>170</v>
      </c>
      <c r="J293" s="634">
        <v>93530</v>
      </c>
      <c r="K293" s="635">
        <f t="shared" si="112"/>
        <v>15900100</v>
      </c>
      <c r="L293" s="636">
        <v>329</v>
      </c>
      <c r="M293" s="636">
        <v>74352</v>
      </c>
      <c r="N293" s="637">
        <f t="shared" si="113"/>
        <v>24461808</v>
      </c>
      <c r="O293" s="638">
        <v>346</v>
      </c>
      <c r="P293" s="638">
        <v>74138</v>
      </c>
      <c r="Q293" s="635">
        <f t="shared" si="114"/>
        <v>25651748</v>
      </c>
      <c r="R293" s="636">
        <v>285</v>
      </c>
      <c r="S293" s="636">
        <v>66652</v>
      </c>
      <c r="T293" s="637">
        <f t="shared" si="115"/>
        <v>18995820</v>
      </c>
      <c r="U293" s="638">
        <v>250</v>
      </c>
      <c r="V293" s="638">
        <v>66808</v>
      </c>
      <c r="W293" s="635">
        <f t="shared" si="116"/>
        <v>16702000</v>
      </c>
      <c r="X293" s="636">
        <v>5</v>
      </c>
      <c r="Y293" s="636">
        <v>61162</v>
      </c>
      <c r="Z293" s="637">
        <f t="shared" si="117"/>
        <v>305810</v>
      </c>
      <c r="AA293" s="638">
        <v>7</v>
      </c>
      <c r="AB293" s="638">
        <v>69187</v>
      </c>
      <c r="AC293" s="635">
        <f t="shared" si="118"/>
        <v>484309</v>
      </c>
      <c r="AD293" s="636">
        <v>270</v>
      </c>
      <c r="AE293" s="636">
        <v>48541</v>
      </c>
      <c r="AF293" s="637">
        <f t="shared" si="119"/>
        <v>13106070</v>
      </c>
      <c r="AG293" s="638">
        <v>246</v>
      </c>
      <c r="AH293" s="638">
        <v>49573</v>
      </c>
      <c r="AI293" s="635">
        <f t="shared" si="120"/>
        <v>12194958</v>
      </c>
      <c r="AJ293" s="636"/>
      <c r="AK293" s="636"/>
      <c r="AL293" s="637">
        <f t="shared" si="121"/>
        <v>0</v>
      </c>
      <c r="AM293" s="638"/>
      <c r="AN293" s="638"/>
      <c r="AO293" s="640">
        <f t="shared" si="122"/>
        <v>0</v>
      </c>
      <c r="AP293" s="636">
        <v>55</v>
      </c>
      <c r="AQ293" s="636">
        <v>129076</v>
      </c>
      <c r="AR293" s="637">
        <f t="shared" si="123"/>
        <v>5808549.0760000004</v>
      </c>
      <c r="AS293" s="638">
        <v>56</v>
      </c>
      <c r="AT293" s="638">
        <v>125134</v>
      </c>
      <c r="AU293" s="635">
        <f t="shared" si="124"/>
        <v>5733539.7728000004</v>
      </c>
      <c r="AV293" s="636">
        <v>55</v>
      </c>
      <c r="AW293" s="636">
        <v>97093</v>
      </c>
      <c r="AX293" s="637">
        <f t="shared" si="125"/>
        <v>4369282.0930000003</v>
      </c>
      <c r="AY293" s="638">
        <v>53</v>
      </c>
      <c r="AZ293" s="638">
        <v>97160</v>
      </c>
      <c r="BA293" s="635">
        <f t="shared" si="126"/>
        <v>4213304.5360000003</v>
      </c>
      <c r="BB293" s="636">
        <v>23</v>
      </c>
      <c r="BC293" s="636">
        <v>77622</v>
      </c>
      <c r="BD293" s="637">
        <f t="shared" si="127"/>
        <v>1460737.3692000001</v>
      </c>
      <c r="BE293" s="638">
        <v>24</v>
      </c>
      <c r="BF293" s="638">
        <v>79774</v>
      </c>
      <c r="BG293" s="635">
        <f t="shared" si="128"/>
        <v>1566506.0832</v>
      </c>
      <c r="BH293" s="636">
        <v>1</v>
      </c>
      <c r="BI293" s="636">
        <v>53170</v>
      </c>
      <c r="BJ293" s="637">
        <f t="shared" si="129"/>
        <v>43503.694000000003</v>
      </c>
      <c r="BK293" s="638">
        <v>1</v>
      </c>
      <c r="BL293" s="638">
        <v>59170</v>
      </c>
      <c r="BM293" s="635">
        <f t="shared" si="130"/>
        <v>48412.894</v>
      </c>
      <c r="BN293" s="636">
        <v>49</v>
      </c>
      <c r="BO293" s="636">
        <v>72916</v>
      </c>
      <c r="BP293" s="637">
        <f t="shared" si="131"/>
        <v>2923333.6888000001</v>
      </c>
      <c r="BQ293" s="638">
        <v>44</v>
      </c>
      <c r="BR293" s="638">
        <v>72984</v>
      </c>
      <c r="BS293" s="635">
        <f t="shared" si="132"/>
        <v>2627482.3872000002</v>
      </c>
      <c r="BT293" s="636"/>
      <c r="BU293" s="636"/>
      <c r="BV293" s="637">
        <f t="shared" si="133"/>
        <v>0</v>
      </c>
      <c r="BW293" s="638"/>
      <c r="BX293" s="638"/>
      <c r="BY293" s="641">
        <f t="shared" si="134"/>
        <v>0</v>
      </c>
    </row>
    <row r="294" spans="1:77" x14ac:dyDescent="0.2">
      <c r="A294" s="352" t="s">
        <v>109</v>
      </c>
      <c r="B294" s="353" t="s">
        <v>535</v>
      </c>
      <c r="C294" s="354"/>
      <c r="D294" s="355">
        <v>199102</v>
      </c>
      <c r="E294" s="356">
        <v>3</v>
      </c>
      <c r="F294" s="631">
        <v>86</v>
      </c>
      <c r="G294" s="632">
        <v>91697</v>
      </c>
      <c r="H294" s="633">
        <f t="shared" si="111"/>
        <v>7885942</v>
      </c>
      <c r="I294" s="634">
        <v>77</v>
      </c>
      <c r="J294" s="634">
        <v>91106</v>
      </c>
      <c r="K294" s="635">
        <f t="shared" si="112"/>
        <v>7015162</v>
      </c>
      <c r="L294" s="636">
        <v>163</v>
      </c>
      <c r="M294" s="636">
        <v>75565</v>
      </c>
      <c r="N294" s="637">
        <f t="shared" si="113"/>
        <v>12317095</v>
      </c>
      <c r="O294" s="638">
        <v>161</v>
      </c>
      <c r="P294" s="638">
        <v>74274</v>
      </c>
      <c r="Q294" s="635">
        <f t="shared" si="114"/>
        <v>11958114</v>
      </c>
      <c r="R294" s="636">
        <v>99</v>
      </c>
      <c r="S294" s="636">
        <v>66155</v>
      </c>
      <c r="T294" s="637">
        <f t="shared" si="115"/>
        <v>6549345</v>
      </c>
      <c r="U294" s="638">
        <v>107</v>
      </c>
      <c r="V294" s="638">
        <v>67426</v>
      </c>
      <c r="W294" s="635">
        <f t="shared" si="116"/>
        <v>7214582</v>
      </c>
      <c r="X294" s="636">
        <v>5</v>
      </c>
      <c r="Y294" s="636">
        <v>52126</v>
      </c>
      <c r="Z294" s="637">
        <f t="shared" si="117"/>
        <v>260630</v>
      </c>
      <c r="AA294" s="638">
        <v>2</v>
      </c>
      <c r="AB294" s="638">
        <v>44720</v>
      </c>
      <c r="AC294" s="635">
        <f t="shared" si="118"/>
        <v>89440</v>
      </c>
      <c r="AD294" s="636">
        <v>98</v>
      </c>
      <c r="AE294" s="636">
        <v>55168</v>
      </c>
      <c r="AF294" s="637">
        <f t="shared" si="119"/>
        <v>5406464</v>
      </c>
      <c r="AG294" s="638">
        <v>79</v>
      </c>
      <c r="AH294" s="638">
        <v>53381</v>
      </c>
      <c r="AI294" s="635">
        <f t="shared" si="120"/>
        <v>4217099</v>
      </c>
      <c r="AJ294" s="636"/>
      <c r="AK294" s="636"/>
      <c r="AL294" s="637">
        <f t="shared" si="121"/>
        <v>0</v>
      </c>
      <c r="AM294" s="638"/>
      <c r="AN294" s="638"/>
      <c r="AO294" s="640">
        <f t="shared" si="122"/>
        <v>0</v>
      </c>
      <c r="AP294" s="636">
        <v>25</v>
      </c>
      <c r="AQ294" s="636">
        <v>113152</v>
      </c>
      <c r="AR294" s="637">
        <f t="shared" si="123"/>
        <v>2314524.16</v>
      </c>
      <c r="AS294" s="638">
        <v>25</v>
      </c>
      <c r="AT294" s="638">
        <v>117101</v>
      </c>
      <c r="AU294" s="635">
        <f t="shared" si="124"/>
        <v>2395300.9550000001</v>
      </c>
      <c r="AV294" s="636">
        <v>19</v>
      </c>
      <c r="AW294" s="636">
        <v>110749</v>
      </c>
      <c r="AX294" s="637">
        <f t="shared" si="125"/>
        <v>1721681.8042000001</v>
      </c>
      <c r="AY294" s="638">
        <v>24</v>
      </c>
      <c r="AZ294" s="638">
        <v>104347</v>
      </c>
      <c r="BA294" s="635">
        <f t="shared" si="126"/>
        <v>2049041.1696000001</v>
      </c>
      <c r="BB294" s="636">
        <v>3</v>
      </c>
      <c r="BC294" s="636">
        <v>81801</v>
      </c>
      <c r="BD294" s="637">
        <f t="shared" si="127"/>
        <v>200788.7346</v>
      </c>
      <c r="BE294" s="638">
        <v>6</v>
      </c>
      <c r="BF294" s="638">
        <v>90241</v>
      </c>
      <c r="BG294" s="635">
        <f t="shared" si="128"/>
        <v>443011.11720000004</v>
      </c>
      <c r="BH294" s="636">
        <v>0</v>
      </c>
      <c r="BI294" s="636">
        <v>0</v>
      </c>
      <c r="BJ294" s="637">
        <f t="shared" si="129"/>
        <v>0</v>
      </c>
      <c r="BK294" s="638">
        <v>1</v>
      </c>
      <c r="BL294" s="638">
        <v>71000</v>
      </c>
      <c r="BM294" s="635">
        <f t="shared" si="130"/>
        <v>58092.200000000004</v>
      </c>
      <c r="BN294" s="636">
        <v>21</v>
      </c>
      <c r="BO294" s="636">
        <v>67852</v>
      </c>
      <c r="BP294" s="637">
        <f t="shared" si="131"/>
        <v>1165846.6344000001</v>
      </c>
      <c r="BQ294" s="638">
        <v>26</v>
      </c>
      <c r="BR294" s="638">
        <v>66429</v>
      </c>
      <c r="BS294" s="635">
        <f t="shared" si="132"/>
        <v>1413157.4028</v>
      </c>
      <c r="BT294" s="636"/>
      <c r="BU294" s="636"/>
      <c r="BV294" s="637">
        <f t="shared" si="133"/>
        <v>0</v>
      </c>
      <c r="BW294" s="638"/>
      <c r="BX294" s="638"/>
      <c r="BY294" s="641">
        <f t="shared" si="134"/>
        <v>0</v>
      </c>
    </row>
    <row r="295" spans="1:77" x14ac:dyDescent="0.2">
      <c r="A295" s="352" t="s">
        <v>109</v>
      </c>
      <c r="B295" s="353" t="s">
        <v>536</v>
      </c>
      <c r="C295" s="354"/>
      <c r="D295" s="355">
        <v>199157</v>
      </c>
      <c r="E295" s="356">
        <v>3</v>
      </c>
      <c r="F295" s="631">
        <v>50</v>
      </c>
      <c r="G295" s="632">
        <v>101784</v>
      </c>
      <c r="H295" s="633">
        <f t="shared" si="111"/>
        <v>5089200</v>
      </c>
      <c r="I295" s="634">
        <v>31</v>
      </c>
      <c r="J295" s="634">
        <v>100113</v>
      </c>
      <c r="K295" s="635">
        <f t="shared" si="112"/>
        <v>3103503</v>
      </c>
      <c r="L295" s="636">
        <v>66</v>
      </c>
      <c r="M295" s="636">
        <v>78395</v>
      </c>
      <c r="N295" s="637">
        <f t="shared" si="113"/>
        <v>5174070</v>
      </c>
      <c r="O295" s="638">
        <v>61</v>
      </c>
      <c r="P295" s="638">
        <v>75962</v>
      </c>
      <c r="Q295" s="635">
        <f t="shared" si="114"/>
        <v>4633682</v>
      </c>
      <c r="R295" s="636">
        <v>111</v>
      </c>
      <c r="S295" s="636">
        <v>69776</v>
      </c>
      <c r="T295" s="637">
        <f t="shared" si="115"/>
        <v>7745136</v>
      </c>
      <c r="U295" s="638">
        <v>111</v>
      </c>
      <c r="V295" s="638">
        <v>68565</v>
      </c>
      <c r="W295" s="635">
        <f t="shared" si="116"/>
        <v>7610715</v>
      </c>
      <c r="X295" s="636">
        <v>1</v>
      </c>
      <c r="Y295" s="636">
        <v>53000</v>
      </c>
      <c r="Z295" s="637">
        <f t="shared" si="117"/>
        <v>53000</v>
      </c>
      <c r="AA295" s="638">
        <v>2</v>
      </c>
      <c r="AB295" s="638">
        <v>48100</v>
      </c>
      <c r="AC295" s="635">
        <f t="shared" si="118"/>
        <v>96200</v>
      </c>
      <c r="AD295" s="636">
        <v>79</v>
      </c>
      <c r="AE295" s="636">
        <v>58393</v>
      </c>
      <c r="AF295" s="637">
        <f t="shared" si="119"/>
        <v>4613047</v>
      </c>
      <c r="AG295" s="638">
        <v>84</v>
      </c>
      <c r="AH295" s="638">
        <v>50431</v>
      </c>
      <c r="AI295" s="635">
        <f t="shared" si="120"/>
        <v>4236204</v>
      </c>
      <c r="AJ295" s="636"/>
      <c r="AK295" s="636"/>
      <c r="AL295" s="637">
        <f t="shared" si="121"/>
        <v>0</v>
      </c>
      <c r="AM295" s="638"/>
      <c r="AN295" s="638"/>
      <c r="AO295" s="640">
        <f t="shared" si="122"/>
        <v>0</v>
      </c>
      <c r="AP295" s="636">
        <v>13</v>
      </c>
      <c r="AQ295" s="636">
        <v>114314</v>
      </c>
      <c r="AR295" s="637">
        <f t="shared" si="123"/>
        <v>1215912.2924000002</v>
      </c>
      <c r="AS295" s="638">
        <v>34</v>
      </c>
      <c r="AT295" s="638">
        <v>111435</v>
      </c>
      <c r="AU295" s="635">
        <f t="shared" si="124"/>
        <v>3099987.9780000001</v>
      </c>
      <c r="AV295" s="636">
        <v>26</v>
      </c>
      <c r="AW295" s="636">
        <v>91050</v>
      </c>
      <c r="AX295" s="637">
        <f t="shared" si="125"/>
        <v>1936924.86</v>
      </c>
      <c r="AY295" s="638">
        <v>32</v>
      </c>
      <c r="AZ295" s="638">
        <v>93044</v>
      </c>
      <c r="BA295" s="635">
        <f t="shared" si="126"/>
        <v>2436115.2256</v>
      </c>
      <c r="BB295" s="636">
        <v>21</v>
      </c>
      <c r="BC295" s="636">
        <v>71046</v>
      </c>
      <c r="BD295" s="637">
        <f t="shared" si="127"/>
        <v>1220726.5812000001</v>
      </c>
      <c r="BE295" s="638">
        <v>33</v>
      </c>
      <c r="BF295" s="638">
        <v>75813</v>
      </c>
      <c r="BG295" s="635">
        <f t="shared" si="128"/>
        <v>2046996.4878</v>
      </c>
      <c r="BH295" s="636">
        <v>2</v>
      </c>
      <c r="BI295" s="636">
        <v>43754</v>
      </c>
      <c r="BJ295" s="637">
        <f t="shared" si="129"/>
        <v>71599.045599999998</v>
      </c>
      <c r="BK295" s="638">
        <v>2</v>
      </c>
      <c r="BL295" s="638">
        <v>56500</v>
      </c>
      <c r="BM295" s="635">
        <f t="shared" si="130"/>
        <v>92456.6</v>
      </c>
      <c r="BN295" s="636">
        <v>43</v>
      </c>
      <c r="BO295" s="636">
        <v>66976</v>
      </c>
      <c r="BP295" s="637">
        <f t="shared" si="131"/>
        <v>2356389.8176000002</v>
      </c>
      <c r="BQ295" s="638">
        <v>35</v>
      </c>
      <c r="BR295" s="638">
        <v>65217</v>
      </c>
      <c r="BS295" s="635">
        <f t="shared" si="132"/>
        <v>1867619.2290000001</v>
      </c>
      <c r="BT295" s="636"/>
      <c r="BU295" s="636"/>
      <c r="BV295" s="637">
        <f t="shared" si="133"/>
        <v>0</v>
      </c>
      <c r="BW295" s="638"/>
      <c r="BX295" s="638"/>
      <c r="BY295" s="641">
        <f t="shared" si="134"/>
        <v>0</v>
      </c>
    </row>
    <row r="296" spans="1:77" x14ac:dyDescent="0.2">
      <c r="A296" s="352" t="s">
        <v>109</v>
      </c>
      <c r="B296" s="353" t="s">
        <v>537</v>
      </c>
      <c r="C296" s="354"/>
      <c r="D296" s="355">
        <v>199218</v>
      </c>
      <c r="E296" s="356">
        <v>3</v>
      </c>
      <c r="F296" s="631">
        <v>141</v>
      </c>
      <c r="G296" s="632">
        <v>94334</v>
      </c>
      <c r="H296" s="633">
        <f t="shared" si="111"/>
        <v>13301094</v>
      </c>
      <c r="I296" s="634">
        <v>148</v>
      </c>
      <c r="J296" s="634">
        <v>93312</v>
      </c>
      <c r="K296" s="635">
        <f t="shared" si="112"/>
        <v>13810176</v>
      </c>
      <c r="L296" s="636">
        <v>174</v>
      </c>
      <c r="M296" s="636">
        <v>73173</v>
      </c>
      <c r="N296" s="637">
        <f t="shared" si="113"/>
        <v>12732102</v>
      </c>
      <c r="O296" s="638">
        <v>184</v>
      </c>
      <c r="P296" s="638">
        <v>71746</v>
      </c>
      <c r="Q296" s="635">
        <f t="shared" si="114"/>
        <v>13201264</v>
      </c>
      <c r="R296" s="636">
        <v>152</v>
      </c>
      <c r="S296" s="636">
        <v>61171</v>
      </c>
      <c r="T296" s="637">
        <f t="shared" si="115"/>
        <v>9297992</v>
      </c>
      <c r="U296" s="638">
        <v>133</v>
      </c>
      <c r="V296" s="638">
        <v>59835</v>
      </c>
      <c r="W296" s="635">
        <f t="shared" si="116"/>
        <v>7958055</v>
      </c>
      <c r="X296" s="636">
        <v>0</v>
      </c>
      <c r="Y296" s="636">
        <v>0</v>
      </c>
      <c r="Z296" s="637">
        <f t="shared" si="117"/>
        <v>0</v>
      </c>
      <c r="AA296" s="638">
        <v>0</v>
      </c>
      <c r="AB296" s="638">
        <v>0</v>
      </c>
      <c r="AC296" s="635">
        <f t="shared" si="118"/>
        <v>0</v>
      </c>
      <c r="AD296" s="636">
        <v>81</v>
      </c>
      <c r="AE296" s="636">
        <v>47037</v>
      </c>
      <c r="AF296" s="637">
        <f t="shared" si="119"/>
        <v>3809997</v>
      </c>
      <c r="AG296" s="638">
        <v>89</v>
      </c>
      <c r="AH296" s="638">
        <v>45461</v>
      </c>
      <c r="AI296" s="635">
        <f t="shared" si="120"/>
        <v>4046029</v>
      </c>
      <c r="AJ296" s="636"/>
      <c r="AK296" s="636"/>
      <c r="AL296" s="637">
        <f t="shared" si="121"/>
        <v>0</v>
      </c>
      <c r="AM296" s="638"/>
      <c r="AN296" s="638"/>
      <c r="AO296" s="640">
        <f t="shared" si="122"/>
        <v>0</v>
      </c>
      <c r="AP296" s="636">
        <v>32</v>
      </c>
      <c r="AQ296" s="636">
        <v>117934</v>
      </c>
      <c r="AR296" s="637">
        <f t="shared" si="123"/>
        <v>3087795.1616000002</v>
      </c>
      <c r="AS296" s="638">
        <v>27</v>
      </c>
      <c r="AT296" s="638">
        <v>116186</v>
      </c>
      <c r="AU296" s="635">
        <f t="shared" si="124"/>
        <v>2566711.4004000002</v>
      </c>
      <c r="AV296" s="636">
        <v>16</v>
      </c>
      <c r="AW296" s="636">
        <v>88375</v>
      </c>
      <c r="AX296" s="637">
        <f t="shared" si="125"/>
        <v>1156934.8</v>
      </c>
      <c r="AY296" s="638">
        <v>21</v>
      </c>
      <c r="AZ296" s="638">
        <v>94033</v>
      </c>
      <c r="BA296" s="635">
        <f t="shared" si="126"/>
        <v>1615693.8126000001</v>
      </c>
      <c r="BB296" s="636">
        <v>2</v>
      </c>
      <c r="BC296" s="636">
        <v>44667</v>
      </c>
      <c r="BD296" s="637">
        <f t="shared" si="127"/>
        <v>73093.078800000003</v>
      </c>
      <c r="BE296" s="638">
        <v>3</v>
      </c>
      <c r="BF296" s="638">
        <v>45839</v>
      </c>
      <c r="BG296" s="635">
        <f t="shared" si="128"/>
        <v>112516.4094</v>
      </c>
      <c r="BH296" s="636">
        <v>0</v>
      </c>
      <c r="BI296" s="636">
        <v>0</v>
      </c>
      <c r="BJ296" s="637">
        <f t="shared" si="129"/>
        <v>0</v>
      </c>
      <c r="BK296" s="638">
        <v>0</v>
      </c>
      <c r="BL296" s="638">
        <v>0</v>
      </c>
      <c r="BM296" s="635">
        <f t="shared" si="130"/>
        <v>0</v>
      </c>
      <c r="BN296" s="636">
        <v>19</v>
      </c>
      <c r="BO296" s="636">
        <v>54999</v>
      </c>
      <c r="BP296" s="637">
        <f t="shared" si="131"/>
        <v>855003.45420000004</v>
      </c>
      <c r="BQ296" s="638">
        <v>19</v>
      </c>
      <c r="BR296" s="638">
        <v>52859</v>
      </c>
      <c r="BS296" s="635">
        <f t="shared" si="132"/>
        <v>821735.44220000005</v>
      </c>
      <c r="BT296" s="636"/>
      <c r="BU296" s="636"/>
      <c r="BV296" s="637">
        <f t="shared" si="133"/>
        <v>0</v>
      </c>
      <c r="BW296" s="638"/>
      <c r="BX296" s="638"/>
      <c r="BY296" s="641">
        <f t="shared" si="134"/>
        <v>0</v>
      </c>
    </row>
    <row r="297" spans="1:77" x14ac:dyDescent="0.2">
      <c r="A297" s="352" t="s">
        <v>109</v>
      </c>
      <c r="B297" s="353" t="s">
        <v>538</v>
      </c>
      <c r="C297" s="354"/>
      <c r="D297" s="355">
        <v>200004</v>
      </c>
      <c r="E297" s="356">
        <v>3</v>
      </c>
      <c r="F297" s="631">
        <v>54</v>
      </c>
      <c r="G297" s="632">
        <v>87580</v>
      </c>
      <c r="H297" s="633">
        <f t="shared" si="111"/>
        <v>4729320</v>
      </c>
      <c r="I297" s="634">
        <v>58</v>
      </c>
      <c r="J297" s="634">
        <v>88832</v>
      </c>
      <c r="K297" s="635">
        <f t="shared" si="112"/>
        <v>5152256</v>
      </c>
      <c r="L297" s="636">
        <v>119</v>
      </c>
      <c r="M297" s="636">
        <v>72963</v>
      </c>
      <c r="N297" s="637">
        <f t="shared" si="113"/>
        <v>8682597</v>
      </c>
      <c r="O297" s="638">
        <v>136</v>
      </c>
      <c r="P297" s="638">
        <v>71763</v>
      </c>
      <c r="Q297" s="635">
        <f t="shared" si="114"/>
        <v>9759768</v>
      </c>
      <c r="R297" s="636">
        <v>124</v>
      </c>
      <c r="S297" s="636">
        <v>58964</v>
      </c>
      <c r="T297" s="637">
        <f t="shared" si="115"/>
        <v>7311536</v>
      </c>
      <c r="U297" s="638">
        <v>104</v>
      </c>
      <c r="V297" s="638">
        <v>57179</v>
      </c>
      <c r="W297" s="635">
        <f t="shared" si="116"/>
        <v>5946616</v>
      </c>
      <c r="X297" s="636">
        <v>14</v>
      </c>
      <c r="Y297" s="636">
        <v>47683</v>
      </c>
      <c r="Z297" s="637">
        <f t="shared" si="117"/>
        <v>667562</v>
      </c>
      <c r="AA297" s="638">
        <v>13</v>
      </c>
      <c r="AB297" s="638">
        <v>47842</v>
      </c>
      <c r="AC297" s="635">
        <f t="shared" si="118"/>
        <v>621946</v>
      </c>
      <c r="AD297" s="636">
        <v>87</v>
      </c>
      <c r="AE297" s="636">
        <v>55179</v>
      </c>
      <c r="AF297" s="637">
        <f t="shared" si="119"/>
        <v>4800573</v>
      </c>
      <c r="AG297" s="638">
        <v>74</v>
      </c>
      <c r="AH297" s="638">
        <v>57214</v>
      </c>
      <c r="AI297" s="635">
        <f t="shared" si="120"/>
        <v>4233836</v>
      </c>
      <c r="AJ297" s="636"/>
      <c r="AK297" s="636"/>
      <c r="AL297" s="637">
        <f t="shared" si="121"/>
        <v>0</v>
      </c>
      <c r="AM297" s="638"/>
      <c r="AN297" s="638"/>
      <c r="AO297" s="640">
        <f t="shared" si="122"/>
        <v>0</v>
      </c>
      <c r="AP297" s="636">
        <v>16</v>
      </c>
      <c r="AQ297" s="636">
        <v>114451</v>
      </c>
      <c r="AR297" s="637">
        <f t="shared" si="123"/>
        <v>1498300.9312</v>
      </c>
      <c r="AS297" s="638">
        <v>15</v>
      </c>
      <c r="AT297" s="638">
        <v>108405</v>
      </c>
      <c r="AU297" s="635">
        <f t="shared" si="124"/>
        <v>1330454.5650000002</v>
      </c>
      <c r="AV297" s="636">
        <v>20</v>
      </c>
      <c r="AW297" s="636">
        <v>101957</v>
      </c>
      <c r="AX297" s="637">
        <f t="shared" si="125"/>
        <v>1668424.348</v>
      </c>
      <c r="AY297" s="638">
        <v>16</v>
      </c>
      <c r="AZ297" s="638">
        <v>94179</v>
      </c>
      <c r="BA297" s="635">
        <f t="shared" si="126"/>
        <v>1232916.1248000001</v>
      </c>
      <c r="BB297" s="636">
        <v>2</v>
      </c>
      <c r="BC297" s="636">
        <v>68247</v>
      </c>
      <c r="BD297" s="637">
        <f t="shared" si="127"/>
        <v>111679.39080000001</v>
      </c>
      <c r="BE297" s="638">
        <v>4</v>
      </c>
      <c r="BF297" s="638">
        <v>81180</v>
      </c>
      <c r="BG297" s="635">
        <f t="shared" si="128"/>
        <v>265685.90400000004</v>
      </c>
      <c r="BH297" s="636">
        <v>0</v>
      </c>
      <c r="BI297" s="636">
        <v>0</v>
      </c>
      <c r="BJ297" s="637">
        <f t="shared" si="129"/>
        <v>0</v>
      </c>
      <c r="BK297" s="638">
        <v>3</v>
      </c>
      <c r="BL297" s="638">
        <v>51633</v>
      </c>
      <c r="BM297" s="635">
        <f t="shared" si="130"/>
        <v>126738.3618</v>
      </c>
      <c r="BN297" s="636">
        <v>15</v>
      </c>
      <c r="BO297" s="636">
        <v>88227</v>
      </c>
      <c r="BP297" s="637">
        <f t="shared" si="131"/>
        <v>1082809.9710000001</v>
      </c>
      <c r="BQ297" s="638">
        <v>16</v>
      </c>
      <c r="BR297" s="638">
        <v>80157</v>
      </c>
      <c r="BS297" s="635">
        <f t="shared" si="132"/>
        <v>1049351.3184</v>
      </c>
      <c r="BT297" s="636"/>
      <c r="BU297" s="636"/>
      <c r="BV297" s="637">
        <f t="shared" si="133"/>
        <v>0</v>
      </c>
      <c r="BW297" s="638"/>
      <c r="BX297" s="638"/>
      <c r="BY297" s="641">
        <f t="shared" si="134"/>
        <v>0</v>
      </c>
    </row>
    <row r="298" spans="1:77" x14ac:dyDescent="0.2">
      <c r="A298" s="352" t="s">
        <v>109</v>
      </c>
      <c r="B298" s="357" t="s">
        <v>539</v>
      </c>
      <c r="C298" s="358"/>
      <c r="D298" s="355">
        <v>198543</v>
      </c>
      <c r="E298" s="356">
        <v>4</v>
      </c>
      <c r="F298" s="631">
        <v>33</v>
      </c>
      <c r="G298" s="632">
        <v>85429</v>
      </c>
      <c r="H298" s="633">
        <f t="shared" si="111"/>
        <v>2819157</v>
      </c>
      <c r="I298" s="634">
        <v>38</v>
      </c>
      <c r="J298" s="634">
        <v>86313</v>
      </c>
      <c r="K298" s="635">
        <f t="shared" si="112"/>
        <v>3279894</v>
      </c>
      <c r="L298" s="636">
        <v>72</v>
      </c>
      <c r="M298" s="636">
        <v>73418</v>
      </c>
      <c r="N298" s="637">
        <f t="shared" si="113"/>
        <v>5286096</v>
      </c>
      <c r="O298" s="638">
        <v>81</v>
      </c>
      <c r="P298" s="638">
        <v>73767</v>
      </c>
      <c r="Q298" s="635">
        <f t="shared" si="114"/>
        <v>5975127</v>
      </c>
      <c r="R298" s="636">
        <v>106</v>
      </c>
      <c r="S298" s="636">
        <v>63055</v>
      </c>
      <c r="T298" s="637">
        <f t="shared" si="115"/>
        <v>6683830</v>
      </c>
      <c r="U298" s="638">
        <v>100</v>
      </c>
      <c r="V298" s="638">
        <v>62904</v>
      </c>
      <c r="W298" s="635">
        <f t="shared" si="116"/>
        <v>6290400</v>
      </c>
      <c r="X298" s="636">
        <v>9</v>
      </c>
      <c r="Y298" s="636">
        <v>58771</v>
      </c>
      <c r="Z298" s="637">
        <f t="shared" si="117"/>
        <v>528939</v>
      </c>
      <c r="AA298" s="638">
        <v>7</v>
      </c>
      <c r="AB298" s="638">
        <v>60842</v>
      </c>
      <c r="AC298" s="635">
        <f t="shared" si="118"/>
        <v>425894</v>
      </c>
      <c r="AD298" s="636">
        <v>33</v>
      </c>
      <c r="AE298" s="636">
        <v>53427</v>
      </c>
      <c r="AF298" s="637">
        <f t="shared" si="119"/>
        <v>1763091</v>
      </c>
      <c r="AG298" s="638">
        <v>33</v>
      </c>
      <c r="AH298" s="638">
        <v>55085</v>
      </c>
      <c r="AI298" s="635">
        <f t="shared" si="120"/>
        <v>1817805</v>
      </c>
      <c r="AJ298" s="636"/>
      <c r="AK298" s="636"/>
      <c r="AL298" s="637">
        <f t="shared" si="121"/>
        <v>0</v>
      </c>
      <c r="AM298" s="638"/>
      <c r="AN298" s="638"/>
      <c r="AO298" s="640">
        <f t="shared" si="122"/>
        <v>0</v>
      </c>
      <c r="AP298" s="636">
        <v>11</v>
      </c>
      <c r="AQ298" s="636">
        <v>106866</v>
      </c>
      <c r="AR298" s="637">
        <f t="shared" si="123"/>
        <v>961815.37320000003</v>
      </c>
      <c r="AS298" s="638">
        <v>12</v>
      </c>
      <c r="AT298" s="638">
        <v>110509</v>
      </c>
      <c r="AU298" s="635">
        <f t="shared" si="124"/>
        <v>1085021.5656000001</v>
      </c>
      <c r="AV298" s="636">
        <v>10</v>
      </c>
      <c r="AW298" s="636">
        <v>93002</v>
      </c>
      <c r="AX298" s="637">
        <f t="shared" si="125"/>
        <v>760942.36400000006</v>
      </c>
      <c r="AY298" s="638">
        <v>8</v>
      </c>
      <c r="AZ298" s="638">
        <v>95067</v>
      </c>
      <c r="BA298" s="635">
        <f t="shared" si="126"/>
        <v>622270.55520000006</v>
      </c>
      <c r="BB298" s="636">
        <v>3</v>
      </c>
      <c r="BC298" s="636">
        <v>93259</v>
      </c>
      <c r="BD298" s="637">
        <f t="shared" si="127"/>
        <v>228913.54140000002</v>
      </c>
      <c r="BE298" s="638">
        <v>1</v>
      </c>
      <c r="BF298" s="638">
        <v>109438</v>
      </c>
      <c r="BG298" s="635">
        <f t="shared" si="128"/>
        <v>89542.171600000001</v>
      </c>
      <c r="BH298" s="636">
        <v>0</v>
      </c>
      <c r="BI298" s="636">
        <v>0</v>
      </c>
      <c r="BJ298" s="637">
        <f t="shared" si="129"/>
        <v>0</v>
      </c>
      <c r="BK298" s="638">
        <v>0</v>
      </c>
      <c r="BL298" s="638">
        <v>0</v>
      </c>
      <c r="BM298" s="635">
        <f t="shared" si="130"/>
        <v>0</v>
      </c>
      <c r="BN298" s="636">
        <v>0</v>
      </c>
      <c r="BO298" s="636">
        <v>0</v>
      </c>
      <c r="BP298" s="637">
        <f t="shared" si="131"/>
        <v>0</v>
      </c>
      <c r="BQ298" s="638">
        <v>0</v>
      </c>
      <c r="BR298" s="638">
        <v>0</v>
      </c>
      <c r="BS298" s="635">
        <f t="shared" si="132"/>
        <v>0</v>
      </c>
      <c r="BT298" s="636"/>
      <c r="BU298" s="636"/>
      <c r="BV298" s="637">
        <f t="shared" si="133"/>
        <v>0</v>
      </c>
      <c r="BW298" s="638"/>
      <c r="BX298" s="638"/>
      <c r="BY298" s="641">
        <f t="shared" si="134"/>
        <v>0</v>
      </c>
    </row>
    <row r="299" spans="1:77" x14ac:dyDescent="0.2">
      <c r="A299" s="352" t="s">
        <v>109</v>
      </c>
      <c r="B299" s="353" t="s">
        <v>540</v>
      </c>
      <c r="C299" s="354"/>
      <c r="D299" s="355">
        <v>199281</v>
      </c>
      <c r="E299" s="356">
        <v>5</v>
      </c>
      <c r="F299" s="631">
        <v>59</v>
      </c>
      <c r="G299" s="632">
        <v>85636</v>
      </c>
      <c r="H299" s="633">
        <f t="shared" si="111"/>
        <v>5052524</v>
      </c>
      <c r="I299" s="634">
        <v>60</v>
      </c>
      <c r="J299" s="634">
        <v>82310</v>
      </c>
      <c r="K299" s="635">
        <f t="shared" si="112"/>
        <v>4938600</v>
      </c>
      <c r="L299" s="636">
        <v>63</v>
      </c>
      <c r="M299" s="636">
        <v>66000</v>
      </c>
      <c r="N299" s="637">
        <f t="shared" si="113"/>
        <v>4158000</v>
      </c>
      <c r="O299" s="638">
        <v>61</v>
      </c>
      <c r="P299" s="638">
        <v>63308</v>
      </c>
      <c r="Q299" s="635">
        <f t="shared" si="114"/>
        <v>3861788</v>
      </c>
      <c r="R299" s="636">
        <v>113</v>
      </c>
      <c r="S299" s="636">
        <v>57362</v>
      </c>
      <c r="T299" s="637">
        <f t="shared" si="115"/>
        <v>6481906</v>
      </c>
      <c r="U299" s="638">
        <v>105</v>
      </c>
      <c r="V299" s="638">
        <v>56961</v>
      </c>
      <c r="W299" s="635">
        <f t="shared" si="116"/>
        <v>5980905</v>
      </c>
      <c r="X299" s="636">
        <v>3</v>
      </c>
      <c r="Y299" s="636">
        <v>50154</v>
      </c>
      <c r="Z299" s="637">
        <f t="shared" si="117"/>
        <v>150462</v>
      </c>
      <c r="AA299" s="638">
        <v>2</v>
      </c>
      <c r="AB299" s="638">
        <v>47500</v>
      </c>
      <c r="AC299" s="635">
        <f t="shared" si="118"/>
        <v>95000</v>
      </c>
      <c r="AD299" s="636">
        <v>82</v>
      </c>
      <c r="AE299" s="636">
        <v>47843</v>
      </c>
      <c r="AF299" s="637">
        <f t="shared" si="119"/>
        <v>3923126</v>
      </c>
      <c r="AG299" s="638">
        <v>77</v>
      </c>
      <c r="AH299" s="638">
        <v>47848</v>
      </c>
      <c r="AI299" s="635">
        <f t="shared" si="120"/>
        <v>3684296</v>
      </c>
      <c r="AJ299" s="636"/>
      <c r="AK299" s="636"/>
      <c r="AL299" s="637">
        <f t="shared" si="121"/>
        <v>0</v>
      </c>
      <c r="AM299" s="638"/>
      <c r="AN299" s="638"/>
      <c r="AO299" s="640">
        <f t="shared" si="122"/>
        <v>0</v>
      </c>
      <c r="AP299" s="636">
        <v>1</v>
      </c>
      <c r="AQ299" s="636">
        <v>102572</v>
      </c>
      <c r="AR299" s="637">
        <f t="shared" si="123"/>
        <v>83924.410400000008</v>
      </c>
      <c r="AS299" s="638">
        <v>3</v>
      </c>
      <c r="AT299" s="638">
        <v>87293</v>
      </c>
      <c r="AU299" s="635">
        <f t="shared" si="124"/>
        <v>214269.39780000001</v>
      </c>
      <c r="AV299" s="636">
        <v>1</v>
      </c>
      <c r="AW299" s="636">
        <v>115000</v>
      </c>
      <c r="AX299" s="637">
        <f t="shared" si="125"/>
        <v>94093</v>
      </c>
      <c r="AY299" s="638">
        <v>3</v>
      </c>
      <c r="AZ299" s="638">
        <v>94955</v>
      </c>
      <c r="BA299" s="635">
        <f t="shared" si="126"/>
        <v>233076.54300000001</v>
      </c>
      <c r="BB299" s="636">
        <v>2</v>
      </c>
      <c r="BC299" s="636">
        <v>86166</v>
      </c>
      <c r="BD299" s="637">
        <f t="shared" si="127"/>
        <v>141002.04240000001</v>
      </c>
      <c r="BE299" s="638">
        <v>2</v>
      </c>
      <c r="BF299" s="638">
        <v>86166</v>
      </c>
      <c r="BG299" s="635">
        <f t="shared" si="128"/>
        <v>141002.04240000001</v>
      </c>
      <c r="BH299" s="636">
        <v>0</v>
      </c>
      <c r="BI299" s="636">
        <v>0</v>
      </c>
      <c r="BJ299" s="637">
        <f t="shared" si="129"/>
        <v>0</v>
      </c>
      <c r="BK299" s="638">
        <v>0</v>
      </c>
      <c r="BL299" s="638">
        <v>0</v>
      </c>
      <c r="BM299" s="635">
        <f t="shared" si="130"/>
        <v>0</v>
      </c>
      <c r="BN299" s="636">
        <v>5</v>
      </c>
      <c r="BO299" s="636">
        <v>67012</v>
      </c>
      <c r="BP299" s="637">
        <f t="shared" si="131"/>
        <v>274146.092</v>
      </c>
      <c r="BQ299" s="638">
        <v>5</v>
      </c>
      <c r="BR299" s="638">
        <v>67017</v>
      </c>
      <c r="BS299" s="635">
        <f t="shared" si="132"/>
        <v>274166.54700000002</v>
      </c>
      <c r="BT299" s="636"/>
      <c r="BU299" s="636"/>
      <c r="BV299" s="637">
        <f t="shared" si="133"/>
        <v>0</v>
      </c>
      <c r="BW299" s="638"/>
      <c r="BX299" s="638"/>
      <c r="BY299" s="641">
        <f t="shared" si="134"/>
        <v>0</v>
      </c>
    </row>
    <row r="300" spans="1:77" x14ac:dyDescent="0.2">
      <c r="A300" s="352" t="s">
        <v>109</v>
      </c>
      <c r="B300" s="353" t="s">
        <v>541</v>
      </c>
      <c r="C300" s="354"/>
      <c r="D300" s="355">
        <v>199999</v>
      </c>
      <c r="E300" s="356">
        <v>5</v>
      </c>
      <c r="F300" s="631">
        <v>16</v>
      </c>
      <c r="G300" s="632">
        <v>92518</v>
      </c>
      <c r="H300" s="633">
        <f t="shared" si="111"/>
        <v>1480288</v>
      </c>
      <c r="I300" s="634">
        <v>19</v>
      </c>
      <c r="J300" s="634">
        <v>89813</v>
      </c>
      <c r="K300" s="635">
        <f t="shared" si="112"/>
        <v>1706447</v>
      </c>
      <c r="L300" s="636">
        <v>61</v>
      </c>
      <c r="M300" s="636">
        <v>76148</v>
      </c>
      <c r="N300" s="637">
        <f t="shared" si="113"/>
        <v>4645028</v>
      </c>
      <c r="O300" s="638">
        <v>82</v>
      </c>
      <c r="P300" s="638">
        <v>75460</v>
      </c>
      <c r="Q300" s="635">
        <f t="shared" si="114"/>
        <v>6187720</v>
      </c>
      <c r="R300" s="636">
        <v>78</v>
      </c>
      <c r="S300" s="636">
        <v>68532</v>
      </c>
      <c r="T300" s="637">
        <f t="shared" si="115"/>
        <v>5345496</v>
      </c>
      <c r="U300" s="638">
        <v>91</v>
      </c>
      <c r="V300" s="638">
        <v>66811</v>
      </c>
      <c r="W300" s="635">
        <f t="shared" si="116"/>
        <v>6079801</v>
      </c>
      <c r="X300" s="636">
        <v>20</v>
      </c>
      <c r="Y300" s="636">
        <v>59152</v>
      </c>
      <c r="Z300" s="637">
        <f t="shared" si="117"/>
        <v>1183040</v>
      </c>
      <c r="AA300" s="638">
        <v>34</v>
      </c>
      <c r="AB300" s="638">
        <v>59591</v>
      </c>
      <c r="AC300" s="635">
        <f t="shared" si="118"/>
        <v>2026094</v>
      </c>
      <c r="AD300" s="636">
        <v>6</v>
      </c>
      <c r="AE300" s="636">
        <v>60303</v>
      </c>
      <c r="AF300" s="637">
        <f t="shared" si="119"/>
        <v>361818</v>
      </c>
      <c r="AG300" s="638">
        <v>15</v>
      </c>
      <c r="AH300" s="638">
        <v>55801</v>
      </c>
      <c r="AI300" s="635">
        <f t="shared" si="120"/>
        <v>837015</v>
      </c>
      <c r="AJ300" s="636"/>
      <c r="AK300" s="636"/>
      <c r="AL300" s="637">
        <f t="shared" si="121"/>
        <v>0</v>
      </c>
      <c r="AM300" s="638"/>
      <c r="AN300" s="638"/>
      <c r="AO300" s="640">
        <f t="shared" si="122"/>
        <v>0</v>
      </c>
      <c r="AP300" s="636">
        <v>24</v>
      </c>
      <c r="AQ300" s="636">
        <v>104759</v>
      </c>
      <c r="AR300" s="637">
        <f t="shared" si="123"/>
        <v>2057131.5312000001</v>
      </c>
      <c r="AS300" s="638">
        <v>17</v>
      </c>
      <c r="AT300" s="638">
        <v>106115</v>
      </c>
      <c r="AU300" s="635">
        <f t="shared" si="124"/>
        <v>1475995.9810000001</v>
      </c>
      <c r="AV300" s="636">
        <v>48</v>
      </c>
      <c r="AW300" s="636">
        <v>86596</v>
      </c>
      <c r="AX300" s="637">
        <f t="shared" si="125"/>
        <v>3400936.6655999999</v>
      </c>
      <c r="AY300" s="638">
        <v>42</v>
      </c>
      <c r="AZ300" s="638">
        <v>92536</v>
      </c>
      <c r="BA300" s="635">
        <f t="shared" si="126"/>
        <v>3179944.1184</v>
      </c>
      <c r="BB300" s="636">
        <v>53</v>
      </c>
      <c r="BC300" s="636">
        <v>78698</v>
      </c>
      <c r="BD300" s="637">
        <f t="shared" si="127"/>
        <v>3412707.2908000001</v>
      </c>
      <c r="BE300" s="638">
        <v>24</v>
      </c>
      <c r="BF300" s="638">
        <v>84373</v>
      </c>
      <c r="BG300" s="635">
        <f t="shared" si="128"/>
        <v>1656815.7264</v>
      </c>
      <c r="BH300" s="636">
        <v>25</v>
      </c>
      <c r="BI300" s="636">
        <v>67758</v>
      </c>
      <c r="BJ300" s="637">
        <f t="shared" si="129"/>
        <v>1385989.8900000001</v>
      </c>
      <c r="BK300" s="638">
        <v>17</v>
      </c>
      <c r="BL300" s="638">
        <v>70884</v>
      </c>
      <c r="BM300" s="635">
        <f t="shared" si="130"/>
        <v>985953.90960000001</v>
      </c>
      <c r="BN300" s="636">
        <v>12</v>
      </c>
      <c r="BO300" s="636">
        <v>66712</v>
      </c>
      <c r="BP300" s="637">
        <f t="shared" si="131"/>
        <v>655005.10080000001</v>
      </c>
      <c r="BQ300" s="638">
        <v>13</v>
      </c>
      <c r="BR300" s="638">
        <v>64169</v>
      </c>
      <c r="BS300" s="635">
        <f t="shared" si="132"/>
        <v>682539.98540000001</v>
      </c>
      <c r="BT300" s="636"/>
      <c r="BU300" s="636"/>
      <c r="BV300" s="637">
        <f t="shared" si="133"/>
        <v>0</v>
      </c>
      <c r="BW300" s="638"/>
      <c r="BX300" s="638"/>
      <c r="BY300" s="641">
        <f t="shared" si="134"/>
        <v>0</v>
      </c>
    </row>
    <row r="301" spans="1:77" x14ac:dyDescent="0.2">
      <c r="A301" s="352" t="s">
        <v>109</v>
      </c>
      <c r="B301" s="353" t="s">
        <v>542</v>
      </c>
      <c r="C301" s="354"/>
      <c r="D301" s="355">
        <v>198507</v>
      </c>
      <c r="E301" s="356">
        <v>6</v>
      </c>
      <c r="F301" s="631">
        <v>51</v>
      </c>
      <c r="G301" s="632">
        <v>76043</v>
      </c>
      <c r="H301" s="633">
        <f t="shared" si="111"/>
        <v>3878193</v>
      </c>
      <c r="I301" s="634">
        <v>49</v>
      </c>
      <c r="J301" s="634">
        <v>76376</v>
      </c>
      <c r="K301" s="635">
        <f t="shared" si="112"/>
        <v>3742424</v>
      </c>
      <c r="L301" s="636">
        <v>35</v>
      </c>
      <c r="M301" s="636">
        <v>69438</v>
      </c>
      <c r="N301" s="637">
        <f t="shared" si="113"/>
        <v>2430330</v>
      </c>
      <c r="O301" s="638">
        <v>33</v>
      </c>
      <c r="P301" s="638">
        <v>66437</v>
      </c>
      <c r="Q301" s="635">
        <f t="shared" si="114"/>
        <v>2192421</v>
      </c>
      <c r="R301" s="636">
        <v>42</v>
      </c>
      <c r="S301" s="636">
        <v>62321</v>
      </c>
      <c r="T301" s="637">
        <f t="shared" si="115"/>
        <v>2617482</v>
      </c>
      <c r="U301" s="638">
        <v>38</v>
      </c>
      <c r="V301" s="638">
        <v>62638</v>
      </c>
      <c r="W301" s="635">
        <f t="shared" si="116"/>
        <v>2380244</v>
      </c>
      <c r="X301" s="636">
        <v>3</v>
      </c>
      <c r="Y301" s="636">
        <v>56294</v>
      </c>
      <c r="Z301" s="637">
        <f t="shared" si="117"/>
        <v>168882</v>
      </c>
      <c r="AA301" s="638">
        <v>4</v>
      </c>
      <c r="AB301" s="638">
        <v>54643</v>
      </c>
      <c r="AC301" s="635">
        <f t="shared" si="118"/>
        <v>218572</v>
      </c>
      <c r="AD301" s="636">
        <v>33</v>
      </c>
      <c r="AE301" s="636">
        <v>59205</v>
      </c>
      <c r="AF301" s="637">
        <f t="shared" si="119"/>
        <v>1953765</v>
      </c>
      <c r="AG301" s="638">
        <v>26</v>
      </c>
      <c r="AH301" s="638">
        <v>61588</v>
      </c>
      <c r="AI301" s="635">
        <f t="shared" si="120"/>
        <v>1601288</v>
      </c>
      <c r="AJ301" s="636"/>
      <c r="AK301" s="636"/>
      <c r="AL301" s="637">
        <f t="shared" si="121"/>
        <v>0</v>
      </c>
      <c r="AM301" s="638"/>
      <c r="AN301" s="638"/>
      <c r="AO301" s="640">
        <f t="shared" si="122"/>
        <v>0</v>
      </c>
      <c r="AP301" s="636">
        <v>2</v>
      </c>
      <c r="AQ301" s="636">
        <v>102240</v>
      </c>
      <c r="AR301" s="637">
        <f t="shared" si="123"/>
        <v>167305.53600000002</v>
      </c>
      <c r="AS301" s="638">
        <v>2</v>
      </c>
      <c r="AT301" s="638">
        <v>102240</v>
      </c>
      <c r="AU301" s="635">
        <f t="shared" si="124"/>
        <v>167305.53600000002</v>
      </c>
      <c r="AV301" s="636">
        <v>1</v>
      </c>
      <c r="AW301" s="636">
        <v>82000</v>
      </c>
      <c r="AX301" s="637">
        <f t="shared" si="125"/>
        <v>67092.400000000009</v>
      </c>
      <c r="AY301" s="638">
        <v>1</v>
      </c>
      <c r="AZ301" s="638">
        <v>89784</v>
      </c>
      <c r="BA301" s="635">
        <f t="shared" si="126"/>
        <v>73461.268800000005</v>
      </c>
      <c r="BB301" s="636">
        <v>1</v>
      </c>
      <c r="BC301" s="636">
        <v>154211</v>
      </c>
      <c r="BD301" s="637">
        <f t="shared" si="127"/>
        <v>126175.44020000001</v>
      </c>
      <c r="BE301" s="638">
        <v>4</v>
      </c>
      <c r="BF301" s="638">
        <v>91762</v>
      </c>
      <c r="BG301" s="635">
        <f t="shared" si="128"/>
        <v>300318.67360000004</v>
      </c>
      <c r="BH301" s="636">
        <v>0</v>
      </c>
      <c r="BI301" s="636">
        <v>0</v>
      </c>
      <c r="BJ301" s="637">
        <f t="shared" si="129"/>
        <v>0</v>
      </c>
      <c r="BK301" s="638">
        <v>0</v>
      </c>
      <c r="BL301" s="638">
        <v>0</v>
      </c>
      <c r="BM301" s="635">
        <f t="shared" si="130"/>
        <v>0</v>
      </c>
      <c r="BN301" s="636">
        <v>2</v>
      </c>
      <c r="BO301" s="636">
        <v>77492</v>
      </c>
      <c r="BP301" s="637">
        <f t="shared" si="131"/>
        <v>126807.9088</v>
      </c>
      <c r="BQ301" s="638">
        <v>4</v>
      </c>
      <c r="BR301" s="638">
        <v>75879</v>
      </c>
      <c r="BS301" s="635">
        <f t="shared" si="132"/>
        <v>248336.79120000001</v>
      </c>
      <c r="BT301" s="636"/>
      <c r="BU301" s="636"/>
      <c r="BV301" s="637">
        <f t="shared" si="133"/>
        <v>0</v>
      </c>
      <c r="BW301" s="638"/>
      <c r="BX301" s="638"/>
      <c r="BY301" s="641">
        <f t="shared" si="134"/>
        <v>0</v>
      </c>
    </row>
    <row r="302" spans="1:77" x14ac:dyDescent="0.2">
      <c r="A302" s="352" t="s">
        <v>109</v>
      </c>
      <c r="B302" s="353" t="s">
        <v>543</v>
      </c>
      <c r="C302" s="354"/>
      <c r="D302" s="355">
        <v>199111</v>
      </c>
      <c r="E302" s="356">
        <v>6</v>
      </c>
      <c r="F302" s="631">
        <v>62</v>
      </c>
      <c r="G302" s="632">
        <v>86905</v>
      </c>
      <c r="H302" s="633">
        <f t="shared" si="111"/>
        <v>5388110</v>
      </c>
      <c r="I302" s="634">
        <v>61</v>
      </c>
      <c r="J302" s="634">
        <v>84646</v>
      </c>
      <c r="K302" s="635">
        <f t="shared" si="112"/>
        <v>5163406</v>
      </c>
      <c r="L302" s="636">
        <v>64</v>
      </c>
      <c r="M302" s="636">
        <v>67703</v>
      </c>
      <c r="N302" s="637">
        <f t="shared" si="113"/>
        <v>4332992</v>
      </c>
      <c r="O302" s="638">
        <v>66</v>
      </c>
      <c r="P302" s="638">
        <v>67510</v>
      </c>
      <c r="Q302" s="635">
        <f t="shared" si="114"/>
        <v>4455660</v>
      </c>
      <c r="R302" s="636">
        <v>44</v>
      </c>
      <c r="S302" s="636">
        <v>61218</v>
      </c>
      <c r="T302" s="637">
        <f t="shared" si="115"/>
        <v>2693592</v>
      </c>
      <c r="U302" s="638">
        <v>42</v>
      </c>
      <c r="V302" s="638">
        <v>61743</v>
      </c>
      <c r="W302" s="635">
        <f t="shared" si="116"/>
        <v>2593206</v>
      </c>
      <c r="X302" s="636">
        <v>0</v>
      </c>
      <c r="Y302" s="636">
        <v>0</v>
      </c>
      <c r="Z302" s="637">
        <f t="shared" si="117"/>
        <v>0</v>
      </c>
      <c r="AA302" s="638">
        <v>1</v>
      </c>
      <c r="AB302" s="638">
        <v>56000</v>
      </c>
      <c r="AC302" s="635">
        <f t="shared" si="118"/>
        <v>56000</v>
      </c>
      <c r="AD302" s="636">
        <v>47</v>
      </c>
      <c r="AE302" s="636">
        <v>49533</v>
      </c>
      <c r="AF302" s="637">
        <f t="shared" si="119"/>
        <v>2328051</v>
      </c>
      <c r="AG302" s="638">
        <v>41</v>
      </c>
      <c r="AH302" s="638">
        <v>49756</v>
      </c>
      <c r="AI302" s="635">
        <f t="shared" si="120"/>
        <v>2039996</v>
      </c>
      <c r="AJ302" s="636"/>
      <c r="AK302" s="636"/>
      <c r="AL302" s="637">
        <f t="shared" si="121"/>
        <v>0</v>
      </c>
      <c r="AM302" s="638"/>
      <c r="AN302" s="638"/>
      <c r="AO302" s="640">
        <f t="shared" si="122"/>
        <v>0</v>
      </c>
      <c r="AP302" s="636">
        <v>0</v>
      </c>
      <c r="AQ302" s="636">
        <v>0</v>
      </c>
      <c r="AR302" s="637">
        <f t="shared" si="123"/>
        <v>0</v>
      </c>
      <c r="AS302" s="638">
        <v>0</v>
      </c>
      <c r="AT302" s="638">
        <v>0</v>
      </c>
      <c r="AU302" s="635">
        <f t="shared" si="124"/>
        <v>0</v>
      </c>
      <c r="AV302" s="636">
        <v>0</v>
      </c>
      <c r="AW302" s="636">
        <v>0</v>
      </c>
      <c r="AX302" s="637">
        <f t="shared" si="125"/>
        <v>0</v>
      </c>
      <c r="AY302" s="638">
        <v>0</v>
      </c>
      <c r="AZ302" s="638">
        <v>0</v>
      </c>
      <c r="BA302" s="635">
        <f t="shared" si="126"/>
        <v>0</v>
      </c>
      <c r="BB302" s="636">
        <v>0</v>
      </c>
      <c r="BC302" s="636">
        <v>0</v>
      </c>
      <c r="BD302" s="637">
        <f t="shared" si="127"/>
        <v>0</v>
      </c>
      <c r="BE302" s="638">
        <v>0</v>
      </c>
      <c r="BF302" s="638">
        <v>0</v>
      </c>
      <c r="BG302" s="635">
        <f t="shared" si="128"/>
        <v>0</v>
      </c>
      <c r="BH302" s="636">
        <v>0</v>
      </c>
      <c r="BI302" s="636">
        <v>0</v>
      </c>
      <c r="BJ302" s="637">
        <f t="shared" si="129"/>
        <v>0</v>
      </c>
      <c r="BK302" s="638">
        <v>0</v>
      </c>
      <c r="BL302" s="638">
        <v>0</v>
      </c>
      <c r="BM302" s="635">
        <f t="shared" si="130"/>
        <v>0</v>
      </c>
      <c r="BN302" s="636">
        <v>0</v>
      </c>
      <c r="BO302" s="636">
        <v>0</v>
      </c>
      <c r="BP302" s="637">
        <f t="shared" si="131"/>
        <v>0</v>
      </c>
      <c r="BQ302" s="638">
        <v>0</v>
      </c>
      <c r="BR302" s="638">
        <v>0</v>
      </c>
      <c r="BS302" s="635">
        <f t="shared" si="132"/>
        <v>0</v>
      </c>
      <c r="BT302" s="636"/>
      <c r="BU302" s="636"/>
      <c r="BV302" s="637">
        <f t="shared" si="133"/>
        <v>0</v>
      </c>
      <c r="BW302" s="638"/>
      <c r="BX302" s="638"/>
      <c r="BY302" s="641">
        <f t="shared" si="134"/>
        <v>0</v>
      </c>
    </row>
    <row r="303" spans="1:77" x14ac:dyDescent="0.2">
      <c r="A303" s="425" t="s">
        <v>109</v>
      </c>
      <c r="B303" s="426" t="s">
        <v>882</v>
      </c>
      <c r="C303" s="427"/>
      <c r="D303" s="428">
        <v>197887</v>
      </c>
      <c r="E303" s="276">
        <v>8</v>
      </c>
      <c r="F303" s="631"/>
      <c r="G303" s="632"/>
      <c r="H303" s="633">
        <f t="shared" si="111"/>
        <v>0</v>
      </c>
      <c r="I303" s="634"/>
      <c r="J303" s="634"/>
      <c r="K303" s="635">
        <f t="shared" si="112"/>
        <v>0</v>
      </c>
      <c r="L303" s="636"/>
      <c r="M303" s="636"/>
      <c r="N303" s="637">
        <f t="shared" si="113"/>
        <v>0</v>
      </c>
      <c r="O303" s="638"/>
      <c r="P303" s="638"/>
      <c r="Q303" s="635">
        <f t="shared" si="114"/>
        <v>0</v>
      </c>
      <c r="R303" s="636"/>
      <c r="S303" s="636"/>
      <c r="T303" s="637">
        <f t="shared" si="115"/>
        <v>0</v>
      </c>
      <c r="U303" s="638"/>
      <c r="V303" s="638"/>
      <c r="W303" s="635">
        <f t="shared" si="116"/>
        <v>0</v>
      </c>
      <c r="X303" s="636"/>
      <c r="Y303" s="636"/>
      <c r="Z303" s="637">
        <f t="shared" si="117"/>
        <v>0</v>
      </c>
      <c r="AA303" s="638"/>
      <c r="AB303" s="638"/>
      <c r="AC303" s="635">
        <f t="shared" si="118"/>
        <v>0</v>
      </c>
      <c r="AD303" s="636"/>
      <c r="AE303" s="636"/>
      <c r="AF303" s="637">
        <f t="shared" si="119"/>
        <v>0</v>
      </c>
      <c r="AG303" s="638"/>
      <c r="AH303" s="638"/>
      <c r="AI303" s="635">
        <f t="shared" si="120"/>
        <v>0</v>
      </c>
      <c r="AJ303" s="636">
        <v>172</v>
      </c>
      <c r="AK303" s="636">
        <v>45890</v>
      </c>
      <c r="AL303" s="637">
        <f t="shared" si="121"/>
        <v>7893080</v>
      </c>
      <c r="AM303" s="638">
        <v>166</v>
      </c>
      <c r="AN303" s="638">
        <v>45851.58</v>
      </c>
      <c r="AO303" s="640">
        <f t="shared" si="122"/>
        <v>7611362.2800000003</v>
      </c>
      <c r="AP303" s="636"/>
      <c r="AQ303" s="636"/>
      <c r="AR303" s="637">
        <f t="shared" si="123"/>
        <v>0</v>
      </c>
      <c r="AS303" s="638"/>
      <c r="AT303" s="638"/>
      <c r="AU303" s="635">
        <f t="shared" si="124"/>
        <v>0</v>
      </c>
      <c r="AV303" s="636"/>
      <c r="AW303" s="636"/>
      <c r="AX303" s="637">
        <f t="shared" si="125"/>
        <v>0</v>
      </c>
      <c r="AY303" s="638"/>
      <c r="AZ303" s="638"/>
      <c r="BA303" s="635">
        <f t="shared" si="126"/>
        <v>0</v>
      </c>
      <c r="BB303" s="636"/>
      <c r="BC303" s="636"/>
      <c r="BD303" s="637">
        <f t="shared" si="127"/>
        <v>0</v>
      </c>
      <c r="BE303" s="638"/>
      <c r="BF303" s="638"/>
      <c r="BG303" s="635">
        <f t="shared" si="128"/>
        <v>0</v>
      </c>
      <c r="BH303" s="636"/>
      <c r="BI303" s="636"/>
      <c r="BJ303" s="637">
        <f t="shared" si="129"/>
        <v>0</v>
      </c>
      <c r="BK303" s="638"/>
      <c r="BL303" s="638"/>
      <c r="BM303" s="635">
        <f t="shared" si="130"/>
        <v>0</v>
      </c>
      <c r="BN303" s="636"/>
      <c r="BO303" s="636"/>
      <c r="BP303" s="637">
        <f t="shared" si="131"/>
        <v>0</v>
      </c>
      <c r="BQ303" s="638"/>
      <c r="BR303" s="638"/>
      <c r="BS303" s="635">
        <f t="shared" si="132"/>
        <v>0</v>
      </c>
      <c r="BT303" s="636"/>
      <c r="BU303" s="636"/>
      <c r="BV303" s="637">
        <f t="shared" si="133"/>
        <v>0</v>
      </c>
      <c r="BW303" s="638"/>
      <c r="BX303" s="638"/>
      <c r="BY303" s="641">
        <f t="shared" si="134"/>
        <v>0</v>
      </c>
    </row>
    <row r="304" spans="1:77" x14ac:dyDescent="0.2">
      <c r="A304" s="429" t="s">
        <v>109</v>
      </c>
      <c r="B304" s="426" t="s">
        <v>883</v>
      </c>
      <c r="C304" s="427"/>
      <c r="D304" s="428">
        <v>198154</v>
      </c>
      <c r="E304" s="276">
        <v>8</v>
      </c>
      <c r="F304" s="631"/>
      <c r="G304" s="632"/>
      <c r="H304" s="633">
        <f t="shared" si="111"/>
        <v>0</v>
      </c>
      <c r="I304" s="634"/>
      <c r="J304" s="634"/>
      <c r="K304" s="635">
        <f t="shared" si="112"/>
        <v>0</v>
      </c>
      <c r="L304" s="636"/>
      <c r="M304" s="636"/>
      <c r="N304" s="637">
        <f t="shared" si="113"/>
        <v>0</v>
      </c>
      <c r="O304" s="638"/>
      <c r="P304" s="638"/>
      <c r="Q304" s="635">
        <f t="shared" si="114"/>
        <v>0</v>
      </c>
      <c r="R304" s="636"/>
      <c r="S304" s="636"/>
      <c r="T304" s="637">
        <f t="shared" si="115"/>
        <v>0</v>
      </c>
      <c r="U304" s="638"/>
      <c r="V304" s="638"/>
      <c r="W304" s="635">
        <f t="shared" si="116"/>
        <v>0</v>
      </c>
      <c r="X304" s="636"/>
      <c r="Y304" s="636"/>
      <c r="Z304" s="637">
        <f t="shared" si="117"/>
        <v>0</v>
      </c>
      <c r="AA304" s="638"/>
      <c r="AB304" s="638"/>
      <c r="AC304" s="635">
        <f t="shared" si="118"/>
        <v>0</v>
      </c>
      <c r="AD304" s="636"/>
      <c r="AE304" s="636"/>
      <c r="AF304" s="637">
        <f t="shared" si="119"/>
        <v>0</v>
      </c>
      <c r="AG304" s="638"/>
      <c r="AH304" s="638"/>
      <c r="AI304" s="635">
        <f t="shared" si="120"/>
        <v>0</v>
      </c>
      <c r="AJ304" s="636">
        <v>279</v>
      </c>
      <c r="AK304" s="636">
        <v>48299</v>
      </c>
      <c r="AL304" s="637">
        <f t="shared" si="121"/>
        <v>13475421</v>
      </c>
      <c r="AM304" s="638">
        <v>276</v>
      </c>
      <c r="AN304" s="638">
        <v>47878.38</v>
      </c>
      <c r="AO304" s="640">
        <f t="shared" si="122"/>
        <v>13214432.879999999</v>
      </c>
      <c r="AP304" s="636"/>
      <c r="AQ304" s="636"/>
      <c r="AR304" s="637">
        <f t="shared" si="123"/>
        <v>0</v>
      </c>
      <c r="AS304" s="638"/>
      <c r="AT304" s="638"/>
      <c r="AU304" s="635">
        <f t="shared" si="124"/>
        <v>0</v>
      </c>
      <c r="AV304" s="636"/>
      <c r="AW304" s="636"/>
      <c r="AX304" s="637">
        <f t="shared" si="125"/>
        <v>0</v>
      </c>
      <c r="AY304" s="638"/>
      <c r="AZ304" s="638"/>
      <c r="BA304" s="635">
        <f t="shared" si="126"/>
        <v>0</v>
      </c>
      <c r="BB304" s="636"/>
      <c r="BC304" s="636"/>
      <c r="BD304" s="637">
        <f t="shared" si="127"/>
        <v>0</v>
      </c>
      <c r="BE304" s="638"/>
      <c r="BF304" s="638"/>
      <c r="BG304" s="635">
        <f t="shared" si="128"/>
        <v>0</v>
      </c>
      <c r="BH304" s="636"/>
      <c r="BI304" s="636"/>
      <c r="BJ304" s="637">
        <f t="shared" si="129"/>
        <v>0</v>
      </c>
      <c r="BK304" s="638"/>
      <c r="BL304" s="638"/>
      <c r="BM304" s="635">
        <f t="shared" si="130"/>
        <v>0</v>
      </c>
      <c r="BN304" s="636"/>
      <c r="BO304" s="636"/>
      <c r="BP304" s="637">
        <f t="shared" si="131"/>
        <v>0</v>
      </c>
      <c r="BQ304" s="638"/>
      <c r="BR304" s="638"/>
      <c r="BS304" s="635">
        <f t="shared" si="132"/>
        <v>0</v>
      </c>
      <c r="BT304" s="636"/>
      <c r="BU304" s="636"/>
      <c r="BV304" s="637">
        <f t="shared" si="133"/>
        <v>0</v>
      </c>
      <c r="BW304" s="638"/>
      <c r="BX304" s="638"/>
      <c r="BY304" s="641">
        <f t="shared" si="134"/>
        <v>0</v>
      </c>
    </row>
    <row r="305" spans="1:77" x14ac:dyDescent="0.2">
      <c r="A305" s="429" t="s">
        <v>109</v>
      </c>
      <c r="B305" s="426" t="s">
        <v>884</v>
      </c>
      <c r="C305" s="427"/>
      <c r="D305" s="428">
        <v>198260</v>
      </c>
      <c r="E305" s="276">
        <v>8</v>
      </c>
      <c r="F305" s="631"/>
      <c r="G305" s="632"/>
      <c r="H305" s="633">
        <f t="shared" si="111"/>
        <v>0</v>
      </c>
      <c r="I305" s="634"/>
      <c r="J305" s="634"/>
      <c r="K305" s="635">
        <f t="shared" si="112"/>
        <v>0</v>
      </c>
      <c r="L305" s="636"/>
      <c r="M305" s="636"/>
      <c r="N305" s="637">
        <f t="shared" si="113"/>
        <v>0</v>
      </c>
      <c r="O305" s="638"/>
      <c r="P305" s="638"/>
      <c r="Q305" s="635">
        <f t="shared" si="114"/>
        <v>0</v>
      </c>
      <c r="R305" s="636"/>
      <c r="S305" s="636"/>
      <c r="T305" s="637">
        <f t="shared" si="115"/>
        <v>0</v>
      </c>
      <c r="U305" s="638"/>
      <c r="V305" s="638"/>
      <c r="W305" s="635">
        <f t="shared" si="116"/>
        <v>0</v>
      </c>
      <c r="X305" s="636"/>
      <c r="Y305" s="636"/>
      <c r="Z305" s="637">
        <f t="shared" si="117"/>
        <v>0</v>
      </c>
      <c r="AA305" s="638"/>
      <c r="AB305" s="638"/>
      <c r="AC305" s="635">
        <f t="shared" si="118"/>
        <v>0</v>
      </c>
      <c r="AD305" s="636"/>
      <c r="AE305" s="636"/>
      <c r="AF305" s="637">
        <f t="shared" si="119"/>
        <v>0</v>
      </c>
      <c r="AG305" s="638"/>
      <c r="AH305" s="638"/>
      <c r="AI305" s="635">
        <f t="shared" si="120"/>
        <v>0</v>
      </c>
      <c r="AJ305" s="636">
        <v>343</v>
      </c>
      <c r="AK305" s="636">
        <v>52475</v>
      </c>
      <c r="AL305" s="637">
        <f t="shared" si="121"/>
        <v>17998925</v>
      </c>
      <c r="AM305" s="638">
        <v>321</v>
      </c>
      <c r="AN305" s="638">
        <v>52611.299999999996</v>
      </c>
      <c r="AO305" s="640">
        <f t="shared" si="122"/>
        <v>16888227.299999997</v>
      </c>
      <c r="AP305" s="636"/>
      <c r="AQ305" s="636"/>
      <c r="AR305" s="637">
        <f t="shared" si="123"/>
        <v>0</v>
      </c>
      <c r="AS305" s="638"/>
      <c r="AT305" s="638"/>
      <c r="AU305" s="635">
        <f t="shared" si="124"/>
        <v>0</v>
      </c>
      <c r="AV305" s="636"/>
      <c r="AW305" s="636"/>
      <c r="AX305" s="637">
        <f t="shared" si="125"/>
        <v>0</v>
      </c>
      <c r="AY305" s="638"/>
      <c r="AZ305" s="638"/>
      <c r="BA305" s="635">
        <f t="shared" si="126"/>
        <v>0</v>
      </c>
      <c r="BB305" s="636"/>
      <c r="BC305" s="636"/>
      <c r="BD305" s="637">
        <f t="shared" si="127"/>
        <v>0</v>
      </c>
      <c r="BE305" s="638"/>
      <c r="BF305" s="638"/>
      <c r="BG305" s="635">
        <f t="shared" si="128"/>
        <v>0</v>
      </c>
      <c r="BH305" s="636"/>
      <c r="BI305" s="636"/>
      <c r="BJ305" s="637">
        <f t="shared" si="129"/>
        <v>0</v>
      </c>
      <c r="BK305" s="638"/>
      <c r="BL305" s="638"/>
      <c r="BM305" s="635">
        <f t="shared" si="130"/>
        <v>0</v>
      </c>
      <c r="BN305" s="636"/>
      <c r="BO305" s="636"/>
      <c r="BP305" s="637">
        <f t="shared" si="131"/>
        <v>0</v>
      </c>
      <c r="BQ305" s="638"/>
      <c r="BR305" s="638"/>
      <c r="BS305" s="635">
        <f t="shared" si="132"/>
        <v>0</v>
      </c>
      <c r="BT305" s="636"/>
      <c r="BU305" s="636"/>
      <c r="BV305" s="637">
        <f t="shared" si="133"/>
        <v>0</v>
      </c>
      <c r="BW305" s="638"/>
      <c r="BX305" s="638"/>
      <c r="BY305" s="641">
        <f t="shared" si="134"/>
        <v>0</v>
      </c>
    </row>
    <row r="306" spans="1:77" x14ac:dyDescent="0.2">
      <c r="A306" s="429" t="s">
        <v>109</v>
      </c>
      <c r="B306" s="426" t="s">
        <v>885</v>
      </c>
      <c r="C306" s="427"/>
      <c r="D306" s="428">
        <v>198534</v>
      </c>
      <c r="E306" s="276">
        <v>8</v>
      </c>
      <c r="F306" s="631"/>
      <c r="G306" s="632"/>
      <c r="H306" s="633">
        <f t="shared" si="111"/>
        <v>0</v>
      </c>
      <c r="I306" s="634"/>
      <c r="J306" s="634"/>
      <c r="K306" s="635">
        <f t="shared" si="112"/>
        <v>0</v>
      </c>
      <c r="L306" s="636"/>
      <c r="M306" s="636"/>
      <c r="N306" s="637">
        <f t="shared" si="113"/>
        <v>0</v>
      </c>
      <c r="O306" s="638"/>
      <c r="P306" s="638"/>
      <c r="Q306" s="635">
        <f t="shared" si="114"/>
        <v>0</v>
      </c>
      <c r="R306" s="636"/>
      <c r="S306" s="636"/>
      <c r="T306" s="637">
        <f t="shared" si="115"/>
        <v>0</v>
      </c>
      <c r="U306" s="638"/>
      <c r="V306" s="638"/>
      <c r="W306" s="635">
        <f t="shared" si="116"/>
        <v>0</v>
      </c>
      <c r="X306" s="636"/>
      <c r="Y306" s="636"/>
      <c r="Z306" s="637">
        <f t="shared" si="117"/>
        <v>0</v>
      </c>
      <c r="AA306" s="638"/>
      <c r="AB306" s="638"/>
      <c r="AC306" s="635">
        <f t="shared" si="118"/>
        <v>0</v>
      </c>
      <c r="AD306" s="636"/>
      <c r="AE306" s="636"/>
      <c r="AF306" s="637">
        <f t="shared" si="119"/>
        <v>0</v>
      </c>
      <c r="AG306" s="638"/>
      <c r="AH306" s="638"/>
      <c r="AI306" s="635">
        <f t="shared" si="120"/>
        <v>0</v>
      </c>
      <c r="AJ306" s="636">
        <v>311</v>
      </c>
      <c r="AK306" s="636">
        <v>45787</v>
      </c>
      <c r="AL306" s="637">
        <f t="shared" si="121"/>
        <v>14239757</v>
      </c>
      <c r="AM306" s="638">
        <v>263</v>
      </c>
      <c r="AN306" s="638">
        <v>47474.19</v>
      </c>
      <c r="AO306" s="640">
        <f t="shared" si="122"/>
        <v>12485711.970000001</v>
      </c>
      <c r="AP306" s="636"/>
      <c r="AQ306" s="636"/>
      <c r="AR306" s="637">
        <f t="shared" si="123"/>
        <v>0</v>
      </c>
      <c r="AS306" s="638"/>
      <c r="AT306" s="638"/>
      <c r="AU306" s="635">
        <f t="shared" si="124"/>
        <v>0</v>
      </c>
      <c r="AV306" s="636"/>
      <c r="AW306" s="636"/>
      <c r="AX306" s="637">
        <f t="shared" si="125"/>
        <v>0</v>
      </c>
      <c r="AY306" s="638"/>
      <c r="AZ306" s="638"/>
      <c r="BA306" s="635">
        <f t="shared" si="126"/>
        <v>0</v>
      </c>
      <c r="BB306" s="636"/>
      <c r="BC306" s="636"/>
      <c r="BD306" s="637">
        <f t="shared" si="127"/>
        <v>0</v>
      </c>
      <c r="BE306" s="638"/>
      <c r="BF306" s="638"/>
      <c r="BG306" s="635">
        <f t="shared" si="128"/>
        <v>0</v>
      </c>
      <c r="BH306" s="636"/>
      <c r="BI306" s="636"/>
      <c r="BJ306" s="637">
        <f t="shared" si="129"/>
        <v>0</v>
      </c>
      <c r="BK306" s="638"/>
      <c r="BL306" s="638"/>
      <c r="BM306" s="635">
        <f t="shared" si="130"/>
        <v>0</v>
      </c>
      <c r="BN306" s="636"/>
      <c r="BO306" s="636"/>
      <c r="BP306" s="637">
        <f t="shared" si="131"/>
        <v>0</v>
      </c>
      <c r="BQ306" s="638"/>
      <c r="BR306" s="638"/>
      <c r="BS306" s="635">
        <f t="shared" si="132"/>
        <v>0</v>
      </c>
      <c r="BT306" s="636"/>
      <c r="BU306" s="636"/>
      <c r="BV306" s="637">
        <f t="shared" si="133"/>
        <v>0</v>
      </c>
      <c r="BW306" s="638"/>
      <c r="BX306" s="638"/>
      <c r="BY306" s="641">
        <f t="shared" si="134"/>
        <v>0</v>
      </c>
    </row>
    <row r="307" spans="1:77" x14ac:dyDescent="0.2">
      <c r="A307" s="429" t="s">
        <v>109</v>
      </c>
      <c r="B307" s="426" t="s">
        <v>886</v>
      </c>
      <c r="C307" s="427"/>
      <c r="D307" s="428">
        <v>198552</v>
      </c>
      <c r="E307" s="276">
        <v>8</v>
      </c>
      <c r="F307" s="631"/>
      <c r="G307" s="632"/>
      <c r="H307" s="633">
        <f t="shared" si="111"/>
        <v>0</v>
      </c>
      <c r="I307" s="634"/>
      <c r="J307" s="634"/>
      <c r="K307" s="635">
        <f t="shared" si="112"/>
        <v>0</v>
      </c>
      <c r="L307" s="636"/>
      <c r="M307" s="636"/>
      <c r="N307" s="637">
        <f t="shared" si="113"/>
        <v>0</v>
      </c>
      <c r="O307" s="638"/>
      <c r="P307" s="638"/>
      <c r="Q307" s="635">
        <f t="shared" si="114"/>
        <v>0</v>
      </c>
      <c r="R307" s="636"/>
      <c r="S307" s="636"/>
      <c r="T307" s="637">
        <f t="shared" si="115"/>
        <v>0</v>
      </c>
      <c r="U307" s="638"/>
      <c r="V307" s="638"/>
      <c r="W307" s="635">
        <f t="shared" si="116"/>
        <v>0</v>
      </c>
      <c r="X307" s="636"/>
      <c r="Y307" s="636"/>
      <c r="Z307" s="637">
        <f t="shared" si="117"/>
        <v>0</v>
      </c>
      <c r="AA307" s="638"/>
      <c r="AB307" s="638"/>
      <c r="AC307" s="635">
        <f t="shared" si="118"/>
        <v>0</v>
      </c>
      <c r="AD307" s="636"/>
      <c r="AE307" s="636"/>
      <c r="AF307" s="637">
        <f t="shared" si="119"/>
        <v>0</v>
      </c>
      <c r="AG307" s="638"/>
      <c r="AH307" s="638"/>
      <c r="AI307" s="635">
        <f t="shared" si="120"/>
        <v>0</v>
      </c>
      <c r="AJ307" s="636">
        <v>214</v>
      </c>
      <c r="AK307" s="636">
        <v>43172</v>
      </c>
      <c r="AL307" s="637">
        <f t="shared" si="121"/>
        <v>9238808</v>
      </c>
      <c r="AM307" s="638">
        <v>225</v>
      </c>
      <c r="AN307" s="638">
        <v>42793.29</v>
      </c>
      <c r="AO307" s="640">
        <f t="shared" si="122"/>
        <v>9628490.25</v>
      </c>
      <c r="AP307" s="636"/>
      <c r="AQ307" s="636"/>
      <c r="AR307" s="637">
        <f t="shared" si="123"/>
        <v>0</v>
      </c>
      <c r="AS307" s="638"/>
      <c r="AT307" s="638"/>
      <c r="AU307" s="635">
        <f t="shared" si="124"/>
        <v>0</v>
      </c>
      <c r="AV307" s="636"/>
      <c r="AW307" s="636"/>
      <c r="AX307" s="637">
        <f t="shared" si="125"/>
        <v>0</v>
      </c>
      <c r="AY307" s="638"/>
      <c r="AZ307" s="638"/>
      <c r="BA307" s="635">
        <f t="shared" si="126"/>
        <v>0</v>
      </c>
      <c r="BB307" s="636"/>
      <c r="BC307" s="636"/>
      <c r="BD307" s="637">
        <f t="shared" si="127"/>
        <v>0</v>
      </c>
      <c r="BE307" s="638"/>
      <c r="BF307" s="638"/>
      <c r="BG307" s="635">
        <f t="shared" si="128"/>
        <v>0</v>
      </c>
      <c r="BH307" s="636"/>
      <c r="BI307" s="636"/>
      <c r="BJ307" s="637">
        <f t="shared" si="129"/>
        <v>0</v>
      </c>
      <c r="BK307" s="638"/>
      <c r="BL307" s="638"/>
      <c r="BM307" s="635">
        <f t="shared" si="130"/>
        <v>0</v>
      </c>
      <c r="BN307" s="636"/>
      <c r="BO307" s="636"/>
      <c r="BP307" s="637">
        <f t="shared" si="131"/>
        <v>0</v>
      </c>
      <c r="BQ307" s="638"/>
      <c r="BR307" s="638"/>
      <c r="BS307" s="635">
        <f t="shared" si="132"/>
        <v>0</v>
      </c>
      <c r="BT307" s="636"/>
      <c r="BU307" s="636"/>
      <c r="BV307" s="637">
        <f t="shared" si="133"/>
        <v>0</v>
      </c>
      <c r="BW307" s="638"/>
      <c r="BX307" s="638"/>
      <c r="BY307" s="641">
        <f t="shared" si="134"/>
        <v>0</v>
      </c>
    </row>
    <row r="308" spans="1:77" x14ac:dyDescent="0.2">
      <c r="A308" s="429" t="s">
        <v>109</v>
      </c>
      <c r="B308" s="430" t="s">
        <v>887</v>
      </c>
      <c r="C308" s="431" t="s">
        <v>940</v>
      </c>
      <c r="D308" s="428">
        <v>198570</v>
      </c>
      <c r="E308" s="276">
        <v>8</v>
      </c>
      <c r="F308" s="631"/>
      <c r="G308" s="632"/>
      <c r="H308" s="633">
        <f t="shared" si="111"/>
        <v>0</v>
      </c>
      <c r="I308" s="634"/>
      <c r="J308" s="634"/>
      <c r="K308" s="635">
        <f t="shared" si="112"/>
        <v>0</v>
      </c>
      <c r="L308" s="636"/>
      <c r="M308" s="636"/>
      <c r="N308" s="637">
        <f t="shared" si="113"/>
        <v>0</v>
      </c>
      <c r="O308" s="638"/>
      <c r="P308" s="638"/>
      <c r="Q308" s="635">
        <f t="shared" si="114"/>
        <v>0</v>
      </c>
      <c r="R308" s="636"/>
      <c r="S308" s="636"/>
      <c r="T308" s="637">
        <f t="shared" si="115"/>
        <v>0</v>
      </c>
      <c r="U308" s="638"/>
      <c r="V308" s="638"/>
      <c r="W308" s="635">
        <f t="shared" si="116"/>
        <v>0</v>
      </c>
      <c r="X308" s="636"/>
      <c r="Y308" s="636"/>
      <c r="Z308" s="637">
        <f t="shared" si="117"/>
        <v>0</v>
      </c>
      <c r="AA308" s="638"/>
      <c r="AB308" s="638"/>
      <c r="AC308" s="635">
        <f t="shared" si="118"/>
        <v>0</v>
      </c>
      <c r="AD308" s="636"/>
      <c r="AE308" s="636"/>
      <c r="AF308" s="637">
        <f t="shared" si="119"/>
        <v>0</v>
      </c>
      <c r="AG308" s="638"/>
      <c r="AH308" s="638"/>
      <c r="AI308" s="635">
        <f t="shared" si="120"/>
        <v>0</v>
      </c>
      <c r="AJ308" s="636">
        <v>161</v>
      </c>
      <c r="AK308" s="636">
        <v>50329</v>
      </c>
      <c r="AL308" s="637">
        <f t="shared" si="121"/>
        <v>8102969</v>
      </c>
      <c r="AM308" s="638">
        <v>161</v>
      </c>
      <c r="AN308" s="638">
        <v>50048.46</v>
      </c>
      <c r="AO308" s="640">
        <f t="shared" si="122"/>
        <v>8057802.0599999996</v>
      </c>
      <c r="AP308" s="636"/>
      <c r="AQ308" s="636"/>
      <c r="AR308" s="637">
        <f t="shared" si="123"/>
        <v>0</v>
      </c>
      <c r="AS308" s="638"/>
      <c r="AT308" s="638"/>
      <c r="AU308" s="635">
        <f t="shared" si="124"/>
        <v>0</v>
      </c>
      <c r="AV308" s="636"/>
      <c r="AW308" s="636"/>
      <c r="AX308" s="637">
        <f t="shared" si="125"/>
        <v>0</v>
      </c>
      <c r="AY308" s="638"/>
      <c r="AZ308" s="638"/>
      <c r="BA308" s="635">
        <f t="shared" si="126"/>
        <v>0</v>
      </c>
      <c r="BB308" s="636"/>
      <c r="BC308" s="636"/>
      <c r="BD308" s="637">
        <f t="shared" si="127"/>
        <v>0</v>
      </c>
      <c r="BE308" s="638"/>
      <c r="BF308" s="638"/>
      <c r="BG308" s="635">
        <f t="shared" si="128"/>
        <v>0</v>
      </c>
      <c r="BH308" s="636"/>
      <c r="BI308" s="636"/>
      <c r="BJ308" s="637">
        <f t="shared" si="129"/>
        <v>0</v>
      </c>
      <c r="BK308" s="638"/>
      <c r="BL308" s="638"/>
      <c r="BM308" s="635">
        <f t="shared" si="130"/>
        <v>0</v>
      </c>
      <c r="BN308" s="636"/>
      <c r="BO308" s="636"/>
      <c r="BP308" s="637">
        <f t="shared" si="131"/>
        <v>0</v>
      </c>
      <c r="BQ308" s="638"/>
      <c r="BR308" s="638"/>
      <c r="BS308" s="635">
        <f t="shared" si="132"/>
        <v>0</v>
      </c>
      <c r="BT308" s="636"/>
      <c r="BU308" s="636"/>
      <c r="BV308" s="637">
        <f t="shared" si="133"/>
        <v>0</v>
      </c>
      <c r="BW308" s="638"/>
      <c r="BX308" s="638"/>
      <c r="BY308" s="641">
        <f t="shared" si="134"/>
        <v>0</v>
      </c>
    </row>
    <row r="309" spans="1:77" x14ac:dyDescent="0.2">
      <c r="A309" s="429" t="s">
        <v>109</v>
      </c>
      <c r="B309" s="426" t="s">
        <v>888</v>
      </c>
      <c r="C309" s="427"/>
      <c r="D309" s="428">
        <v>198622</v>
      </c>
      <c r="E309" s="276">
        <v>8</v>
      </c>
      <c r="F309" s="631"/>
      <c r="G309" s="632"/>
      <c r="H309" s="633">
        <f t="shared" si="111"/>
        <v>0</v>
      </c>
      <c r="I309" s="634"/>
      <c r="J309" s="634"/>
      <c r="K309" s="635">
        <f t="shared" si="112"/>
        <v>0</v>
      </c>
      <c r="L309" s="636"/>
      <c r="M309" s="636"/>
      <c r="N309" s="637">
        <f t="shared" si="113"/>
        <v>0</v>
      </c>
      <c r="O309" s="638"/>
      <c r="P309" s="638"/>
      <c r="Q309" s="635">
        <f t="shared" si="114"/>
        <v>0</v>
      </c>
      <c r="R309" s="636"/>
      <c r="S309" s="636"/>
      <c r="T309" s="637">
        <f t="shared" si="115"/>
        <v>0</v>
      </c>
      <c r="U309" s="638"/>
      <c r="V309" s="638"/>
      <c r="W309" s="635">
        <f t="shared" si="116"/>
        <v>0</v>
      </c>
      <c r="X309" s="636"/>
      <c r="Y309" s="636"/>
      <c r="Z309" s="637">
        <f t="shared" si="117"/>
        <v>0</v>
      </c>
      <c r="AA309" s="638"/>
      <c r="AB309" s="638"/>
      <c r="AC309" s="635">
        <f t="shared" si="118"/>
        <v>0</v>
      </c>
      <c r="AD309" s="636"/>
      <c r="AE309" s="636"/>
      <c r="AF309" s="637">
        <f t="shared" si="119"/>
        <v>0</v>
      </c>
      <c r="AG309" s="638"/>
      <c r="AH309" s="638"/>
      <c r="AI309" s="635">
        <f t="shared" si="120"/>
        <v>0</v>
      </c>
      <c r="AJ309" s="636">
        <v>324</v>
      </c>
      <c r="AK309" s="636">
        <v>49631</v>
      </c>
      <c r="AL309" s="637">
        <f t="shared" si="121"/>
        <v>16080444</v>
      </c>
      <c r="AM309" s="638">
        <v>342</v>
      </c>
      <c r="AN309" s="638">
        <v>49173.39</v>
      </c>
      <c r="AO309" s="640">
        <f t="shared" si="122"/>
        <v>16817299.379999999</v>
      </c>
      <c r="AP309" s="636"/>
      <c r="AQ309" s="636"/>
      <c r="AR309" s="637">
        <f t="shared" si="123"/>
        <v>0</v>
      </c>
      <c r="AS309" s="638"/>
      <c r="AT309" s="638"/>
      <c r="AU309" s="635">
        <f t="shared" si="124"/>
        <v>0</v>
      </c>
      <c r="AV309" s="636"/>
      <c r="AW309" s="636"/>
      <c r="AX309" s="637">
        <f t="shared" si="125"/>
        <v>0</v>
      </c>
      <c r="AY309" s="638"/>
      <c r="AZ309" s="638"/>
      <c r="BA309" s="635">
        <f t="shared" si="126"/>
        <v>0</v>
      </c>
      <c r="BB309" s="636"/>
      <c r="BC309" s="636"/>
      <c r="BD309" s="637">
        <f t="shared" si="127"/>
        <v>0</v>
      </c>
      <c r="BE309" s="638"/>
      <c r="BF309" s="638"/>
      <c r="BG309" s="635">
        <f t="shared" si="128"/>
        <v>0</v>
      </c>
      <c r="BH309" s="636"/>
      <c r="BI309" s="636"/>
      <c r="BJ309" s="637">
        <f t="shared" si="129"/>
        <v>0</v>
      </c>
      <c r="BK309" s="638"/>
      <c r="BL309" s="638"/>
      <c r="BM309" s="635">
        <f t="shared" si="130"/>
        <v>0</v>
      </c>
      <c r="BN309" s="636"/>
      <c r="BO309" s="636"/>
      <c r="BP309" s="637">
        <f t="shared" si="131"/>
        <v>0</v>
      </c>
      <c r="BQ309" s="638"/>
      <c r="BR309" s="638"/>
      <c r="BS309" s="635">
        <f t="shared" si="132"/>
        <v>0</v>
      </c>
      <c r="BT309" s="636"/>
      <c r="BU309" s="636"/>
      <c r="BV309" s="637">
        <f t="shared" si="133"/>
        <v>0</v>
      </c>
      <c r="BW309" s="638"/>
      <c r="BX309" s="638"/>
      <c r="BY309" s="641">
        <f t="shared" si="134"/>
        <v>0</v>
      </c>
    </row>
    <row r="310" spans="1:77" x14ac:dyDescent="0.2">
      <c r="A310" s="429" t="s">
        <v>109</v>
      </c>
      <c r="B310" s="426" t="s">
        <v>889</v>
      </c>
      <c r="C310" s="427"/>
      <c r="D310" s="428">
        <v>199333</v>
      </c>
      <c r="E310" s="276">
        <v>8</v>
      </c>
      <c r="F310" s="631"/>
      <c r="G310" s="632"/>
      <c r="H310" s="633">
        <f t="shared" si="111"/>
        <v>0</v>
      </c>
      <c r="I310" s="634"/>
      <c r="J310" s="634"/>
      <c r="K310" s="635">
        <f t="shared" si="112"/>
        <v>0</v>
      </c>
      <c r="L310" s="636"/>
      <c r="M310" s="636"/>
      <c r="N310" s="637">
        <f t="shared" si="113"/>
        <v>0</v>
      </c>
      <c r="O310" s="638"/>
      <c r="P310" s="638"/>
      <c r="Q310" s="635">
        <f t="shared" si="114"/>
        <v>0</v>
      </c>
      <c r="R310" s="636"/>
      <c r="S310" s="636"/>
      <c r="T310" s="637">
        <f t="shared" si="115"/>
        <v>0</v>
      </c>
      <c r="U310" s="638"/>
      <c r="V310" s="638"/>
      <c r="W310" s="635">
        <f t="shared" si="116"/>
        <v>0</v>
      </c>
      <c r="X310" s="636"/>
      <c r="Y310" s="636"/>
      <c r="Z310" s="637">
        <f t="shared" si="117"/>
        <v>0</v>
      </c>
      <c r="AA310" s="638"/>
      <c r="AB310" s="638"/>
      <c r="AC310" s="635">
        <f t="shared" si="118"/>
        <v>0</v>
      </c>
      <c r="AD310" s="636"/>
      <c r="AE310" s="636"/>
      <c r="AF310" s="637">
        <f t="shared" si="119"/>
        <v>0</v>
      </c>
      <c r="AG310" s="638"/>
      <c r="AH310" s="638"/>
      <c r="AI310" s="635">
        <f t="shared" si="120"/>
        <v>0</v>
      </c>
      <c r="AJ310" s="636">
        <v>226</v>
      </c>
      <c r="AK310" s="636">
        <v>47137</v>
      </c>
      <c r="AL310" s="637">
        <f t="shared" si="121"/>
        <v>10652962</v>
      </c>
      <c r="AM310" s="638">
        <v>222</v>
      </c>
      <c r="AN310" s="638">
        <v>46779.39</v>
      </c>
      <c r="AO310" s="640">
        <f t="shared" si="122"/>
        <v>10385024.58</v>
      </c>
      <c r="AP310" s="636"/>
      <c r="AQ310" s="636"/>
      <c r="AR310" s="637">
        <f t="shared" si="123"/>
        <v>0</v>
      </c>
      <c r="AS310" s="638"/>
      <c r="AT310" s="638"/>
      <c r="AU310" s="635">
        <f t="shared" si="124"/>
        <v>0</v>
      </c>
      <c r="AV310" s="636"/>
      <c r="AW310" s="636"/>
      <c r="AX310" s="637">
        <f t="shared" si="125"/>
        <v>0</v>
      </c>
      <c r="AY310" s="638"/>
      <c r="AZ310" s="638"/>
      <c r="BA310" s="635">
        <f t="shared" si="126"/>
        <v>0</v>
      </c>
      <c r="BB310" s="636"/>
      <c r="BC310" s="636"/>
      <c r="BD310" s="637">
        <f t="shared" si="127"/>
        <v>0</v>
      </c>
      <c r="BE310" s="638"/>
      <c r="BF310" s="638"/>
      <c r="BG310" s="635">
        <f t="shared" si="128"/>
        <v>0</v>
      </c>
      <c r="BH310" s="636"/>
      <c r="BI310" s="636"/>
      <c r="BJ310" s="637">
        <f t="shared" si="129"/>
        <v>0</v>
      </c>
      <c r="BK310" s="638"/>
      <c r="BL310" s="638"/>
      <c r="BM310" s="635">
        <f t="shared" si="130"/>
        <v>0</v>
      </c>
      <c r="BN310" s="636"/>
      <c r="BO310" s="636"/>
      <c r="BP310" s="637">
        <f t="shared" si="131"/>
        <v>0</v>
      </c>
      <c r="BQ310" s="638"/>
      <c r="BR310" s="638"/>
      <c r="BS310" s="635">
        <f t="shared" si="132"/>
        <v>0</v>
      </c>
      <c r="BT310" s="636"/>
      <c r="BU310" s="636"/>
      <c r="BV310" s="637">
        <f t="shared" si="133"/>
        <v>0</v>
      </c>
      <c r="BW310" s="638"/>
      <c r="BX310" s="638"/>
      <c r="BY310" s="641">
        <f t="shared" si="134"/>
        <v>0</v>
      </c>
    </row>
    <row r="311" spans="1:77" x14ac:dyDescent="0.2">
      <c r="A311" s="432" t="s">
        <v>109</v>
      </c>
      <c r="B311" s="283" t="s">
        <v>890</v>
      </c>
      <c r="C311" s="284"/>
      <c r="D311" s="277">
        <v>199494</v>
      </c>
      <c r="E311" s="280">
        <v>8</v>
      </c>
      <c r="F311" s="631"/>
      <c r="G311" s="632"/>
      <c r="H311" s="633">
        <f t="shared" si="111"/>
        <v>0</v>
      </c>
      <c r="I311" s="634"/>
      <c r="J311" s="634"/>
      <c r="K311" s="635">
        <f t="shared" si="112"/>
        <v>0</v>
      </c>
      <c r="L311" s="636"/>
      <c r="M311" s="636"/>
      <c r="N311" s="637">
        <f t="shared" si="113"/>
        <v>0</v>
      </c>
      <c r="O311" s="638"/>
      <c r="P311" s="638"/>
      <c r="Q311" s="635">
        <f t="shared" si="114"/>
        <v>0</v>
      </c>
      <c r="R311" s="636"/>
      <c r="S311" s="636"/>
      <c r="T311" s="637">
        <f t="shared" si="115"/>
        <v>0</v>
      </c>
      <c r="U311" s="638"/>
      <c r="V311" s="638"/>
      <c r="W311" s="635">
        <f t="shared" si="116"/>
        <v>0</v>
      </c>
      <c r="X311" s="636"/>
      <c r="Y311" s="636"/>
      <c r="Z311" s="637">
        <f t="shared" si="117"/>
        <v>0</v>
      </c>
      <c r="AA311" s="638"/>
      <c r="AB311" s="638"/>
      <c r="AC311" s="635">
        <f t="shared" si="118"/>
        <v>0</v>
      </c>
      <c r="AD311" s="636"/>
      <c r="AE311" s="636"/>
      <c r="AF311" s="637">
        <f t="shared" si="119"/>
        <v>0</v>
      </c>
      <c r="AG311" s="638"/>
      <c r="AH311" s="638"/>
      <c r="AI311" s="635">
        <f t="shared" si="120"/>
        <v>0</v>
      </c>
      <c r="AJ311" s="636">
        <v>157</v>
      </c>
      <c r="AK311" s="636">
        <v>54252</v>
      </c>
      <c r="AL311" s="637">
        <f t="shared" si="121"/>
        <v>8517564</v>
      </c>
      <c r="AM311" s="638">
        <v>160</v>
      </c>
      <c r="AN311" s="638">
        <v>49075.11</v>
      </c>
      <c r="AO311" s="640">
        <f t="shared" si="122"/>
        <v>7852017.5999999996</v>
      </c>
      <c r="AP311" s="636"/>
      <c r="AQ311" s="636"/>
      <c r="AR311" s="637">
        <f t="shared" si="123"/>
        <v>0</v>
      </c>
      <c r="AS311" s="638"/>
      <c r="AT311" s="638"/>
      <c r="AU311" s="635">
        <f t="shared" si="124"/>
        <v>0</v>
      </c>
      <c r="AV311" s="636"/>
      <c r="AW311" s="636"/>
      <c r="AX311" s="637">
        <f t="shared" si="125"/>
        <v>0</v>
      </c>
      <c r="AY311" s="638"/>
      <c r="AZ311" s="638"/>
      <c r="BA311" s="635">
        <f t="shared" si="126"/>
        <v>0</v>
      </c>
      <c r="BB311" s="636"/>
      <c r="BC311" s="636"/>
      <c r="BD311" s="637">
        <f t="shared" si="127"/>
        <v>0</v>
      </c>
      <c r="BE311" s="638"/>
      <c r="BF311" s="638"/>
      <c r="BG311" s="635">
        <f t="shared" si="128"/>
        <v>0</v>
      </c>
      <c r="BH311" s="636"/>
      <c r="BI311" s="636"/>
      <c r="BJ311" s="637">
        <f t="shared" si="129"/>
        <v>0</v>
      </c>
      <c r="BK311" s="638"/>
      <c r="BL311" s="638"/>
      <c r="BM311" s="635">
        <f t="shared" si="130"/>
        <v>0</v>
      </c>
      <c r="BN311" s="636"/>
      <c r="BO311" s="636"/>
      <c r="BP311" s="637">
        <f t="shared" si="131"/>
        <v>0</v>
      </c>
      <c r="BQ311" s="638"/>
      <c r="BR311" s="638"/>
      <c r="BS311" s="635">
        <f t="shared" si="132"/>
        <v>0</v>
      </c>
      <c r="BT311" s="636"/>
      <c r="BU311" s="636"/>
      <c r="BV311" s="637">
        <f t="shared" si="133"/>
        <v>0</v>
      </c>
      <c r="BW311" s="638"/>
      <c r="BX311" s="638"/>
      <c r="BY311" s="641">
        <f t="shared" si="134"/>
        <v>0</v>
      </c>
    </row>
    <row r="312" spans="1:77" x14ac:dyDescent="0.2">
      <c r="A312" s="429" t="s">
        <v>109</v>
      </c>
      <c r="B312" s="426" t="s">
        <v>891</v>
      </c>
      <c r="C312" s="427"/>
      <c r="D312" s="428">
        <v>199856</v>
      </c>
      <c r="E312" s="276">
        <v>8</v>
      </c>
      <c r="F312" s="631"/>
      <c r="G312" s="632"/>
      <c r="H312" s="633">
        <f t="shared" si="111"/>
        <v>0</v>
      </c>
      <c r="I312" s="634"/>
      <c r="J312" s="634"/>
      <c r="K312" s="635">
        <f t="shared" si="112"/>
        <v>0</v>
      </c>
      <c r="L312" s="636"/>
      <c r="M312" s="636"/>
      <c r="N312" s="637">
        <f t="shared" si="113"/>
        <v>0</v>
      </c>
      <c r="O312" s="638"/>
      <c r="P312" s="638"/>
      <c r="Q312" s="635">
        <f t="shared" si="114"/>
        <v>0</v>
      </c>
      <c r="R312" s="636"/>
      <c r="S312" s="636"/>
      <c r="T312" s="637">
        <f t="shared" si="115"/>
        <v>0</v>
      </c>
      <c r="U312" s="638"/>
      <c r="V312" s="638"/>
      <c r="W312" s="635">
        <f t="shared" si="116"/>
        <v>0</v>
      </c>
      <c r="X312" s="636"/>
      <c r="Y312" s="636"/>
      <c r="Z312" s="637">
        <f t="shared" si="117"/>
        <v>0</v>
      </c>
      <c r="AA312" s="638"/>
      <c r="AB312" s="638"/>
      <c r="AC312" s="635">
        <f t="shared" si="118"/>
        <v>0</v>
      </c>
      <c r="AD312" s="636"/>
      <c r="AE312" s="636"/>
      <c r="AF312" s="637">
        <f t="shared" si="119"/>
        <v>0</v>
      </c>
      <c r="AG312" s="638"/>
      <c r="AH312" s="638"/>
      <c r="AI312" s="635">
        <f t="shared" si="120"/>
        <v>0</v>
      </c>
      <c r="AJ312" s="636">
        <v>503</v>
      </c>
      <c r="AK312" s="636">
        <v>44216</v>
      </c>
      <c r="AL312" s="637">
        <f t="shared" si="121"/>
        <v>22240648</v>
      </c>
      <c r="AM312" s="638">
        <v>437</v>
      </c>
      <c r="AN312" s="638">
        <v>44546.76</v>
      </c>
      <c r="AO312" s="640">
        <f t="shared" si="122"/>
        <v>19466934.120000001</v>
      </c>
      <c r="AP312" s="636"/>
      <c r="AQ312" s="636"/>
      <c r="AR312" s="637">
        <f t="shared" si="123"/>
        <v>0</v>
      </c>
      <c r="AS312" s="638"/>
      <c r="AT312" s="638"/>
      <c r="AU312" s="635">
        <f t="shared" si="124"/>
        <v>0</v>
      </c>
      <c r="AV312" s="636"/>
      <c r="AW312" s="636"/>
      <c r="AX312" s="637">
        <f t="shared" si="125"/>
        <v>0</v>
      </c>
      <c r="AY312" s="638"/>
      <c r="AZ312" s="638"/>
      <c r="BA312" s="635">
        <f t="shared" si="126"/>
        <v>0</v>
      </c>
      <c r="BB312" s="636"/>
      <c r="BC312" s="636"/>
      <c r="BD312" s="637">
        <f t="shared" si="127"/>
        <v>0</v>
      </c>
      <c r="BE312" s="638"/>
      <c r="BF312" s="638"/>
      <c r="BG312" s="635">
        <f t="shared" si="128"/>
        <v>0</v>
      </c>
      <c r="BH312" s="636"/>
      <c r="BI312" s="636"/>
      <c r="BJ312" s="637">
        <f t="shared" si="129"/>
        <v>0</v>
      </c>
      <c r="BK312" s="638"/>
      <c r="BL312" s="638"/>
      <c r="BM312" s="635">
        <f t="shared" si="130"/>
        <v>0</v>
      </c>
      <c r="BN312" s="636"/>
      <c r="BO312" s="636"/>
      <c r="BP312" s="637">
        <f t="shared" si="131"/>
        <v>0</v>
      </c>
      <c r="BQ312" s="638"/>
      <c r="BR312" s="638"/>
      <c r="BS312" s="635">
        <f t="shared" si="132"/>
        <v>0</v>
      </c>
      <c r="BT312" s="636"/>
      <c r="BU312" s="636"/>
      <c r="BV312" s="637">
        <f t="shared" si="133"/>
        <v>0</v>
      </c>
      <c r="BW312" s="638"/>
      <c r="BX312" s="638"/>
      <c r="BY312" s="641">
        <f t="shared" si="134"/>
        <v>0</v>
      </c>
    </row>
    <row r="313" spans="1:77" x14ac:dyDescent="0.2">
      <c r="A313" s="429" t="s">
        <v>109</v>
      </c>
      <c r="B313" s="426" t="s">
        <v>892</v>
      </c>
      <c r="C313" s="427"/>
      <c r="D313" s="428">
        <v>199786</v>
      </c>
      <c r="E313" s="276">
        <v>9</v>
      </c>
      <c r="F313" s="631"/>
      <c r="G313" s="632"/>
      <c r="H313" s="633">
        <f t="shared" si="111"/>
        <v>0</v>
      </c>
      <c r="I313" s="634"/>
      <c r="J313" s="634"/>
      <c r="K313" s="635">
        <f t="shared" si="112"/>
        <v>0</v>
      </c>
      <c r="L313" s="636"/>
      <c r="M313" s="636"/>
      <c r="N313" s="637">
        <f t="shared" si="113"/>
        <v>0</v>
      </c>
      <c r="O313" s="638"/>
      <c r="P313" s="638"/>
      <c r="Q313" s="635">
        <f t="shared" si="114"/>
        <v>0</v>
      </c>
      <c r="R313" s="636"/>
      <c r="S313" s="636"/>
      <c r="T313" s="637">
        <f t="shared" si="115"/>
        <v>0</v>
      </c>
      <c r="U313" s="638"/>
      <c r="V313" s="638"/>
      <c r="W313" s="635">
        <f t="shared" si="116"/>
        <v>0</v>
      </c>
      <c r="X313" s="636"/>
      <c r="Y313" s="636"/>
      <c r="Z313" s="637">
        <f t="shared" si="117"/>
        <v>0</v>
      </c>
      <c r="AA313" s="638"/>
      <c r="AB313" s="638"/>
      <c r="AC313" s="635">
        <f t="shared" si="118"/>
        <v>0</v>
      </c>
      <c r="AD313" s="636"/>
      <c r="AE313" s="636"/>
      <c r="AF313" s="637">
        <f t="shared" si="119"/>
        <v>0</v>
      </c>
      <c r="AG313" s="638"/>
      <c r="AH313" s="638"/>
      <c r="AI313" s="635">
        <f t="shared" si="120"/>
        <v>0</v>
      </c>
      <c r="AJ313" s="636">
        <v>111</v>
      </c>
      <c r="AK313" s="636">
        <v>48158</v>
      </c>
      <c r="AL313" s="637">
        <f t="shared" si="121"/>
        <v>5345538</v>
      </c>
      <c r="AM313" s="638">
        <v>119</v>
      </c>
      <c r="AN313" s="638">
        <v>47184.659999999996</v>
      </c>
      <c r="AO313" s="640">
        <f t="shared" si="122"/>
        <v>5614974.5399999991</v>
      </c>
      <c r="AP313" s="636"/>
      <c r="AQ313" s="636"/>
      <c r="AR313" s="637">
        <f t="shared" si="123"/>
        <v>0</v>
      </c>
      <c r="AS313" s="638"/>
      <c r="AT313" s="638"/>
      <c r="AU313" s="635">
        <f t="shared" si="124"/>
        <v>0</v>
      </c>
      <c r="AV313" s="636"/>
      <c r="AW313" s="636"/>
      <c r="AX313" s="637">
        <f t="shared" si="125"/>
        <v>0</v>
      </c>
      <c r="AY313" s="638"/>
      <c r="AZ313" s="638"/>
      <c r="BA313" s="635">
        <f t="shared" si="126"/>
        <v>0</v>
      </c>
      <c r="BB313" s="636"/>
      <c r="BC313" s="636"/>
      <c r="BD313" s="637">
        <f t="shared" si="127"/>
        <v>0</v>
      </c>
      <c r="BE313" s="638"/>
      <c r="BF313" s="638"/>
      <c r="BG313" s="635">
        <f t="shared" si="128"/>
        <v>0</v>
      </c>
      <c r="BH313" s="636"/>
      <c r="BI313" s="636"/>
      <c r="BJ313" s="637">
        <f t="shared" si="129"/>
        <v>0</v>
      </c>
      <c r="BK313" s="638"/>
      <c r="BL313" s="638"/>
      <c r="BM313" s="635">
        <f t="shared" si="130"/>
        <v>0</v>
      </c>
      <c r="BN313" s="636"/>
      <c r="BO313" s="636"/>
      <c r="BP313" s="637">
        <f t="shared" si="131"/>
        <v>0</v>
      </c>
      <c r="BQ313" s="638"/>
      <c r="BR313" s="638"/>
      <c r="BS313" s="635">
        <f t="shared" si="132"/>
        <v>0</v>
      </c>
      <c r="BT313" s="636"/>
      <c r="BU313" s="636"/>
      <c r="BV313" s="637">
        <f t="shared" si="133"/>
        <v>0</v>
      </c>
      <c r="BW313" s="638"/>
      <c r="BX313" s="638"/>
      <c r="BY313" s="641">
        <f t="shared" si="134"/>
        <v>0</v>
      </c>
    </row>
    <row r="314" spans="1:77" x14ac:dyDescent="0.2">
      <c r="A314" s="429" t="s">
        <v>109</v>
      </c>
      <c r="B314" s="426" t="s">
        <v>893</v>
      </c>
      <c r="C314" s="427"/>
      <c r="D314" s="428">
        <v>198118</v>
      </c>
      <c r="E314" s="276">
        <v>9</v>
      </c>
      <c r="F314" s="631"/>
      <c r="G314" s="632"/>
      <c r="H314" s="633">
        <f t="shared" si="111"/>
        <v>0</v>
      </c>
      <c r="I314" s="634"/>
      <c r="J314" s="634"/>
      <c r="K314" s="635">
        <f t="shared" si="112"/>
        <v>0</v>
      </c>
      <c r="L314" s="636"/>
      <c r="M314" s="636"/>
      <c r="N314" s="637">
        <f t="shared" si="113"/>
        <v>0</v>
      </c>
      <c r="O314" s="638"/>
      <c r="P314" s="638"/>
      <c r="Q314" s="635">
        <f t="shared" si="114"/>
        <v>0</v>
      </c>
      <c r="R314" s="636"/>
      <c r="S314" s="636"/>
      <c r="T314" s="637">
        <f t="shared" si="115"/>
        <v>0</v>
      </c>
      <c r="U314" s="638"/>
      <c r="V314" s="638"/>
      <c r="W314" s="635">
        <f t="shared" si="116"/>
        <v>0</v>
      </c>
      <c r="X314" s="636"/>
      <c r="Y314" s="636"/>
      <c r="Z314" s="637">
        <f t="shared" si="117"/>
        <v>0</v>
      </c>
      <c r="AA314" s="638"/>
      <c r="AB314" s="638"/>
      <c r="AC314" s="635">
        <f t="shared" si="118"/>
        <v>0</v>
      </c>
      <c r="AD314" s="636"/>
      <c r="AE314" s="636"/>
      <c r="AF314" s="637">
        <f t="shared" si="119"/>
        <v>0</v>
      </c>
      <c r="AG314" s="638"/>
      <c r="AH314" s="638"/>
      <c r="AI314" s="635">
        <f t="shared" si="120"/>
        <v>0</v>
      </c>
      <c r="AJ314" s="636">
        <v>136</v>
      </c>
      <c r="AK314" s="636">
        <v>44230</v>
      </c>
      <c r="AL314" s="637">
        <f t="shared" si="121"/>
        <v>6015280</v>
      </c>
      <c r="AM314" s="638">
        <v>125</v>
      </c>
      <c r="AN314" s="638">
        <v>44096.31</v>
      </c>
      <c r="AO314" s="640">
        <f t="shared" si="122"/>
        <v>5512038.75</v>
      </c>
      <c r="AP314" s="636"/>
      <c r="AQ314" s="636"/>
      <c r="AR314" s="637">
        <f t="shared" si="123"/>
        <v>0</v>
      </c>
      <c r="AS314" s="638"/>
      <c r="AT314" s="638"/>
      <c r="AU314" s="635">
        <f t="shared" si="124"/>
        <v>0</v>
      </c>
      <c r="AV314" s="636"/>
      <c r="AW314" s="636"/>
      <c r="AX314" s="637">
        <f t="shared" si="125"/>
        <v>0</v>
      </c>
      <c r="AY314" s="638"/>
      <c r="AZ314" s="638"/>
      <c r="BA314" s="635">
        <f t="shared" si="126"/>
        <v>0</v>
      </c>
      <c r="BB314" s="636"/>
      <c r="BC314" s="636"/>
      <c r="BD314" s="637">
        <f t="shared" si="127"/>
        <v>0</v>
      </c>
      <c r="BE314" s="638"/>
      <c r="BF314" s="638"/>
      <c r="BG314" s="635">
        <f t="shared" si="128"/>
        <v>0</v>
      </c>
      <c r="BH314" s="636"/>
      <c r="BI314" s="636"/>
      <c r="BJ314" s="637">
        <f t="shared" si="129"/>
        <v>0</v>
      </c>
      <c r="BK314" s="638"/>
      <c r="BL314" s="638"/>
      <c r="BM314" s="635">
        <f t="shared" si="130"/>
        <v>0</v>
      </c>
      <c r="BN314" s="636"/>
      <c r="BO314" s="636"/>
      <c r="BP314" s="637">
        <f t="shared" si="131"/>
        <v>0</v>
      </c>
      <c r="BQ314" s="638"/>
      <c r="BR314" s="638"/>
      <c r="BS314" s="635">
        <f t="shared" si="132"/>
        <v>0</v>
      </c>
      <c r="BT314" s="636"/>
      <c r="BU314" s="636"/>
      <c r="BV314" s="637">
        <f t="shared" si="133"/>
        <v>0</v>
      </c>
      <c r="BW314" s="638"/>
      <c r="BX314" s="638"/>
      <c r="BY314" s="641">
        <f t="shared" si="134"/>
        <v>0</v>
      </c>
    </row>
    <row r="315" spans="1:77" x14ac:dyDescent="0.2">
      <c r="A315" s="429" t="s">
        <v>109</v>
      </c>
      <c r="B315" s="430" t="s">
        <v>894</v>
      </c>
      <c r="C315" s="431"/>
      <c r="D315" s="428">
        <v>198233</v>
      </c>
      <c r="E315" s="276">
        <v>9</v>
      </c>
      <c r="F315" s="631"/>
      <c r="G315" s="632"/>
      <c r="H315" s="633">
        <f t="shared" si="111"/>
        <v>0</v>
      </c>
      <c r="I315" s="634"/>
      <c r="J315" s="634"/>
      <c r="K315" s="635">
        <f t="shared" si="112"/>
        <v>0</v>
      </c>
      <c r="L315" s="636"/>
      <c r="M315" s="636"/>
      <c r="N315" s="637">
        <f t="shared" si="113"/>
        <v>0</v>
      </c>
      <c r="O315" s="638"/>
      <c r="P315" s="638"/>
      <c r="Q315" s="635">
        <f t="shared" si="114"/>
        <v>0</v>
      </c>
      <c r="R315" s="636"/>
      <c r="S315" s="636"/>
      <c r="T315" s="637">
        <f t="shared" si="115"/>
        <v>0</v>
      </c>
      <c r="U315" s="638"/>
      <c r="V315" s="638"/>
      <c r="W315" s="635">
        <f t="shared" si="116"/>
        <v>0</v>
      </c>
      <c r="X315" s="636"/>
      <c r="Y315" s="636"/>
      <c r="Z315" s="637">
        <f t="shared" si="117"/>
        <v>0</v>
      </c>
      <c r="AA315" s="638"/>
      <c r="AB315" s="638"/>
      <c r="AC315" s="635">
        <f t="shared" si="118"/>
        <v>0</v>
      </c>
      <c r="AD315" s="636"/>
      <c r="AE315" s="636"/>
      <c r="AF315" s="637">
        <f t="shared" si="119"/>
        <v>0</v>
      </c>
      <c r="AG315" s="638"/>
      <c r="AH315" s="638"/>
      <c r="AI315" s="635">
        <f t="shared" si="120"/>
        <v>0</v>
      </c>
      <c r="AJ315" s="636">
        <v>153</v>
      </c>
      <c r="AK315" s="636">
        <v>50879</v>
      </c>
      <c r="AL315" s="637">
        <f t="shared" si="121"/>
        <v>7784487</v>
      </c>
      <c r="AM315" s="638">
        <v>132</v>
      </c>
      <c r="AN315" s="638">
        <v>51893.1</v>
      </c>
      <c r="AO315" s="640">
        <f t="shared" si="122"/>
        <v>6849889.2000000002</v>
      </c>
      <c r="AP315" s="636"/>
      <c r="AQ315" s="636"/>
      <c r="AR315" s="637">
        <f t="shared" si="123"/>
        <v>0</v>
      </c>
      <c r="AS315" s="638"/>
      <c r="AT315" s="638"/>
      <c r="AU315" s="635">
        <f t="shared" si="124"/>
        <v>0</v>
      </c>
      <c r="AV315" s="636"/>
      <c r="AW315" s="636"/>
      <c r="AX315" s="637">
        <f t="shared" si="125"/>
        <v>0</v>
      </c>
      <c r="AY315" s="638"/>
      <c r="AZ315" s="638"/>
      <c r="BA315" s="635">
        <f t="shared" si="126"/>
        <v>0</v>
      </c>
      <c r="BB315" s="636"/>
      <c r="BC315" s="636"/>
      <c r="BD315" s="637">
        <f t="shared" si="127"/>
        <v>0</v>
      </c>
      <c r="BE315" s="638"/>
      <c r="BF315" s="638"/>
      <c r="BG315" s="635">
        <f t="shared" si="128"/>
        <v>0</v>
      </c>
      <c r="BH315" s="636"/>
      <c r="BI315" s="636"/>
      <c r="BJ315" s="637">
        <f t="shared" si="129"/>
        <v>0</v>
      </c>
      <c r="BK315" s="638"/>
      <c r="BL315" s="638"/>
      <c r="BM315" s="635">
        <f t="shared" si="130"/>
        <v>0</v>
      </c>
      <c r="BN315" s="636"/>
      <c r="BO315" s="636"/>
      <c r="BP315" s="637">
        <f t="shared" si="131"/>
        <v>0</v>
      </c>
      <c r="BQ315" s="638"/>
      <c r="BR315" s="638"/>
      <c r="BS315" s="635">
        <f t="shared" si="132"/>
        <v>0</v>
      </c>
      <c r="BT315" s="636"/>
      <c r="BU315" s="636"/>
      <c r="BV315" s="637">
        <f t="shared" si="133"/>
        <v>0</v>
      </c>
      <c r="BW315" s="638"/>
      <c r="BX315" s="638"/>
      <c r="BY315" s="641">
        <f t="shared" si="134"/>
        <v>0</v>
      </c>
    </row>
    <row r="316" spans="1:77" x14ac:dyDescent="0.2">
      <c r="A316" s="429" t="s">
        <v>109</v>
      </c>
      <c r="B316" s="430" t="s">
        <v>895</v>
      </c>
      <c r="C316" s="431"/>
      <c r="D316" s="428">
        <v>198251</v>
      </c>
      <c r="E316" s="276">
        <v>9</v>
      </c>
      <c r="F316" s="631"/>
      <c r="G316" s="632"/>
      <c r="H316" s="633">
        <f t="shared" si="111"/>
        <v>0</v>
      </c>
      <c r="I316" s="634"/>
      <c r="J316" s="634"/>
      <c r="K316" s="635">
        <f t="shared" si="112"/>
        <v>0</v>
      </c>
      <c r="L316" s="636"/>
      <c r="M316" s="636"/>
      <c r="N316" s="637">
        <f t="shared" si="113"/>
        <v>0</v>
      </c>
      <c r="O316" s="638"/>
      <c r="P316" s="638"/>
      <c r="Q316" s="635">
        <f t="shared" si="114"/>
        <v>0</v>
      </c>
      <c r="R316" s="636"/>
      <c r="S316" s="636"/>
      <c r="T316" s="637">
        <f t="shared" si="115"/>
        <v>0</v>
      </c>
      <c r="U316" s="638"/>
      <c r="V316" s="638"/>
      <c r="W316" s="635">
        <f t="shared" si="116"/>
        <v>0</v>
      </c>
      <c r="X316" s="636"/>
      <c r="Y316" s="636"/>
      <c r="Z316" s="637">
        <f t="shared" si="117"/>
        <v>0</v>
      </c>
      <c r="AA316" s="638"/>
      <c r="AB316" s="638"/>
      <c r="AC316" s="635">
        <f t="shared" si="118"/>
        <v>0</v>
      </c>
      <c r="AD316" s="636"/>
      <c r="AE316" s="636"/>
      <c r="AF316" s="637">
        <f t="shared" si="119"/>
        <v>0</v>
      </c>
      <c r="AG316" s="638"/>
      <c r="AH316" s="638"/>
      <c r="AI316" s="635">
        <f t="shared" si="120"/>
        <v>0</v>
      </c>
      <c r="AJ316" s="636">
        <v>170</v>
      </c>
      <c r="AK316" s="636">
        <v>40825</v>
      </c>
      <c r="AL316" s="637">
        <f t="shared" si="121"/>
        <v>6940250</v>
      </c>
      <c r="AM316" s="638">
        <v>141</v>
      </c>
      <c r="AN316" s="638">
        <v>41798.430000000008</v>
      </c>
      <c r="AO316" s="640">
        <f t="shared" si="122"/>
        <v>5893578.6300000008</v>
      </c>
      <c r="AP316" s="636"/>
      <c r="AQ316" s="636"/>
      <c r="AR316" s="637">
        <f t="shared" si="123"/>
        <v>0</v>
      </c>
      <c r="AS316" s="638"/>
      <c r="AT316" s="638"/>
      <c r="AU316" s="635">
        <f t="shared" si="124"/>
        <v>0</v>
      </c>
      <c r="AV316" s="636"/>
      <c r="AW316" s="636"/>
      <c r="AX316" s="637">
        <f t="shared" si="125"/>
        <v>0</v>
      </c>
      <c r="AY316" s="638"/>
      <c r="AZ316" s="638"/>
      <c r="BA316" s="635">
        <f t="shared" si="126"/>
        <v>0</v>
      </c>
      <c r="BB316" s="636"/>
      <c r="BC316" s="636"/>
      <c r="BD316" s="637">
        <f t="shared" si="127"/>
        <v>0</v>
      </c>
      <c r="BE316" s="638"/>
      <c r="BF316" s="638"/>
      <c r="BG316" s="635">
        <f t="shared" si="128"/>
        <v>0</v>
      </c>
      <c r="BH316" s="636"/>
      <c r="BI316" s="636"/>
      <c r="BJ316" s="637">
        <f t="shared" si="129"/>
        <v>0</v>
      </c>
      <c r="BK316" s="638"/>
      <c r="BL316" s="638"/>
      <c r="BM316" s="635">
        <f t="shared" si="130"/>
        <v>0</v>
      </c>
      <c r="BN316" s="636"/>
      <c r="BO316" s="636"/>
      <c r="BP316" s="637">
        <f t="shared" si="131"/>
        <v>0</v>
      </c>
      <c r="BQ316" s="638"/>
      <c r="BR316" s="638"/>
      <c r="BS316" s="635">
        <f t="shared" si="132"/>
        <v>0</v>
      </c>
      <c r="BT316" s="636"/>
      <c r="BU316" s="636"/>
      <c r="BV316" s="637">
        <f t="shared" si="133"/>
        <v>0</v>
      </c>
      <c r="BW316" s="638"/>
      <c r="BX316" s="638"/>
      <c r="BY316" s="641">
        <f t="shared" si="134"/>
        <v>0</v>
      </c>
    </row>
    <row r="317" spans="1:77" x14ac:dyDescent="0.2">
      <c r="A317" s="429" t="s">
        <v>109</v>
      </c>
      <c r="B317" s="426" t="s">
        <v>896</v>
      </c>
      <c r="C317" s="427"/>
      <c r="D317" s="428">
        <v>198321</v>
      </c>
      <c r="E317" s="276">
        <v>9</v>
      </c>
      <c r="F317" s="631"/>
      <c r="G317" s="632"/>
      <c r="H317" s="633">
        <f t="shared" si="111"/>
        <v>0</v>
      </c>
      <c r="I317" s="634"/>
      <c r="J317" s="634"/>
      <c r="K317" s="635">
        <f t="shared" si="112"/>
        <v>0</v>
      </c>
      <c r="L317" s="636"/>
      <c r="M317" s="636"/>
      <c r="N317" s="637">
        <f t="shared" si="113"/>
        <v>0</v>
      </c>
      <c r="O317" s="638"/>
      <c r="P317" s="638"/>
      <c r="Q317" s="635">
        <f t="shared" si="114"/>
        <v>0</v>
      </c>
      <c r="R317" s="636"/>
      <c r="S317" s="636"/>
      <c r="T317" s="637">
        <f t="shared" si="115"/>
        <v>0</v>
      </c>
      <c r="U317" s="638"/>
      <c r="V317" s="638"/>
      <c r="W317" s="635">
        <f t="shared" si="116"/>
        <v>0</v>
      </c>
      <c r="X317" s="636"/>
      <c r="Y317" s="636"/>
      <c r="Z317" s="637">
        <f t="shared" si="117"/>
        <v>0</v>
      </c>
      <c r="AA317" s="638"/>
      <c r="AB317" s="638"/>
      <c r="AC317" s="635">
        <f t="shared" si="118"/>
        <v>0</v>
      </c>
      <c r="AD317" s="636"/>
      <c r="AE317" s="636"/>
      <c r="AF317" s="637">
        <f t="shared" si="119"/>
        <v>0</v>
      </c>
      <c r="AG317" s="638"/>
      <c r="AH317" s="638"/>
      <c r="AI317" s="635">
        <f t="shared" si="120"/>
        <v>0</v>
      </c>
      <c r="AJ317" s="636">
        <v>83</v>
      </c>
      <c r="AK317" s="636">
        <v>55442</v>
      </c>
      <c r="AL317" s="637">
        <f t="shared" si="121"/>
        <v>4601686</v>
      </c>
      <c r="AM317" s="638">
        <v>78</v>
      </c>
      <c r="AN317" s="638">
        <v>45780.480000000003</v>
      </c>
      <c r="AO317" s="640">
        <f t="shared" si="122"/>
        <v>3570877.4400000004</v>
      </c>
      <c r="AP317" s="636"/>
      <c r="AQ317" s="636"/>
      <c r="AR317" s="637">
        <f t="shared" si="123"/>
        <v>0</v>
      </c>
      <c r="AS317" s="638"/>
      <c r="AT317" s="638"/>
      <c r="AU317" s="635">
        <f t="shared" si="124"/>
        <v>0</v>
      </c>
      <c r="AV317" s="636"/>
      <c r="AW317" s="636"/>
      <c r="AX317" s="637">
        <f t="shared" si="125"/>
        <v>0</v>
      </c>
      <c r="AY317" s="638"/>
      <c r="AZ317" s="638"/>
      <c r="BA317" s="635">
        <f t="shared" si="126"/>
        <v>0</v>
      </c>
      <c r="BB317" s="636"/>
      <c r="BC317" s="636"/>
      <c r="BD317" s="637">
        <f t="shared" si="127"/>
        <v>0</v>
      </c>
      <c r="BE317" s="638"/>
      <c r="BF317" s="638"/>
      <c r="BG317" s="635">
        <f t="shared" si="128"/>
        <v>0</v>
      </c>
      <c r="BH317" s="636"/>
      <c r="BI317" s="636"/>
      <c r="BJ317" s="637">
        <f t="shared" si="129"/>
        <v>0</v>
      </c>
      <c r="BK317" s="638"/>
      <c r="BL317" s="638"/>
      <c r="BM317" s="635">
        <f t="shared" si="130"/>
        <v>0</v>
      </c>
      <c r="BN317" s="636"/>
      <c r="BO317" s="636"/>
      <c r="BP317" s="637">
        <f t="shared" si="131"/>
        <v>0</v>
      </c>
      <c r="BQ317" s="638"/>
      <c r="BR317" s="638"/>
      <c r="BS317" s="635">
        <f t="shared" si="132"/>
        <v>0</v>
      </c>
      <c r="BT317" s="636"/>
      <c r="BU317" s="636"/>
      <c r="BV317" s="637">
        <f t="shared" si="133"/>
        <v>0</v>
      </c>
      <c r="BW317" s="638"/>
      <c r="BX317" s="638"/>
      <c r="BY317" s="641">
        <f t="shared" si="134"/>
        <v>0</v>
      </c>
    </row>
    <row r="318" spans="1:77" x14ac:dyDescent="0.2">
      <c r="A318" s="429" t="s">
        <v>109</v>
      </c>
      <c r="B318" s="281" t="s">
        <v>897</v>
      </c>
      <c r="C318" s="282"/>
      <c r="D318" s="428">
        <v>198330</v>
      </c>
      <c r="E318" s="276">
        <v>9</v>
      </c>
      <c r="F318" s="631"/>
      <c r="G318" s="632"/>
      <c r="H318" s="633">
        <f t="shared" si="111"/>
        <v>0</v>
      </c>
      <c r="I318" s="634"/>
      <c r="J318" s="634"/>
      <c r="K318" s="635">
        <f t="shared" si="112"/>
        <v>0</v>
      </c>
      <c r="L318" s="636"/>
      <c r="M318" s="636"/>
      <c r="N318" s="637">
        <f t="shared" si="113"/>
        <v>0</v>
      </c>
      <c r="O318" s="638"/>
      <c r="P318" s="638"/>
      <c r="Q318" s="635">
        <f t="shared" si="114"/>
        <v>0</v>
      </c>
      <c r="R318" s="636"/>
      <c r="S318" s="636"/>
      <c r="T318" s="637">
        <f t="shared" si="115"/>
        <v>0</v>
      </c>
      <c r="U318" s="638"/>
      <c r="V318" s="638"/>
      <c r="W318" s="635">
        <f t="shared" si="116"/>
        <v>0</v>
      </c>
      <c r="X318" s="636"/>
      <c r="Y318" s="636"/>
      <c r="Z318" s="637">
        <f t="shared" si="117"/>
        <v>0</v>
      </c>
      <c r="AA318" s="638"/>
      <c r="AB318" s="638"/>
      <c r="AC318" s="635">
        <f t="shared" si="118"/>
        <v>0</v>
      </c>
      <c r="AD318" s="636"/>
      <c r="AE318" s="636"/>
      <c r="AF318" s="637">
        <f t="shared" si="119"/>
        <v>0</v>
      </c>
      <c r="AG318" s="638"/>
      <c r="AH318" s="638"/>
      <c r="AI318" s="635">
        <f t="shared" si="120"/>
        <v>0</v>
      </c>
      <c r="AJ318" s="636">
        <v>141</v>
      </c>
      <c r="AK318" s="636">
        <v>41857</v>
      </c>
      <c r="AL318" s="637">
        <f t="shared" si="121"/>
        <v>5901837</v>
      </c>
      <c r="AM318" s="638">
        <v>131</v>
      </c>
      <c r="AN318" s="638">
        <v>42448.77</v>
      </c>
      <c r="AO318" s="640">
        <f t="shared" si="122"/>
        <v>5560788.8699999992</v>
      </c>
      <c r="AP318" s="636"/>
      <c r="AQ318" s="636"/>
      <c r="AR318" s="637">
        <f t="shared" si="123"/>
        <v>0</v>
      </c>
      <c r="AS318" s="638"/>
      <c r="AT318" s="638"/>
      <c r="AU318" s="635">
        <f t="shared" si="124"/>
        <v>0</v>
      </c>
      <c r="AV318" s="636"/>
      <c r="AW318" s="636"/>
      <c r="AX318" s="637">
        <f t="shared" si="125"/>
        <v>0</v>
      </c>
      <c r="AY318" s="638"/>
      <c r="AZ318" s="638"/>
      <c r="BA318" s="635">
        <f t="shared" si="126"/>
        <v>0</v>
      </c>
      <c r="BB318" s="636"/>
      <c r="BC318" s="636"/>
      <c r="BD318" s="637">
        <f t="shared" si="127"/>
        <v>0</v>
      </c>
      <c r="BE318" s="638"/>
      <c r="BF318" s="638"/>
      <c r="BG318" s="635">
        <f t="shared" si="128"/>
        <v>0</v>
      </c>
      <c r="BH318" s="636"/>
      <c r="BI318" s="636"/>
      <c r="BJ318" s="637">
        <f t="shared" si="129"/>
        <v>0</v>
      </c>
      <c r="BK318" s="638"/>
      <c r="BL318" s="638"/>
      <c r="BM318" s="635">
        <f t="shared" si="130"/>
        <v>0</v>
      </c>
      <c r="BN318" s="636"/>
      <c r="BO318" s="636"/>
      <c r="BP318" s="637">
        <f t="shared" si="131"/>
        <v>0</v>
      </c>
      <c r="BQ318" s="638"/>
      <c r="BR318" s="638"/>
      <c r="BS318" s="635">
        <f t="shared" si="132"/>
        <v>0</v>
      </c>
      <c r="BT318" s="636"/>
      <c r="BU318" s="636"/>
      <c r="BV318" s="637">
        <f t="shared" si="133"/>
        <v>0</v>
      </c>
      <c r="BW318" s="638"/>
      <c r="BX318" s="638"/>
      <c r="BY318" s="641">
        <f t="shared" si="134"/>
        <v>0</v>
      </c>
    </row>
    <row r="319" spans="1:77" x14ac:dyDescent="0.2">
      <c r="A319" s="429" t="s">
        <v>109</v>
      </c>
      <c r="B319" s="426" t="s">
        <v>898</v>
      </c>
      <c r="C319" s="427"/>
      <c r="D319" s="428">
        <v>198367</v>
      </c>
      <c r="E319" s="276">
        <v>9</v>
      </c>
      <c r="F319" s="631"/>
      <c r="G319" s="632"/>
      <c r="H319" s="633">
        <f t="shared" si="111"/>
        <v>0</v>
      </c>
      <c r="I319" s="634"/>
      <c r="J319" s="634"/>
      <c r="K319" s="635">
        <f t="shared" si="112"/>
        <v>0</v>
      </c>
      <c r="L319" s="636"/>
      <c r="M319" s="636"/>
      <c r="N319" s="637">
        <f t="shared" si="113"/>
        <v>0</v>
      </c>
      <c r="O319" s="638"/>
      <c r="P319" s="638"/>
      <c r="Q319" s="635">
        <f t="shared" si="114"/>
        <v>0</v>
      </c>
      <c r="R319" s="636"/>
      <c r="S319" s="636"/>
      <c r="T319" s="637">
        <f t="shared" si="115"/>
        <v>0</v>
      </c>
      <c r="U319" s="638"/>
      <c r="V319" s="638"/>
      <c r="W319" s="635">
        <f t="shared" si="116"/>
        <v>0</v>
      </c>
      <c r="X319" s="636"/>
      <c r="Y319" s="636"/>
      <c r="Z319" s="637">
        <f t="shared" si="117"/>
        <v>0</v>
      </c>
      <c r="AA319" s="638"/>
      <c r="AB319" s="638"/>
      <c r="AC319" s="635">
        <f t="shared" si="118"/>
        <v>0</v>
      </c>
      <c r="AD319" s="636"/>
      <c r="AE319" s="636"/>
      <c r="AF319" s="637">
        <f t="shared" si="119"/>
        <v>0</v>
      </c>
      <c r="AG319" s="638"/>
      <c r="AH319" s="638"/>
      <c r="AI319" s="635">
        <f t="shared" si="120"/>
        <v>0</v>
      </c>
      <c r="AJ319" s="636">
        <v>92</v>
      </c>
      <c r="AK319" s="636">
        <v>51508</v>
      </c>
      <c r="AL319" s="637">
        <f t="shared" si="121"/>
        <v>4738736</v>
      </c>
      <c r="AM319" s="638">
        <v>79</v>
      </c>
      <c r="AN319" s="638">
        <v>51766.83</v>
      </c>
      <c r="AO319" s="640">
        <f t="shared" si="122"/>
        <v>4089579.5700000003</v>
      </c>
      <c r="AP319" s="636"/>
      <c r="AQ319" s="636"/>
      <c r="AR319" s="637">
        <f t="shared" si="123"/>
        <v>0</v>
      </c>
      <c r="AS319" s="638"/>
      <c r="AT319" s="638"/>
      <c r="AU319" s="635">
        <f t="shared" si="124"/>
        <v>0</v>
      </c>
      <c r="AV319" s="636"/>
      <c r="AW319" s="636"/>
      <c r="AX319" s="637">
        <f t="shared" si="125"/>
        <v>0</v>
      </c>
      <c r="AY319" s="638"/>
      <c r="AZ319" s="638"/>
      <c r="BA319" s="635">
        <f t="shared" si="126"/>
        <v>0</v>
      </c>
      <c r="BB319" s="636"/>
      <c r="BC319" s="636"/>
      <c r="BD319" s="637">
        <f t="shared" si="127"/>
        <v>0</v>
      </c>
      <c r="BE319" s="638"/>
      <c r="BF319" s="638"/>
      <c r="BG319" s="635">
        <f t="shared" si="128"/>
        <v>0</v>
      </c>
      <c r="BH319" s="636"/>
      <c r="BI319" s="636"/>
      <c r="BJ319" s="637">
        <f t="shared" si="129"/>
        <v>0</v>
      </c>
      <c r="BK319" s="638"/>
      <c r="BL319" s="638"/>
      <c r="BM319" s="635">
        <f t="shared" si="130"/>
        <v>0</v>
      </c>
      <c r="BN319" s="636"/>
      <c r="BO319" s="636"/>
      <c r="BP319" s="637">
        <f t="shared" si="131"/>
        <v>0</v>
      </c>
      <c r="BQ319" s="638"/>
      <c r="BR319" s="638"/>
      <c r="BS319" s="635">
        <f t="shared" si="132"/>
        <v>0</v>
      </c>
      <c r="BT319" s="636"/>
      <c r="BU319" s="636"/>
      <c r="BV319" s="637">
        <f t="shared" si="133"/>
        <v>0</v>
      </c>
      <c r="BW319" s="638"/>
      <c r="BX319" s="638"/>
      <c r="BY319" s="641">
        <f t="shared" si="134"/>
        <v>0</v>
      </c>
    </row>
    <row r="320" spans="1:77" x14ac:dyDescent="0.2">
      <c r="A320" s="429" t="s">
        <v>109</v>
      </c>
      <c r="B320" s="426" t="s">
        <v>899</v>
      </c>
      <c r="C320" s="427"/>
      <c r="D320" s="428">
        <v>198376</v>
      </c>
      <c r="E320" s="276">
        <v>9</v>
      </c>
      <c r="F320" s="631"/>
      <c r="G320" s="632"/>
      <c r="H320" s="633">
        <f t="shared" si="111"/>
        <v>0</v>
      </c>
      <c r="I320" s="634"/>
      <c r="J320" s="634"/>
      <c r="K320" s="635">
        <f t="shared" si="112"/>
        <v>0</v>
      </c>
      <c r="L320" s="636"/>
      <c r="M320" s="636"/>
      <c r="N320" s="637">
        <f t="shared" si="113"/>
        <v>0</v>
      </c>
      <c r="O320" s="638"/>
      <c r="P320" s="638"/>
      <c r="Q320" s="635">
        <f t="shared" si="114"/>
        <v>0</v>
      </c>
      <c r="R320" s="636"/>
      <c r="S320" s="636"/>
      <c r="T320" s="637">
        <f t="shared" si="115"/>
        <v>0</v>
      </c>
      <c r="U320" s="638"/>
      <c r="V320" s="638"/>
      <c r="W320" s="635">
        <f t="shared" si="116"/>
        <v>0</v>
      </c>
      <c r="X320" s="636"/>
      <c r="Y320" s="636"/>
      <c r="Z320" s="637">
        <f t="shared" si="117"/>
        <v>0</v>
      </c>
      <c r="AA320" s="638"/>
      <c r="AB320" s="638"/>
      <c r="AC320" s="635">
        <f t="shared" si="118"/>
        <v>0</v>
      </c>
      <c r="AD320" s="636"/>
      <c r="AE320" s="636"/>
      <c r="AF320" s="637">
        <f t="shared" si="119"/>
        <v>0</v>
      </c>
      <c r="AG320" s="638"/>
      <c r="AH320" s="638"/>
      <c r="AI320" s="635">
        <f t="shared" si="120"/>
        <v>0</v>
      </c>
      <c r="AJ320" s="636">
        <v>90</v>
      </c>
      <c r="AK320" s="636">
        <v>46692</v>
      </c>
      <c r="AL320" s="637">
        <f t="shared" si="121"/>
        <v>4202280</v>
      </c>
      <c r="AM320" s="638">
        <v>89</v>
      </c>
      <c r="AN320" s="638">
        <v>47006.73</v>
      </c>
      <c r="AO320" s="640">
        <f t="shared" si="122"/>
        <v>4183598.97</v>
      </c>
      <c r="AP320" s="636"/>
      <c r="AQ320" s="636"/>
      <c r="AR320" s="637">
        <f t="shared" si="123"/>
        <v>0</v>
      </c>
      <c r="AS320" s="638"/>
      <c r="AT320" s="638"/>
      <c r="AU320" s="635">
        <f t="shared" si="124"/>
        <v>0</v>
      </c>
      <c r="AV320" s="636"/>
      <c r="AW320" s="636"/>
      <c r="AX320" s="637">
        <f t="shared" si="125"/>
        <v>0</v>
      </c>
      <c r="AY320" s="638"/>
      <c r="AZ320" s="638"/>
      <c r="BA320" s="635">
        <f t="shared" si="126"/>
        <v>0</v>
      </c>
      <c r="BB320" s="636"/>
      <c r="BC320" s="636"/>
      <c r="BD320" s="637">
        <f t="shared" si="127"/>
        <v>0</v>
      </c>
      <c r="BE320" s="638"/>
      <c r="BF320" s="638"/>
      <c r="BG320" s="635">
        <f t="shared" si="128"/>
        <v>0</v>
      </c>
      <c r="BH320" s="636"/>
      <c r="BI320" s="636"/>
      <c r="BJ320" s="637">
        <f t="shared" si="129"/>
        <v>0</v>
      </c>
      <c r="BK320" s="638"/>
      <c r="BL320" s="638"/>
      <c r="BM320" s="635">
        <f t="shared" si="130"/>
        <v>0</v>
      </c>
      <c r="BN320" s="636"/>
      <c r="BO320" s="636"/>
      <c r="BP320" s="637">
        <f t="shared" si="131"/>
        <v>0</v>
      </c>
      <c r="BQ320" s="638"/>
      <c r="BR320" s="638"/>
      <c r="BS320" s="635">
        <f t="shared" si="132"/>
        <v>0</v>
      </c>
      <c r="BT320" s="636"/>
      <c r="BU320" s="636"/>
      <c r="BV320" s="637">
        <f t="shared" si="133"/>
        <v>0</v>
      </c>
      <c r="BW320" s="638"/>
      <c r="BX320" s="638"/>
      <c r="BY320" s="641">
        <f t="shared" si="134"/>
        <v>0</v>
      </c>
    </row>
    <row r="321" spans="1:77" x14ac:dyDescent="0.2">
      <c r="A321" s="432" t="s">
        <v>109</v>
      </c>
      <c r="B321" s="430" t="s">
        <v>900</v>
      </c>
      <c r="C321" s="431"/>
      <c r="D321" s="277">
        <v>198455</v>
      </c>
      <c r="E321" s="276">
        <v>9</v>
      </c>
      <c r="F321" s="631"/>
      <c r="G321" s="632"/>
      <c r="H321" s="633">
        <f t="shared" si="111"/>
        <v>0</v>
      </c>
      <c r="I321" s="634"/>
      <c r="J321" s="634"/>
      <c r="K321" s="635">
        <f t="shared" si="112"/>
        <v>0</v>
      </c>
      <c r="L321" s="636"/>
      <c r="M321" s="636"/>
      <c r="N321" s="637">
        <f t="shared" si="113"/>
        <v>0</v>
      </c>
      <c r="O321" s="638"/>
      <c r="P321" s="638"/>
      <c r="Q321" s="635">
        <f t="shared" si="114"/>
        <v>0</v>
      </c>
      <c r="R321" s="636"/>
      <c r="S321" s="636"/>
      <c r="T321" s="637">
        <f t="shared" si="115"/>
        <v>0</v>
      </c>
      <c r="U321" s="638"/>
      <c r="V321" s="638"/>
      <c r="W321" s="635">
        <f t="shared" si="116"/>
        <v>0</v>
      </c>
      <c r="X321" s="636"/>
      <c r="Y321" s="636"/>
      <c r="Z321" s="637">
        <f t="shared" si="117"/>
        <v>0</v>
      </c>
      <c r="AA321" s="638"/>
      <c r="AB321" s="638"/>
      <c r="AC321" s="635">
        <f t="shared" si="118"/>
        <v>0</v>
      </c>
      <c r="AD321" s="636"/>
      <c r="AE321" s="636"/>
      <c r="AF321" s="637">
        <f t="shared" si="119"/>
        <v>0</v>
      </c>
      <c r="AG321" s="638"/>
      <c r="AH321" s="638"/>
      <c r="AI321" s="635">
        <f t="shared" si="120"/>
        <v>0</v>
      </c>
      <c r="AJ321" s="636">
        <v>163</v>
      </c>
      <c r="AK321" s="636">
        <v>52676</v>
      </c>
      <c r="AL321" s="637">
        <f t="shared" si="121"/>
        <v>8586188</v>
      </c>
      <c r="AM321" s="638">
        <v>149</v>
      </c>
      <c r="AN321" s="638">
        <v>51189.21</v>
      </c>
      <c r="AO321" s="640">
        <f t="shared" si="122"/>
        <v>7627192.29</v>
      </c>
      <c r="AP321" s="636"/>
      <c r="AQ321" s="636"/>
      <c r="AR321" s="637">
        <f t="shared" si="123"/>
        <v>0</v>
      </c>
      <c r="AS321" s="638"/>
      <c r="AT321" s="638"/>
      <c r="AU321" s="635">
        <f t="shared" si="124"/>
        <v>0</v>
      </c>
      <c r="AV321" s="636"/>
      <c r="AW321" s="636"/>
      <c r="AX321" s="637">
        <f t="shared" si="125"/>
        <v>0</v>
      </c>
      <c r="AY321" s="638"/>
      <c r="AZ321" s="638"/>
      <c r="BA321" s="635">
        <f t="shared" si="126"/>
        <v>0</v>
      </c>
      <c r="BB321" s="636"/>
      <c r="BC321" s="636"/>
      <c r="BD321" s="637">
        <f t="shared" si="127"/>
        <v>0</v>
      </c>
      <c r="BE321" s="638"/>
      <c r="BF321" s="638"/>
      <c r="BG321" s="635">
        <f t="shared" si="128"/>
        <v>0</v>
      </c>
      <c r="BH321" s="636"/>
      <c r="BI321" s="636"/>
      <c r="BJ321" s="637">
        <f t="shared" si="129"/>
        <v>0</v>
      </c>
      <c r="BK321" s="638"/>
      <c r="BL321" s="638"/>
      <c r="BM321" s="635">
        <f t="shared" si="130"/>
        <v>0</v>
      </c>
      <c r="BN321" s="636"/>
      <c r="BO321" s="636"/>
      <c r="BP321" s="637">
        <f t="shared" si="131"/>
        <v>0</v>
      </c>
      <c r="BQ321" s="638"/>
      <c r="BR321" s="638"/>
      <c r="BS321" s="635">
        <f t="shared" si="132"/>
        <v>0</v>
      </c>
      <c r="BT321" s="636"/>
      <c r="BU321" s="636"/>
      <c r="BV321" s="637">
        <f t="shared" si="133"/>
        <v>0</v>
      </c>
      <c r="BW321" s="638"/>
      <c r="BX321" s="638"/>
      <c r="BY321" s="641">
        <f t="shared" si="134"/>
        <v>0</v>
      </c>
    </row>
    <row r="322" spans="1:77" x14ac:dyDescent="0.2">
      <c r="A322" s="429" t="s">
        <v>109</v>
      </c>
      <c r="B322" s="426" t="s">
        <v>901</v>
      </c>
      <c r="C322" s="427"/>
      <c r="D322" s="428">
        <v>198491</v>
      </c>
      <c r="E322" s="276">
        <v>9</v>
      </c>
      <c r="F322" s="631"/>
      <c r="G322" s="632"/>
      <c r="H322" s="633">
        <f t="shared" si="111"/>
        <v>0</v>
      </c>
      <c r="I322" s="634"/>
      <c r="J322" s="634"/>
      <c r="K322" s="635">
        <f t="shared" si="112"/>
        <v>0</v>
      </c>
      <c r="L322" s="636"/>
      <c r="M322" s="636"/>
      <c r="N322" s="637">
        <f t="shared" si="113"/>
        <v>0</v>
      </c>
      <c r="O322" s="638"/>
      <c r="P322" s="638"/>
      <c r="Q322" s="635">
        <f t="shared" si="114"/>
        <v>0</v>
      </c>
      <c r="R322" s="636"/>
      <c r="S322" s="636"/>
      <c r="T322" s="637">
        <f t="shared" si="115"/>
        <v>0</v>
      </c>
      <c r="U322" s="638"/>
      <c r="V322" s="638"/>
      <c r="W322" s="635">
        <f t="shared" si="116"/>
        <v>0</v>
      </c>
      <c r="X322" s="636"/>
      <c r="Y322" s="636"/>
      <c r="Z322" s="637">
        <f t="shared" si="117"/>
        <v>0</v>
      </c>
      <c r="AA322" s="638"/>
      <c r="AB322" s="638"/>
      <c r="AC322" s="635">
        <f t="shared" si="118"/>
        <v>0</v>
      </c>
      <c r="AD322" s="636"/>
      <c r="AE322" s="636"/>
      <c r="AF322" s="637">
        <f t="shared" si="119"/>
        <v>0</v>
      </c>
      <c r="AG322" s="638"/>
      <c r="AH322" s="638"/>
      <c r="AI322" s="635">
        <f t="shared" si="120"/>
        <v>0</v>
      </c>
      <c r="AJ322" s="636">
        <v>93</v>
      </c>
      <c r="AK322" s="636">
        <v>44337</v>
      </c>
      <c r="AL322" s="637">
        <f t="shared" si="121"/>
        <v>4123341</v>
      </c>
      <c r="AM322" s="638">
        <v>75</v>
      </c>
      <c r="AN322" s="638">
        <v>45641.97</v>
      </c>
      <c r="AO322" s="640">
        <f t="shared" si="122"/>
        <v>3423147.75</v>
      </c>
      <c r="AP322" s="636"/>
      <c r="AQ322" s="636"/>
      <c r="AR322" s="637">
        <f t="shared" si="123"/>
        <v>0</v>
      </c>
      <c r="AS322" s="638"/>
      <c r="AT322" s="638"/>
      <c r="AU322" s="635">
        <f t="shared" si="124"/>
        <v>0</v>
      </c>
      <c r="AV322" s="636"/>
      <c r="AW322" s="636"/>
      <c r="AX322" s="637">
        <f t="shared" si="125"/>
        <v>0</v>
      </c>
      <c r="AY322" s="638"/>
      <c r="AZ322" s="638"/>
      <c r="BA322" s="635">
        <f t="shared" si="126"/>
        <v>0</v>
      </c>
      <c r="BB322" s="636"/>
      <c r="BC322" s="636"/>
      <c r="BD322" s="637">
        <f t="shared" si="127"/>
        <v>0</v>
      </c>
      <c r="BE322" s="638"/>
      <c r="BF322" s="638"/>
      <c r="BG322" s="635">
        <f t="shared" si="128"/>
        <v>0</v>
      </c>
      <c r="BH322" s="636"/>
      <c r="BI322" s="636"/>
      <c r="BJ322" s="637">
        <f t="shared" si="129"/>
        <v>0</v>
      </c>
      <c r="BK322" s="638"/>
      <c r="BL322" s="638"/>
      <c r="BM322" s="635">
        <f t="shared" si="130"/>
        <v>0</v>
      </c>
      <c r="BN322" s="636"/>
      <c r="BO322" s="636"/>
      <c r="BP322" s="637">
        <f t="shared" si="131"/>
        <v>0</v>
      </c>
      <c r="BQ322" s="638"/>
      <c r="BR322" s="638"/>
      <c r="BS322" s="635">
        <f t="shared" si="132"/>
        <v>0</v>
      </c>
      <c r="BT322" s="636"/>
      <c r="BU322" s="636"/>
      <c r="BV322" s="637">
        <f t="shared" si="133"/>
        <v>0</v>
      </c>
      <c r="BW322" s="638"/>
      <c r="BX322" s="638"/>
      <c r="BY322" s="641">
        <f t="shared" si="134"/>
        <v>0</v>
      </c>
    </row>
    <row r="323" spans="1:77" x14ac:dyDescent="0.2">
      <c r="A323" s="429" t="s">
        <v>109</v>
      </c>
      <c r="B323" s="426" t="s">
        <v>902</v>
      </c>
      <c r="C323" s="431" t="s">
        <v>941</v>
      </c>
      <c r="D323" s="428">
        <v>198668</v>
      </c>
      <c r="E323" s="276">
        <v>9</v>
      </c>
      <c r="F323" s="631"/>
      <c r="G323" s="632"/>
      <c r="H323" s="633">
        <f t="shared" si="111"/>
        <v>0</v>
      </c>
      <c r="I323" s="634"/>
      <c r="J323" s="634"/>
      <c r="K323" s="635">
        <f t="shared" si="112"/>
        <v>0</v>
      </c>
      <c r="L323" s="636"/>
      <c r="M323" s="636"/>
      <c r="N323" s="637">
        <f t="shared" si="113"/>
        <v>0</v>
      </c>
      <c r="O323" s="638"/>
      <c r="P323" s="638"/>
      <c r="Q323" s="635">
        <f t="shared" si="114"/>
        <v>0</v>
      </c>
      <c r="R323" s="636"/>
      <c r="S323" s="636"/>
      <c r="T323" s="637">
        <f t="shared" si="115"/>
        <v>0</v>
      </c>
      <c r="U323" s="638"/>
      <c r="V323" s="638"/>
      <c r="W323" s="635">
        <f t="shared" si="116"/>
        <v>0</v>
      </c>
      <c r="X323" s="636"/>
      <c r="Y323" s="636"/>
      <c r="Z323" s="637">
        <f t="shared" si="117"/>
        <v>0</v>
      </c>
      <c r="AA323" s="638"/>
      <c r="AB323" s="638"/>
      <c r="AC323" s="635">
        <f t="shared" si="118"/>
        <v>0</v>
      </c>
      <c r="AD323" s="636"/>
      <c r="AE323" s="636"/>
      <c r="AF323" s="637">
        <f t="shared" si="119"/>
        <v>0</v>
      </c>
      <c r="AG323" s="638"/>
      <c r="AH323" s="638"/>
      <c r="AI323" s="635">
        <f t="shared" si="120"/>
        <v>0</v>
      </c>
      <c r="AJ323" s="636">
        <v>79</v>
      </c>
      <c r="AK323" s="636">
        <v>47429</v>
      </c>
      <c r="AL323" s="637">
        <f t="shared" si="121"/>
        <v>3746891</v>
      </c>
      <c r="AM323" s="638">
        <v>81</v>
      </c>
      <c r="AN323" s="638">
        <v>46979.1</v>
      </c>
      <c r="AO323" s="640">
        <f t="shared" si="122"/>
        <v>3805307.1</v>
      </c>
      <c r="AP323" s="636"/>
      <c r="AQ323" s="636"/>
      <c r="AR323" s="637">
        <f t="shared" si="123"/>
        <v>0</v>
      </c>
      <c r="AS323" s="638"/>
      <c r="AT323" s="638"/>
      <c r="AU323" s="635">
        <f t="shared" si="124"/>
        <v>0</v>
      </c>
      <c r="AV323" s="636"/>
      <c r="AW323" s="636"/>
      <c r="AX323" s="637">
        <f t="shared" si="125"/>
        <v>0</v>
      </c>
      <c r="AY323" s="638"/>
      <c r="AZ323" s="638"/>
      <c r="BA323" s="635">
        <f t="shared" si="126"/>
        <v>0</v>
      </c>
      <c r="BB323" s="636"/>
      <c r="BC323" s="636"/>
      <c r="BD323" s="637">
        <f t="shared" si="127"/>
        <v>0</v>
      </c>
      <c r="BE323" s="638"/>
      <c r="BF323" s="638"/>
      <c r="BG323" s="635">
        <f t="shared" si="128"/>
        <v>0</v>
      </c>
      <c r="BH323" s="636"/>
      <c r="BI323" s="636"/>
      <c r="BJ323" s="637">
        <f t="shared" si="129"/>
        <v>0</v>
      </c>
      <c r="BK323" s="638"/>
      <c r="BL323" s="638"/>
      <c r="BM323" s="635">
        <f t="shared" si="130"/>
        <v>0</v>
      </c>
      <c r="BN323" s="636"/>
      <c r="BO323" s="636"/>
      <c r="BP323" s="637">
        <f t="shared" si="131"/>
        <v>0</v>
      </c>
      <c r="BQ323" s="638"/>
      <c r="BR323" s="638"/>
      <c r="BS323" s="635">
        <f t="shared" si="132"/>
        <v>0</v>
      </c>
      <c r="BT323" s="636"/>
      <c r="BU323" s="636"/>
      <c r="BV323" s="637">
        <f t="shared" si="133"/>
        <v>0</v>
      </c>
      <c r="BW323" s="638"/>
      <c r="BX323" s="638"/>
      <c r="BY323" s="641">
        <f t="shared" si="134"/>
        <v>0</v>
      </c>
    </row>
    <row r="324" spans="1:77" x14ac:dyDescent="0.2">
      <c r="A324" s="429" t="s">
        <v>109</v>
      </c>
      <c r="B324" s="426" t="s">
        <v>903</v>
      </c>
      <c r="C324" s="427"/>
      <c r="D324" s="428">
        <v>198710</v>
      </c>
      <c r="E324" s="276">
        <v>9</v>
      </c>
      <c r="F324" s="631"/>
      <c r="G324" s="632"/>
      <c r="H324" s="633">
        <f t="shared" si="111"/>
        <v>0</v>
      </c>
      <c r="I324" s="634"/>
      <c r="J324" s="634"/>
      <c r="K324" s="635">
        <f t="shared" si="112"/>
        <v>0</v>
      </c>
      <c r="L324" s="636"/>
      <c r="M324" s="636"/>
      <c r="N324" s="637">
        <f t="shared" si="113"/>
        <v>0</v>
      </c>
      <c r="O324" s="638"/>
      <c r="P324" s="638"/>
      <c r="Q324" s="635">
        <f t="shared" si="114"/>
        <v>0</v>
      </c>
      <c r="R324" s="636"/>
      <c r="S324" s="636"/>
      <c r="T324" s="637">
        <f t="shared" si="115"/>
        <v>0</v>
      </c>
      <c r="U324" s="638"/>
      <c r="V324" s="638"/>
      <c r="W324" s="635">
        <f t="shared" si="116"/>
        <v>0</v>
      </c>
      <c r="X324" s="636"/>
      <c r="Y324" s="636"/>
      <c r="Z324" s="637">
        <f t="shared" si="117"/>
        <v>0</v>
      </c>
      <c r="AA324" s="638"/>
      <c r="AB324" s="638"/>
      <c r="AC324" s="635">
        <f t="shared" si="118"/>
        <v>0</v>
      </c>
      <c r="AD324" s="636"/>
      <c r="AE324" s="636"/>
      <c r="AF324" s="637">
        <f t="shared" si="119"/>
        <v>0</v>
      </c>
      <c r="AG324" s="638"/>
      <c r="AH324" s="638"/>
      <c r="AI324" s="635">
        <f t="shared" si="120"/>
        <v>0</v>
      </c>
      <c r="AJ324" s="636">
        <v>68</v>
      </c>
      <c r="AK324" s="636">
        <v>51838</v>
      </c>
      <c r="AL324" s="637">
        <f t="shared" si="121"/>
        <v>3524984</v>
      </c>
      <c r="AM324" s="638">
        <v>68</v>
      </c>
      <c r="AN324" s="638">
        <v>51261.39</v>
      </c>
      <c r="AO324" s="640">
        <f t="shared" si="122"/>
        <v>3485774.52</v>
      </c>
      <c r="AP324" s="636"/>
      <c r="AQ324" s="636"/>
      <c r="AR324" s="637">
        <f t="shared" si="123"/>
        <v>0</v>
      </c>
      <c r="AS324" s="638"/>
      <c r="AT324" s="638"/>
      <c r="AU324" s="635">
        <f t="shared" si="124"/>
        <v>0</v>
      </c>
      <c r="AV324" s="636"/>
      <c r="AW324" s="636"/>
      <c r="AX324" s="637">
        <f t="shared" si="125"/>
        <v>0</v>
      </c>
      <c r="AY324" s="638"/>
      <c r="AZ324" s="638"/>
      <c r="BA324" s="635">
        <f t="shared" si="126"/>
        <v>0</v>
      </c>
      <c r="BB324" s="636"/>
      <c r="BC324" s="636"/>
      <c r="BD324" s="637">
        <f t="shared" si="127"/>
        <v>0</v>
      </c>
      <c r="BE324" s="638"/>
      <c r="BF324" s="638"/>
      <c r="BG324" s="635">
        <f t="shared" si="128"/>
        <v>0</v>
      </c>
      <c r="BH324" s="636"/>
      <c r="BI324" s="636"/>
      <c r="BJ324" s="637">
        <f t="shared" si="129"/>
        <v>0</v>
      </c>
      <c r="BK324" s="638"/>
      <c r="BL324" s="638"/>
      <c r="BM324" s="635">
        <f t="shared" si="130"/>
        <v>0</v>
      </c>
      <c r="BN324" s="636"/>
      <c r="BO324" s="636"/>
      <c r="BP324" s="637">
        <f t="shared" si="131"/>
        <v>0</v>
      </c>
      <c r="BQ324" s="638"/>
      <c r="BR324" s="638"/>
      <c r="BS324" s="635">
        <f t="shared" si="132"/>
        <v>0</v>
      </c>
      <c r="BT324" s="636"/>
      <c r="BU324" s="636"/>
      <c r="BV324" s="637">
        <f t="shared" si="133"/>
        <v>0</v>
      </c>
      <c r="BW324" s="638"/>
      <c r="BX324" s="638"/>
      <c r="BY324" s="641">
        <f t="shared" si="134"/>
        <v>0</v>
      </c>
    </row>
    <row r="325" spans="1:77" x14ac:dyDescent="0.2">
      <c r="A325" s="429" t="s">
        <v>109</v>
      </c>
      <c r="B325" s="426" t="s">
        <v>904</v>
      </c>
      <c r="C325" s="427"/>
      <c r="D325" s="428">
        <v>198774</v>
      </c>
      <c r="E325" s="276">
        <v>9</v>
      </c>
      <c r="F325" s="631"/>
      <c r="G325" s="632"/>
      <c r="H325" s="633">
        <f t="shared" si="111"/>
        <v>0</v>
      </c>
      <c r="I325" s="634"/>
      <c r="J325" s="634"/>
      <c r="K325" s="635">
        <f t="shared" si="112"/>
        <v>0</v>
      </c>
      <c r="L325" s="636"/>
      <c r="M325" s="636"/>
      <c r="N325" s="637">
        <f t="shared" si="113"/>
        <v>0</v>
      </c>
      <c r="O325" s="638"/>
      <c r="P325" s="638"/>
      <c r="Q325" s="635">
        <f t="shared" si="114"/>
        <v>0</v>
      </c>
      <c r="R325" s="636"/>
      <c r="S325" s="636"/>
      <c r="T325" s="637">
        <f t="shared" si="115"/>
        <v>0</v>
      </c>
      <c r="U325" s="638"/>
      <c r="V325" s="638"/>
      <c r="W325" s="635">
        <f t="shared" si="116"/>
        <v>0</v>
      </c>
      <c r="X325" s="636"/>
      <c r="Y325" s="636"/>
      <c r="Z325" s="637">
        <f t="shared" si="117"/>
        <v>0</v>
      </c>
      <c r="AA325" s="638"/>
      <c r="AB325" s="638"/>
      <c r="AC325" s="635">
        <f t="shared" si="118"/>
        <v>0</v>
      </c>
      <c r="AD325" s="636"/>
      <c r="AE325" s="636"/>
      <c r="AF325" s="637">
        <f t="shared" si="119"/>
        <v>0</v>
      </c>
      <c r="AG325" s="638"/>
      <c r="AH325" s="638"/>
      <c r="AI325" s="635">
        <f t="shared" si="120"/>
        <v>0</v>
      </c>
      <c r="AJ325" s="636">
        <v>127</v>
      </c>
      <c r="AK325" s="636">
        <v>60884</v>
      </c>
      <c r="AL325" s="637">
        <f t="shared" si="121"/>
        <v>7732268</v>
      </c>
      <c r="AM325" s="638">
        <v>110</v>
      </c>
      <c r="AN325" s="638">
        <v>54854.01</v>
      </c>
      <c r="AO325" s="640">
        <f t="shared" si="122"/>
        <v>6033941.1000000006</v>
      </c>
      <c r="AP325" s="636"/>
      <c r="AQ325" s="636"/>
      <c r="AR325" s="637">
        <f t="shared" si="123"/>
        <v>0</v>
      </c>
      <c r="AS325" s="638"/>
      <c r="AT325" s="638"/>
      <c r="AU325" s="635">
        <f t="shared" si="124"/>
        <v>0</v>
      </c>
      <c r="AV325" s="636"/>
      <c r="AW325" s="636"/>
      <c r="AX325" s="637">
        <f t="shared" si="125"/>
        <v>0</v>
      </c>
      <c r="AY325" s="638"/>
      <c r="AZ325" s="638"/>
      <c r="BA325" s="635">
        <f t="shared" si="126"/>
        <v>0</v>
      </c>
      <c r="BB325" s="636"/>
      <c r="BC325" s="636"/>
      <c r="BD325" s="637">
        <f t="shared" si="127"/>
        <v>0</v>
      </c>
      <c r="BE325" s="638"/>
      <c r="BF325" s="638"/>
      <c r="BG325" s="635">
        <f t="shared" si="128"/>
        <v>0</v>
      </c>
      <c r="BH325" s="636"/>
      <c r="BI325" s="636"/>
      <c r="BJ325" s="637">
        <f t="shared" si="129"/>
        <v>0</v>
      </c>
      <c r="BK325" s="638"/>
      <c r="BL325" s="638"/>
      <c r="BM325" s="635">
        <f t="shared" si="130"/>
        <v>0</v>
      </c>
      <c r="BN325" s="636"/>
      <c r="BO325" s="636"/>
      <c r="BP325" s="637">
        <f t="shared" si="131"/>
        <v>0</v>
      </c>
      <c r="BQ325" s="638"/>
      <c r="BR325" s="638"/>
      <c r="BS325" s="635">
        <f t="shared" si="132"/>
        <v>0</v>
      </c>
      <c r="BT325" s="636"/>
      <c r="BU325" s="636"/>
      <c r="BV325" s="637">
        <f t="shared" si="133"/>
        <v>0</v>
      </c>
      <c r="BW325" s="638"/>
      <c r="BX325" s="638"/>
      <c r="BY325" s="641">
        <f t="shared" si="134"/>
        <v>0</v>
      </c>
    </row>
    <row r="326" spans="1:77" x14ac:dyDescent="0.2">
      <c r="A326" s="429" t="s">
        <v>109</v>
      </c>
      <c r="B326" s="426" t="s">
        <v>905</v>
      </c>
      <c r="C326" s="427"/>
      <c r="D326" s="428">
        <v>198817</v>
      </c>
      <c r="E326" s="276">
        <v>9</v>
      </c>
      <c r="F326" s="631"/>
      <c r="G326" s="632"/>
      <c r="H326" s="633">
        <f t="shared" si="111"/>
        <v>0</v>
      </c>
      <c r="I326" s="634"/>
      <c r="J326" s="634"/>
      <c r="K326" s="635">
        <f t="shared" si="112"/>
        <v>0</v>
      </c>
      <c r="L326" s="636"/>
      <c r="M326" s="636"/>
      <c r="N326" s="637">
        <f t="shared" si="113"/>
        <v>0</v>
      </c>
      <c r="O326" s="638"/>
      <c r="P326" s="638"/>
      <c r="Q326" s="635">
        <f t="shared" si="114"/>
        <v>0</v>
      </c>
      <c r="R326" s="636"/>
      <c r="S326" s="636"/>
      <c r="T326" s="637">
        <f t="shared" si="115"/>
        <v>0</v>
      </c>
      <c r="U326" s="638"/>
      <c r="V326" s="638"/>
      <c r="W326" s="635">
        <f t="shared" si="116"/>
        <v>0</v>
      </c>
      <c r="X326" s="636"/>
      <c r="Y326" s="636"/>
      <c r="Z326" s="637">
        <f t="shared" si="117"/>
        <v>0</v>
      </c>
      <c r="AA326" s="638"/>
      <c r="AB326" s="638"/>
      <c r="AC326" s="635">
        <f t="shared" si="118"/>
        <v>0</v>
      </c>
      <c r="AD326" s="636"/>
      <c r="AE326" s="636"/>
      <c r="AF326" s="637">
        <f t="shared" si="119"/>
        <v>0</v>
      </c>
      <c r="AG326" s="638"/>
      <c r="AH326" s="638"/>
      <c r="AI326" s="635">
        <f t="shared" si="120"/>
        <v>0</v>
      </c>
      <c r="AJ326" s="636">
        <v>109</v>
      </c>
      <c r="AK326" s="636">
        <v>44658</v>
      </c>
      <c r="AL326" s="637">
        <f t="shared" si="121"/>
        <v>4867722</v>
      </c>
      <c r="AM326" s="638">
        <v>91</v>
      </c>
      <c r="AN326" s="638">
        <v>44741.430000000008</v>
      </c>
      <c r="AO326" s="640">
        <f t="shared" si="122"/>
        <v>4071470.1300000008</v>
      </c>
      <c r="AP326" s="636"/>
      <c r="AQ326" s="636"/>
      <c r="AR326" s="637">
        <f t="shared" si="123"/>
        <v>0</v>
      </c>
      <c r="AS326" s="638"/>
      <c r="AT326" s="638"/>
      <c r="AU326" s="635">
        <f t="shared" si="124"/>
        <v>0</v>
      </c>
      <c r="AV326" s="636"/>
      <c r="AW326" s="636"/>
      <c r="AX326" s="637">
        <f t="shared" si="125"/>
        <v>0</v>
      </c>
      <c r="AY326" s="638"/>
      <c r="AZ326" s="638"/>
      <c r="BA326" s="635">
        <f t="shared" si="126"/>
        <v>0</v>
      </c>
      <c r="BB326" s="636"/>
      <c r="BC326" s="636"/>
      <c r="BD326" s="637">
        <f t="shared" si="127"/>
        <v>0</v>
      </c>
      <c r="BE326" s="638"/>
      <c r="BF326" s="638"/>
      <c r="BG326" s="635">
        <f t="shared" si="128"/>
        <v>0</v>
      </c>
      <c r="BH326" s="636"/>
      <c r="BI326" s="636"/>
      <c r="BJ326" s="637">
        <f t="shared" si="129"/>
        <v>0</v>
      </c>
      <c r="BK326" s="638"/>
      <c r="BL326" s="638"/>
      <c r="BM326" s="635">
        <f t="shared" si="130"/>
        <v>0</v>
      </c>
      <c r="BN326" s="636"/>
      <c r="BO326" s="636"/>
      <c r="BP326" s="637">
        <f t="shared" si="131"/>
        <v>0</v>
      </c>
      <c r="BQ326" s="638"/>
      <c r="BR326" s="638"/>
      <c r="BS326" s="635">
        <f t="shared" si="132"/>
        <v>0</v>
      </c>
      <c r="BT326" s="636"/>
      <c r="BU326" s="636"/>
      <c r="BV326" s="637">
        <f t="shared" si="133"/>
        <v>0</v>
      </c>
      <c r="BW326" s="638"/>
      <c r="BX326" s="638"/>
      <c r="BY326" s="641">
        <f t="shared" si="134"/>
        <v>0</v>
      </c>
    </row>
    <row r="327" spans="1:77" x14ac:dyDescent="0.2">
      <c r="A327" s="429" t="s">
        <v>109</v>
      </c>
      <c r="B327" s="426" t="s">
        <v>906</v>
      </c>
      <c r="C327" s="427"/>
      <c r="D327" s="428">
        <v>198987</v>
      </c>
      <c r="E327" s="276">
        <v>9</v>
      </c>
      <c r="F327" s="631"/>
      <c r="G327" s="632"/>
      <c r="H327" s="633">
        <f t="shared" si="111"/>
        <v>0</v>
      </c>
      <c r="I327" s="634"/>
      <c r="J327" s="634"/>
      <c r="K327" s="635">
        <f t="shared" si="112"/>
        <v>0</v>
      </c>
      <c r="L327" s="636"/>
      <c r="M327" s="636"/>
      <c r="N327" s="637">
        <f t="shared" si="113"/>
        <v>0</v>
      </c>
      <c r="O327" s="638"/>
      <c r="P327" s="638"/>
      <c r="Q327" s="635">
        <f t="shared" si="114"/>
        <v>0</v>
      </c>
      <c r="R327" s="636"/>
      <c r="S327" s="636"/>
      <c r="T327" s="637">
        <f t="shared" si="115"/>
        <v>0</v>
      </c>
      <c r="U327" s="638"/>
      <c r="V327" s="638"/>
      <c r="W327" s="635">
        <f t="shared" si="116"/>
        <v>0</v>
      </c>
      <c r="X327" s="636"/>
      <c r="Y327" s="636"/>
      <c r="Z327" s="637">
        <f t="shared" si="117"/>
        <v>0</v>
      </c>
      <c r="AA327" s="638"/>
      <c r="AB327" s="638"/>
      <c r="AC327" s="635">
        <f t="shared" si="118"/>
        <v>0</v>
      </c>
      <c r="AD327" s="636"/>
      <c r="AE327" s="636"/>
      <c r="AF327" s="637">
        <f t="shared" si="119"/>
        <v>0</v>
      </c>
      <c r="AG327" s="638"/>
      <c r="AH327" s="638"/>
      <c r="AI327" s="635">
        <f t="shared" si="120"/>
        <v>0</v>
      </c>
      <c r="AJ327" s="636">
        <v>92</v>
      </c>
      <c r="AK327" s="636">
        <v>48179</v>
      </c>
      <c r="AL327" s="637">
        <f t="shared" si="121"/>
        <v>4432468</v>
      </c>
      <c r="AM327" s="638">
        <v>91</v>
      </c>
      <c r="AN327" s="638">
        <v>45955.98</v>
      </c>
      <c r="AO327" s="640">
        <f t="shared" si="122"/>
        <v>4181994.18</v>
      </c>
      <c r="AP327" s="636"/>
      <c r="AQ327" s="636"/>
      <c r="AR327" s="637">
        <f t="shared" si="123"/>
        <v>0</v>
      </c>
      <c r="AS327" s="638"/>
      <c r="AT327" s="638"/>
      <c r="AU327" s="635">
        <f t="shared" si="124"/>
        <v>0</v>
      </c>
      <c r="AV327" s="636"/>
      <c r="AW327" s="636"/>
      <c r="AX327" s="637">
        <f t="shared" si="125"/>
        <v>0</v>
      </c>
      <c r="AY327" s="638"/>
      <c r="AZ327" s="638"/>
      <c r="BA327" s="635">
        <f t="shared" si="126"/>
        <v>0</v>
      </c>
      <c r="BB327" s="636"/>
      <c r="BC327" s="636"/>
      <c r="BD327" s="637">
        <f t="shared" si="127"/>
        <v>0</v>
      </c>
      <c r="BE327" s="638"/>
      <c r="BF327" s="638"/>
      <c r="BG327" s="635">
        <f t="shared" si="128"/>
        <v>0</v>
      </c>
      <c r="BH327" s="636"/>
      <c r="BI327" s="636"/>
      <c r="BJ327" s="637">
        <f t="shared" si="129"/>
        <v>0</v>
      </c>
      <c r="BK327" s="638"/>
      <c r="BL327" s="638"/>
      <c r="BM327" s="635">
        <f t="shared" si="130"/>
        <v>0</v>
      </c>
      <c r="BN327" s="636"/>
      <c r="BO327" s="636"/>
      <c r="BP327" s="637">
        <f t="shared" si="131"/>
        <v>0</v>
      </c>
      <c r="BQ327" s="638"/>
      <c r="BR327" s="638"/>
      <c r="BS327" s="635">
        <f t="shared" si="132"/>
        <v>0</v>
      </c>
      <c r="BT327" s="636"/>
      <c r="BU327" s="636"/>
      <c r="BV327" s="637">
        <f t="shared" si="133"/>
        <v>0</v>
      </c>
      <c r="BW327" s="638"/>
      <c r="BX327" s="638"/>
      <c r="BY327" s="641">
        <f t="shared" si="134"/>
        <v>0</v>
      </c>
    </row>
    <row r="328" spans="1:77" x14ac:dyDescent="0.2">
      <c r="A328" s="429" t="s">
        <v>109</v>
      </c>
      <c r="B328" s="426" t="s">
        <v>907</v>
      </c>
      <c r="C328" s="427"/>
      <c r="D328" s="428">
        <v>199087</v>
      </c>
      <c r="E328" s="276">
        <v>9</v>
      </c>
      <c r="F328" s="631"/>
      <c r="G328" s="632"/>
      <c r="H328" s="633">
        <f t="shared" ref="H328:H391" si="135">F328*G328</f>
        <v>0</v>
      </c>
      <c r="I328" s="634"/>
      <c r="J328" s="634"/>
      <c r="K328" s="635">
        <f t="shared" ref="K328:K391" si="136">I328*J328</f>
        <v>0</v>
      </c>
      <c r="L328" s="636"/>
      <c r="M328" s="636"/>
      <c r="N328" s="637">
        <f t="shared" ref="N328:N391" si="137">L328*M328</f>
        <v>0</v>
      </c>
      <c r="O328" s="638"/>
      <c r="P328" s="638"/>
      <c r="Q328" s="635">
        <f t="shared" ref="Q328:Q391" si="138">O328*P328</f>
        <v>0</v>
      </c>
      <c r="R328" s="636"/>
      <c r="S328" s="636"/>
      <c r="T328" s="637">
        <f t="shared" ref="T328:T391" si="139">R328*S328</f>
        <v>0</v>
      </c>
      <c r="U328" s="638"/>
      <c r="V328" s="638"/>
      <c r="W328" s="635">
        <f t="shared" ref="W328:W391" si="140">U328*V328</f>
        <v>0</v>
      </c>
      <c r="X328" s="636"/>
      <c r="Y328" s="636"/>
      <c r="Z328" s="637">
        <f t="shared" ref="Z328:Z391" si="141">X328*Y328</f>
        <v>0</v>
      </c>
      <c r="AA328" s="638"/>
      <c r="AB328" s="638"/>
      <c r="AC328" s="635">
        <f t="shared" ref="AC328:AC391" si="142">AA328*AB328</f>
        <v>0</v>
      </c>
      <c r="AD328" s="636"/>
      <c r="AE328" s="636"/>
      <c r="AF328" s="637">
        <f t="shared" ref="AF328:AF391" si="143">AD328*AE328</f>
        <v>0</v>
      </c>
      <c r="AG328" s="638"/>
      <c r="AH328" s="638"/>
      <c r="AI328" s="635">
        <f t="shared" ref="AI328:AI391" si="144">AG328*AH328</f>
        <v>0</v>
      </c>
      <c r="AJ328" s="636">
        <v>103</v>
      </c>
      <c r="AK328" s="636">
        <v>44328</v>
      </c>
      <c r="AL328" s="637">
        <f t="shared" ref="AL328:AL391" si="145">AJ328*AK328</f>
        <v>4565784</v>
      </c>
      <c r="AM328" s="638">
        <v>88</v>
      </c>
      <c r="AN328" s="638">
        <v>46585.71</v>
      </c>
      <c r="AO328" s="640">
        <f t="shared" ref="AO328:AO391" si="146">AM328*AN328</f>
        <v>4099542.48</v>
      </c>
      <c r="AP328" s="636"/>
      <c r="AQ328" s="636"/>
      <c r="AR328" s="637">
        <f t="shared" ref="AR328:AR391" si="147">(AP328*AQ328)*0.8182</f>
        <v>0</v>
      </c>
      <c r="AS328" s="638"/>
      <c r="AT328" s="638"/>
      <c r="AU328" s="635">
        <f t="shared" ref="AU328:AU391" si="148">(AS328*AT328)*0.8182</f>
        <v>0</v>
      </c>
      <c r="AV328" s="636"/>
      <c r="AW328" s="636"/>
      <c r="AX328" s="637">
        <f t="shared" ref="AX328:AX391" si="149">(AV328*AW328)*0.8182</f>
        <v>0</v>
      </c>
      <c r="AY328" s="638"/>
      <c r="AZ328" s="638"/>
      <c r="BA328" s="635">
        <f t="shared" ref="BA328:BA391" si="150">(AY328*AZ328)*0.8182</f>
        <v>0</v>
      </c>
      <c r="BB328" s="636"/>
      <c r="BC328" s="636"/>
      <c r="BD328" s="637">
        <f t="shared" ref="BD328:BD391" si="151">(BB328*BC328)*0.8182</f>
        <v>0</v>
      </c>
      <c r="BE328" s="638"/>
      <c r="BF328" s="638"/>
      <c r="BG328" s="635">
        <f t="shared" ref="BG328:BG391" si="152">(BE328*BF328)*0.8182</f>
        <v>0</v>
      </c>
      <c r="BH328" s="636"/>
      <c r="BI328" s="636"/>
      <c r="BJ328" s="637">
        <f t="shared" ref="BJ328:BJ391" si="153">(BH328*BI328)*0.8182</f>
        <v>0</v>
      </c>
      <c r="BK328" s="638"/>
      <c r="BL328" s="638"/>
      <c r="BM328" s="635">
        <f t="shared" ref="BM328:BM391" si="154">(BK328*BL328)*0.8182</f>
        <v>0</v>
      </c>
      <c r="BN328" s="636"/>
      <c r="BO328" s="636"/>
      <c r="BP328" s="637">
        <f t="shared" ref="BP328:BP391" si="155">(BN328*BO328)*0.8182</f>
        <v>0</v>
      </c>
      <c r="BQ328" s="638"/>
      <c r="BR328" s="638"/>
      <c r="BS328" s="635">
        <f t="shared" ref="BS328:BS391" si="156">(BQ328*BR328)*0.8182</f>
        <v>0</v>
      </c>
      <c r="BT328" s="636"/>
      <c r="BU328" s="636"/>
      <c r="BV328" s="637">
        <f t="shared" ref="BV328:BV391" si="157">(BT328*BU328)*0.8182</f>
        <v>0</v>
      </c>
      <c r="BW328" s="638"/>
      <c r="BX328" s="638"/>
      <c r="BY328" s="641">
        <f t="shared" ref="BY328:BY391" si="158">(BW328*BX328)*0.8182</f>
        <v>0</v>
      </c>
    </row>
    <row r="329" spans="1:77" x14ac:dyDescent="0.2">
      <c r="A329" s="429" t="s">
        <v>109</v>
      </c>
      <c r="B329" s="426" t="s">
        <v>908</v>
      </c>
      <c r="C329" s="427"/>
      <c r="D329" s="428">
        <v>199421</v>
      </c>
      <c r="E329" s="276">
        <v>9</v>
      </c>
      <c r="F329" s="631"/>
      <c r="G329" s="632"/>
      <c r="H329" s="633">
        <f t="shared" si="135"/>
        <v>0</v>
      </c>
      <c r="I329" s="634"/>
      <c r="J329" s="634"/>
      <c r="K329" s="635">
        <f t="shared" si="136"/>
        <v>0</v>
      </c>
      <c r="L329" s="636"/>
      <c r="M329" s="636"/>
      <c r="N329" s="637">
        <f t="shared" si="137"/>
        <v>0</v>
      </c>
      <c r="O329" s="638"/>
      <c r="P329" s="638"/>
      <c r="Q329" s="635">
        <f t="shared" si="138"/>
        <v>0</v>
      </c>
      <c r="R329" s="636"/>
      <c r="S329" s="636"/>
      <c r="T329" s="637">
        <f t="shared" si="139"/>
        <v>0</v>
      </c>
      <c r="U329" s="638"/>
      <c r="V329" s="638"/>
      <c r="W329" s="635">
        <f t="shared" si="140"/>
        <v>0</v>
      </c>
      <c r="X329" s="636"/>
      <c r="Y329" s="636"/>
      <c r="Z329" s="637">
        <f t="shared" si="141"/>
        <v>0</v>
      </c>
      <c r="AA329" s="638"/>
      <c r="AB329" s="638"/>
      <c r="AC329" s="635">
        <f t="shared" si="142"/>
        <v>0</v>
      </c>
      <c r="AD329" s="636"/>
      <c r="AE329" s="636"/>
      <c r="AF329" s="637">
        <f t="shared" si="143"/>
        <v>0</v>
      </c>
      <c r="AG329" s="638"/>
      <c r="AH329" s="638"/>
      <c r="AI329" s="635">
        <f t="shared" si="144"/>
        <v>0</v>
      </c>
      <c r="AJ329" s="636">
        <v>89</v>
      </c>
      <c r="AK329" s="636">
        <v>42243</v>
      </c>
      <c r="AL329" s="637">
        <f t="shared" si="145"/>
        <v>3759627</v>
      </c>
      <c r="AM329" s="638">
        <v>84</v>
      </c>
      <c r="AN329" s="638">
        <v>51261.569999999992</v>
      </c>
      <c r="AO329" s="640">
        <f t="shared" si="146"/>
        <v>4305971.879999999</v>
      </c>
      <c r="AP329" s="636"/>
      <c r="AQ329" s="636"/>
      <c r="AR329" s="637">
        <f t="shared" si="147"/>
        <v>0</v>
      </c>
      <c r="AS329" s="638"/>
      <c r="AT329" s="638"/>
      <c r="AU329" s="635">
        <f t="shared" si="148"/>
        <v>0</v>
      </c>
      <c r="AV329" s="636"/>
      <c r="AW329" s="636"/>
      <c r="AX329" s="637">
        <f t="shared" si="149"/>
        <v>0</v>
      </c>
      <c r="AY329" s="638"/>
      <c r="AZ329" s="638"/>
      <c r="BA329" s="635">
        <f t="shared" si="150"/>
        <v>0</v>
      </c>
      <c r="BB329" s="636"/>
      <c r="BC329" s="636"/>
      <c r="BD329" s="637">
        <f t="shared" si="151"/>
        <v>0</v>
      </c>
      <c r="BE329" s="638"/>
      <c r="BF329" s="638"/>
      <c r="BG329" s="635">
        <f t="shared" si="152"/>
        <v>0</v>
      </c>
      <c r="BH329" s="636"/>
      <c r="BI329" s="636"/>
      <c r="BJ329" s="637">
        <f t="shared" si="153"/>
        <v>0</v>
      </c>
      <c r="BK329" s="638"/>
      <c r="BL329" s="638"/>
      <c r="BM329" s="635">
        <f t="shared" si="154"/>
        <v>0</v>
      </c>
      <c r="BN329" s="636"/>
      <c r="BO329" s="636"/>
      <c r="BP329" s="637">
        <f t="shared" si="155"/>
        <v>0</v>
      </c>
      <c r="BQ329" s="638"/>
      <c r="BR329" s="638"/>
      <c r="BS329" s="635">
        <f t="shared" si="156"/>
        <v>0</v>
      </c>
      <c r="BT329" s="636"/>
      <c r="BU329" s="636"/>
      <c r="BV329" s="637">
        <f t="shared" si="157"/>
        <v>0</v>
      </c>
      <c r="BW329" s="638"/>
      <c r="BX329" s="638"/>
      <c r="BY329" s="641">
        <f t="shared" si="158"/>
        <v>0</v>
      </c>
    </row>
    <row r="330" spans="1:77" x14ac:dyDescent="0.2">
      <c r="A330" s="429" t="s">
        <v>109</v>
      </c>
      <c r="B330" s="426" t="s">
        <v>909</v>
      </c>
      <c r="C330" s="427"/>
      <c r="D330" s="428">
        <v>199476</v>
      </c>
      <c r="E330" s="276">
        <v>9</v>
      </c>
      <c r="F330" s="631"/>
      <c r="G330" s="632"/>
      <c r="H330" s="633">
        <f t="shared" si="135"/>
        <v>0</v>
      </c>
      <c r="I330" s="634"/>
      <c r="J330" s="634"/>
      <c r="K330" s="635">
        <f t="shared" si="136"/>
        <v>0</v>
      </c>
      <c r="L330" s="636"/>
      <c r="M330" s="636"/>
      <c r="N330" s="637">
        <f t="shared" si="137"/>
        <v>0</v>
      </c>
      <c r="O330" s="638"/>
      <c r="P330" s="638"/>
      <c r="Q330" s="635">
        <f t="shared" si="138"/>
        <v>0</v>
      </c>
      <c r="R330" s="636"/>
      <c r="S330" s="636"/>
      <c r="T330" s="637">
        <f t="shared" si="139"/>
        <v>0</v>
      </c>
      <c r="U330" s="638"/>
      <c r="V330" s="638"/>
      <c r="W330" s="635">
        <f t="shared" si="140"/>
        <v>0</v>
      </c>
      <c r="X330" s="636"/>
      <c r="Y330" s="636"/>
      <c r="Z330" s="637">
        <f t="shared" si="141"/>
        <v>0</v>
      </c>
      <c r="AA330" s="638"/>
      <c r="AB330" s="638"/>
      <c r="AC330" s="635">
        <f t="shared" si="142"/>
        <v>0</v>
      </c>
      <c r="AD330" s="636"/>
      <c r="AE330" s="636"/>
      <c r="AF330" s="637">
        <f t="shared" si="143"/>
        <v>0</v>
      </c>
      <c r="AG330" s="638"/>
      <c r="AH330" s="638"/>
      <c r="AI330" s="635">
        <f t="shared" si="144"/>
        <v>0</v>
      </c>
      <c r="AJ330" s="636">
        <v>96</v>
      </c>
      <c r="AK330" s="636">
        <v>50206</v>
      </c>
      <c r="AL330" s="637">
        <f t="shared" si="145"/>
        <v>4819776</v>
      </c>
      <c r="AM330" s="638">
        <v>74</v>
      </c>
      <c r="AN330" s="638">
        <v>50021.549999999996</v>
      </c>
      <c r="AO330" s="640">
        <f t="shared" si="146"/>
        <v>3701594.6999999997</v>
      </c>
      <c r="AP330" s="636"/>
      <c r="AQ330" s="636"/>
      <c r="AR330" s="637">
        <f t="shared" si="147"/>
        <v>0</v>
      </c>
      <c r="AS330" s="638"/>
      <c r="AT330" s="638"/>
      <c r="AU330" s="635">
        <f t="shared" si="148"/>
        <v>0</v>
      </c>
      <c r="AV330" s="636"/>
      <c r="AW330" s="636"/>
      <c r="AX330" s="637">
        <f t="shared" si="149"/>
        <v>0</v>
      </c>
      <c r="AY330" s="638"/>
      <c r="AZ330" s="638"/>
      <c r="BA330" s="635">
        <f t="shared" si="150"/>
        <v>0</v>
      </c>
      <c r="BB330" s="636"/>
      <c r="BC330" s="636"/>
      <c r="BD330" s="637">
        <f t="shared" si="151"/>
        <v>0</v>
      </c>
      <c r="BE330" s="638"/>
      <c r="BF330" s="638"/>
      <c r="BG330" s="635">
        <f t="shared" si="152"/>
        <v>0</v>
      </c>
      <c r="BH330" s="636"/>
      <c r="BI330" s="636"/>
      <c r="BJ330" s="637">
        <f t="shared" si="153"/>
        <v>0</v>
      </c>
      <c r="BK330" s="638"/>
      <c r="BL330" s="638"/>
      <c r="BM330" s="635">
        <f t="shared" si="154"/>
        <v>0</v>
      </c>
      <c r="BN330" s="636"/>
      <c r="BO330" s="636"/>
      <c r="BP330" s="637">
        <f t="shared" si="155"/>
        <v>0</v>
      </c>
      <c r="BQ330" s="638"/>
      <c r="BR330" s="638"/>
      <c r="BS330" s="635">
        <f t="shared" si="156"/>
        <v>0</v>
      </c>
      <c r="BT330" s="636"/>
      <c r="BU330" s="636"/>
      <c r="BV330" s="637">
        <f t="shared" si="157"/>
        <v>0</v>
      </c>
      <c r="BW330" s="638"/>
      <c r="BX330" s="638"/>
      <c r="BY330" s="641">
        <f t="shared" si="158"/>
        <v>0</v>
      </c>
    </row>
    <row r="331" spans="1:77" x14ac:dyDescent="0.2">
      <c r="A331" s="429" t="s">
        <v>109</v>
      </c>
      <c r="B331" s="426" t="s">
        <v>910</v>
      </c>
      <c r="C331" s="427"/>
      <c r="D331" s="428">
        <v>199634</v>
      </c>
      <c r="E331" s="276">
        <v>9</v>
      </c>
      <c r="F331" s="631"/>
      <c r="G331" s="632"/>
      <c r="H331" s="633">
        <f t="shared" si="135"/>
        <v>0</v>
      </c>
      <c r="I331" s="634"/>
      <c r="J331" s="634"/>
      <c r="K331" s="635">
        <f t="shared" si="136"/>
        <v>0</v>
      </c>
      <c r="L331" s="636"/>
      <c r="M331" s="636"/>
      <c r="N331" s="637">
        <f t="shared" si="137"/>
        <v>0</v>
      </c>
      <c r="O331" s="638"/>
      <c r="P331" s="638"/>
      <c r="Q331" s="635">
        <f t="shared" si="138"/>
        <v>0</v>
      </c>
      <c r="R331" s="636"/>
      <c r="S331" s="636"/>
      <c r="T331" s="637">
        <f t="shared" si="139"/>
        <v>0</v>
      </c>
      <c r="U331" s="638"/>
      <c r="V331" s="638"/>
      <c r="W331" s="635">
        <f t="shared" si="140"/>
        <v>0</v>
      </c>
      <c r="X331" s="636"/>
      <c r="Y331" s="636"/>
      <c r="Z331" s="637">
        <f t="shared" si="141"/>
        <v>0</v>
      </c>
      <c r="AA331" s="638"/>
      <c r="AB331" s="638"/>
      <c r="AC331" s="635">
        <f t="shared" si="142"/>
        <v>0</v>
      </c>
      <c r="AD331" s="636"/>
      <c r="AE331" s="636"/>
      <c r="AF331" s="637">
        <f t="shared" si="143"/>
        <v>0</v>
      </c>
      <c r="AG331" s="638"/>
      <c r="AH331" s="638"/>
      <c r="AI331" s="635">
        <f t="shared" si="144"/>
        <v>0</v>
      </c>
      <c r="AJ331" s="636">
        <v>145</v>
      </c>
      <c r="AK331" s="636">
        <v>48625</v>
      </c>
      <c r="AL331" s="637">
        <f t="shared" si="145"/>
        <v>7050625</v>
      </c>
      <c r="AM331" s="638">
        <v>116</v>
      </c>
      <c r="AN331" s="638">
        <v>49463.549999999996</v>
      </c>
      <c r="AO331" s="640">
        <f t="shared" si="146"/>
        <v>5737771.7999999998</v>
      </c>
      <c r="AP331" s="636"/>
      <c r="AQ331" s="636"/>
      <c r="AR331" s="637">
        <f t="shared" si="147"/>
        <v>0</v>
      </c>
      <c r="AS331" s="638"/>
      <c r="AT331" s="638"/>
      <c r="AU331" s="635">
        <f t="shared" si="148"/>
        <v>0</v>
      </c>
      <c r="AV331" s="636"/>
      <c r="AW331" s="636"/>
      <c r="AX331" s="637">
        <f t="shared" si="149"/>
        <v>0</v>
      </c>
      <c r="AY331" s="638"/>
      <c r="AZ331" s="638"/>
      <c r="BA331" s="635">
        <f t="shared" si="150"/>
        <v>0</v>
      </c>
      <c r="BB331" s="636"/>
      <c r="BC331" s="636"/>
      <c r="BD331" s="637">
        <f t="shared" si="151"/>
        <v>0</v>
      </c>
      <c r="BE331" s="638"/>
      <c r="BF331" s="638"/>
      <c r="BG331" s="635">
        <f t="shared" si="152"/>
        <v>0</v>
      </c>
      <c r="BH331" s="636"/>
      <c r="BI331" s="636"/>
      <c r="BJ331" s="637">
        <f t="shared" si="153"/>
        <v>0</v>
      </c>
      <c r="BK331" s="638"/>
      <c r="BL331" s="638"/>
      <c r="BM331" s="635">
        <f t="shared" si="154"/>
        <v>0</v>
      </c>
      <c r="BN331" s="636"/>
      <c r="BO331" s="636"/>
      <c r="BP331" s="637">
        <f t="shared" si="155"/>
        <v>0</v>
      </c>
      <c r="BQ331" s="638"/>
      <c r="BR331" s="638"/>
      <c r="BS331" s="635">
        <f t="shared" si="156"/>
        <v>0</v>
      </c>
      <c r="BT331" s="636"/>
      <c r="BU331" s="636"/>
      <c r="BV331" s="637">
        <f t="shared" si="157"/>
        <v>0</v>
      </c>
      <c r="BW331" s="638"/>
      <c r="BX331" s="638"/>
      <c r="BY331" s="641">
        <f t="shared" si="158"/>
        <v>0</v>
      </c>
    </row>
    <row r="332" spans="1:77" x14ac:dyDescent="0.2">
      <c r="A332" s="429" t="s">
        <v>109</v>
      </c>
      <c r="B332" s="426" t="s">
        <v>911</v>
      </c>
      <c r="C332" s="427"/>
      <c r="D332" s="428">
        <v>199740</v>
      </c>
      <c r="E332" s="276">
        <v>9</v>
      </c>
      <c r="F332" s="631"/>
      <c r="G332" s="632"/>
      <c r="H332" s="633">
        <f t="shared" si="135"/>
        <v>0</v>
      </c>
      <c r="I332" s="634"/>
      <c r="J332" s="634"/>
      <c r="K332" s="635">
        <f t="shared" si="136"/>
        <v>0</v>
      </c>
      <c r="L332" s="636"/>
      <c r="M332" s="636"/>
      <c r="N332" s="637">
        <f t="shared" si="137"/>
        <v>0</v>
      </c>
      <c r="O332" s="638"/>
      <c r="P332" s="638"/>
      <c r="Q332" s="635">
        <f t="shared" si="138"/>
        <v>0</v>
      </c>
      <c r="R332" s="636"/>
      <c r="S332" s="636"/>
      <c r="T332" s="637">
        <f t="shared" si="139"/>
        <v>0</v>
      </c>
      <c r="U332" s="638"/>
      <c r="V332" s="638"/>
      <c r="W332" s="635">
        <f t="shared" si="140"/>
        <v>0</v>
      </c>
      <c r="X332" s="636"/>
      <c r="Y332" s="636"/>
      <c r="Z332" s="637">
        <f t="shared" si="141"/>
        <v>0</v>
      </c>
      <c r="AA332" s="638"/>
      <c r="AB332" s="638"/>
      <c r="AC332" s="635">
        <f t="shared" si="142"/>
        <v>0</v>
      </c>
      <c r="AD332" s="636"/>
      <c r="AE332" s="636"/>
      <c r="AF332" s="637">
        <f t="shared" si="143"/>
        <v>0</v>
      </c>
      <c r="AG332" s="638"/>
      <c r="AH332" s="638"/>
      <c r="AI332" s="635">
        <f t="shared" si="144"/>
        <v>0</v>
      </c>
      <c r="AJ332" s="636">
        <v>102</v>
      </c>
      <c r="AK332" s="636">
        <v>43544</v>
      </c>
      <c r="AL332" s="637">
        <f t="shared" si="145"/>
        <v>4441488</v>
      </c>
      <c r="AM332" s="638">
        <v>81</v>
      </c>
      <c r="AN332" s="638">
        <v>44650.799999999996</v>
      </c>
      <c r="AO332" s="640">
        <f t="shared" si="146"/>
        <v>3616714.8</v>
      </c>
      <c r="AP332" s="636"/>
      <c r="AQ332" s="636"/>
      <c r="AR332" s="637">
        <f t="shared" si="147"/>
        <v>0</v>
      </c>
      <c r="AS332" s="638"/>
      <c r="AT332" s="638"/>
      <c r="AU332" s="635">
        <f t="shared" si="148"/>
        <v>0</v>
      </c>
      <c r="AV332" s="636"/>
      <c r="AW332" s="636"/>
      <c r="AX332" s="637">
        <f t="shared" si="149"/>
        <v>0</v>
      </c>
      <c r="AY332" s="638"/>
      <c r="AZ332" s="638"/>
      <c r="BA332" s="635">
        <f t="shared" si="150"/>
        <v>0</v>
      </c>
      <c r="BB332" s="636"/>
      <c r="BC332" s="636"/>
      <c r="BD332" s="637">
        <f t="shared" si="151"/>
        <v>0</v>
      </c>
      <c r="BE332" s="638"/>
      <c r="BF332" s="638"/>
      <c r="BG332" s="635">
        <f t="shared" si="152"/>
        <v>0</v>
      </c>
      <c r="BH332" s="636"/>
      <c r="BI332" s="636"/>
      <c r="BJ332" s="637">
        <f t="shared" si="153"/>
        <v>0</v>
      </c>
      <c r="BK332" s="638"/>
      <c r="BL332" s="638"/>
      <c r="BM332" s="635">
        <f t="shared" si="154"/>
        <v>0</v>
      </c>
      <c r="BN332" s="636"/>
      <c r="BO332" s="636"/>
      <c r="BP332" s="637">
        <f t="shared" si="155"/>
        <v>0</v>
      </c>
      <c r="BQ332" s="638"/>
      <c r="BR332" s="638"/>
      <c r="BS332" s="635">
        <f t="shared" si="156"/>
        <v>0</v>
      </c>
      <c r="BT332" s="636"/>
      <c r="BU332" s="636"/>
      <c r="BV332" s="637">
        <f t="shared" si="157"/>
        <v>0</v>
      </c>
      <c r="BW332" s="638"/>
      <c r="BX332" s="638"/>
      <c r="BY332" s="641">
        <f t="shared" si="158"/>
        <v>0</v>
      </c>
    </row>
    <row r="333" spans="1:77" x14ac:dyDescent="0.2">
      <c r="A333" s="429" t="s">
        <v>109</v>
      </c>
      <c r="B333" s="426" t="s">
        <v>912</v>
      </c>
      <c r="C333" s="427"/>
      <c r="D333" s="428">
        <v>199768</v>
      </c>
      <c r="E333" s="276">
        <v>9</v>
      </c>
      <c r="F333" s="631"/>
      <c r="G333" s="632"/>
      <c r="H333" s="633">
        <f t="shared" si="135"/>
        <v>0</v>
      </c>
      <c r="I333" s="634"/>
      <c r="J333" s="634"/>
      <c r="K333" s="635">
        <f t="shared" si="136"/>
        <v>0</v>
      </c>
      <c r="L333" s="636"/>
      <c r="M333" s="636"/>
      <c r="N333" s="637">
        <f t="shared" si="137"/>
        <v>0</v>
      </c>
      <c r="O333" s="638"/>
      <c r="P333" s="638"/>
      <c r="Q333" s="635">
        <f t="shared" si="138"/>
        <v>0</v>
      </c>
      <c r="R333" s="636"/>
      <c r="S333" s="636"/>
      <c r="T333" s="637">
        <f t="shared" si="139"/>
        <v>0</v>
      </c>
      <c r="U333" s="638"/>
      <c r="V333" s="638"/>
      <c r="W333" s="635">
        <f t="shared" si="140"/>
        <v>0</v>
      </c>
      <c r="X333" s="636"/>
      <c r="Y333" s="636"/>
      <c r="Z333" s="637">
        <f t="shared" si="141"/>
        <v>0</v>
      </c>
      <c r="AA333" s="638"/>
      <c r="AB333" s="638"/>
      <c r="AC333" s="635">
        <f t="shared" si="142"/>
        <v>0</v>
      </c>
      <c r="AD333" s="636"/>
      <c r="AE333" s="636"/>
      <c r="AF333" s="637">
        <f t="shared" si="143"/>
        <v>0</v>
      </c>
      <c r="AG333" s="638"/>
      <c r="AH333" s="638"/>
      <c r="AI333" s="635">
        <f t="shared" si="144"/>
        <v>0</v>
      </c>
      <c r="AJ333" s="636">
        <v>104</v>
      </c>
      <c r="AK333" s="636">
        <v>47175</v>
      </c>
      <c r="AL333" s="637">
        <f t="shared" si="145"/>
        <v>4906200</v>
      </c>
      <c r="AM333" s="638">
        <v>92</v>
      </c>
      <c r="AN333" s="638">
        <v>46465.56</v>
      </c>
      <c r="AO333" s="640">
        <f t="shared" si="146"/>
        <v>4274831.5199999996</v>
      </c>
      <c r="AP333" s="636"/>
      <c r="AQ333" s="636"/>
      <c r="AR333" s="637">
        <f t="shared" si="147"/>
        <v>0</v>
      </c>
      <c r="AS333" s="638"/>
      <c r="AT333" s="638"/>
      <c r="AU333" s="635">
        <f t="shared" si="148"/>
        <v>0</v>
      </c>
      <c r="AV333" s="636"/>
      <c r="AW333" s="636"/>
      <c r="AX333" s="637">
        <f t="shared" si="149"/>
        <v>0</v>
      </c>
      <c r="AY333" s="638"/>
      <c r="AZ333" s="638"/>
      <c r="BA333" s="635">
        <f t="shared" si="150"/>
        <v>0</v>
      </c>
      <c r="BB333" s="636"/>
      <c r="BC333" s="636"/>
      <c r="BD333" s="637">
        <f t="shared" si="151"/>
        <v>0</v>
      </c>
      <c r="BE333" s="638"/>
      <c r="BF333" s="638"/>
      <c r="BG333" s="635">
        <f t="shared" si="152"/>
        <v>0</v>
      </c>
      <c r="BH333" s="636"/>
      <c r="BI333" s="636"/>
      <c r="BJ333" s="637">
        <f t="shared" si="153"/>
        <v>0</v>
      </c>
      <c r="BK333" s="638"/>
      <c r="BL333" s="638"/>
      <c r="BM333" s="635">
        <f t="shared" si="154"/>
        <v>0</v>
      </c>
      <c r="BN333" s="636"/>
      <c r="BO333" s="636"/>
      <c r="BP333" s="637">
        <f t="shared" si="155"/>
        <v>0</v>
      </c>
      <c r="BQ333" s="638"/>
      <c r="BR333" s="638"/>
      <c r="BS333" s="635">
        <f t="shared" si="156"/>
        <v>0</v>
      </c>
      <c r="BT333" s="636"/>
      <c r="BU333" s="636"/>
      <c r="BV333" s="637">
        <f t="shared" si="157"/>
        <v>0</v>
      </c>
      <c r="BW333" s="638"/>
      <c r="BX333" s="638"/>
      <c r="BY333" s="641">
        <f t="shared" si="158"/>
        <v>0</v>
      </c>
    </row>
    <row r="334" spans="1:77" x14ac:dyDescent="0.2">
      <c r="A334" s="429" t="s">
        <v>109</v>
      </c>
      <c r="B334" s="426" t="s">
        <v>913</v>
      </c>
      <c r="C334" s="427"/>
      <c r="D334" s="428">
        <v>199838</v>
      </c>
      <c r="E334" s="276">
        <v>9</v>
      </c>
      <c r="F334" s="631"/>
      <c r="G334" s="632"/>
      <c r="H334" s="633">
        <f t="shared" si="135"/>
        <v>0</v>
      </c>
      <c r="I334" s="634"/>
      <c r="J334" s="634"/>
      <c r="K334" s="635">
        <f t="shared" si="136"/>
        <v>0</v>
      </c>
      <c r="L334" s="636"/>
      <c r="M334" s="636"/>
      <c r="N334" s="637">
        <f t="shared" si="137"/>
        <v>0</v>
      </c>
      <c r="O334" s="638"/>
      <c r="P334" s="638"/>
      <c r="Q334" s="635">
        <f t="shared" si="138"/>
        <v>0</v>
      </c>
      <c r="R334" s="636"/>
      <c r="S334" s="636"/>
      <c r="T334" s="637">
        <f t="shared" si="139"/>
        <v>0</v>
      </c>
      <c r="U334" s="638"/>
      <c r="V334" s="638"/>
      <c r="W334" s="635">
        <f t="shared" si="140"/>
        <v>0</v>
      </c>
      <c r="X334" s="636"/>
      <c r="Y334" s="636"/>
      <c r="Z334" s="637">
        <f t="shared" si="141"/>
        <v>0</v>
      </c>
      <c r="AA334" s="638"/>
      <c r="AB334" s="638"/>
      <c r="AC334" s="635">
        <f t="shared" si="142"/>
        <v>0</v>
      </c>
      <c r="AD334" s="636"/>
      <c r="AE334" s="636"/>
      <c r="AF334" s="637">
        <f t="shared" si="143"/>
        <v>0</v>
      </c>
      <c r="AG334" s="638"/>
      <c r="AH334" s="638"/>
      <c r="AI334" s="635">
        <f t="shared" si="144"/>
        <v>0</v>
      </c>
      <c r="AJ334" s="636">
        <v>137</v>
      </c>
      <c r="AK334" s="636">
        <v>43856</v>
      </c>
      <c r="AL334" s="637">
        <f t="shared" si="145"/>
        <v>6008272</v>
      </c>
      <c r="AM334" s="638">
        <v>114</v>
      </c>
      <c r="AN334" s="638">
        <v>44754.930000000008</v>
      </c>
      <c r="AO334" s="640">
        <f t="shared" si="146"/>
        <v>5102062.0200000005</v>
      </c>
      <c r="AP334" s="636"/>
      <c r="AQ334" s="636"/>
      <c r="AR334" s="637">
        <f t="shared" si="147"/>
        <v>0</v>
      </c>
      <c r="AS334" s="638"/>
      <c r="AT334" s="638"/>
      <c r="AU334" s="635">
        <f t="shared" si="148"/>
        <v>0</v>
      </c>
      <c r="AV334" s="636"/>
      <c r="AW334" s="636"/>
      <c r="AX334" s="637">
        <f t="shared" si="149"/>
        <v>0</v>
      </c>
      <c r="AY334" s="638"/>
      <c r="AZ334" s="638"/>
      <c r="BA334" s="635">
        <f t="shared" si="150"/>
        <v>0</v>
      </c>
      <c r="BB334" s="636"/>
      <c r="BC334" s="636"/>
      <c r="BD334" s="637">
        <f t="shared" si="151"/>
        <v>0</v>
      </c>
      <c r="BE334" s="638"/>
      <c r="BF334" s="638"/>
      <c r="BG334" s="635">
        <f t="shared" si="152"/>
        <v>0</v>
      </c>
      <c r="BH334" s="636"/>
      <c r="BI334" s="636"/>
      <c r="BJ334" s="637">
        <f t="shared" si="153"/>
        <v>0</v>
      </c>
      <c r="BK334" s="638"/>
      <c r="BL334" s="638"/>
      <c r="BM334" s="635">
        <f t="shared" si="154"/>
        <v>0</v>
      </c>
      <c r="BN334" s="636"/>
      <c r="BO334" s="636"/>
      <c r="BP334" s="637">
        <f t="shared" si="155"/>
        <v>0</v>
      </c>
      <c r="BQ334" s="638"/>
      <c r="BR334" s="638"/>
      <c r="BS334" s="635">
        <f t="shared" si="156"/>
        <v>0</v>
      </c>
      <c r="BT334" s="636"/>
      <c r="BU334" s="636"/>
      <c r="BV334" s="637">
        <f t="shared" si="157"/>
        <v>0</v>
      </c>
      <c r="BW334" s="638"/>
      <c r="BX334" s="638"/>
      <c r="BY334" s="641">
        <f t="shared" si="158"/>
        <v>0</v>
      </c>
    </row>
    <row r="335" spans="1:77" x14ac:dyDescent="0.2">
      <c r="A335" s="429" t="s">
        <v>109</v>
      </c>
      <c r="B335" s="426" t="s">
        <v>914</v>
      </c>
      <c r="C335" s="427"/>
      <c r="D335" s="428">
        <v>199892</v>
      </c>
      <c r="E335" s="276">
        <v>9</v>
      </c>
      <c r="F335" s="631"/>
      <c r="G335" s="632"/>
      <c r="H335" s="633">
        <f t="shared" si="135"/>
        <v>0</v>
      </c>
      <c r="I335" s="634"/>
      <c r="J335" s="634"/>
      <c r="K335" s="635">
        <f t="shared" si="136"/>
        <v>0</v>
      </c>
      <c r="L335" s="636"/>
      <c r="M335" s="636"/>
      <c r="N335" s="637">
        <f t="shared" si="137"/>
        <v>0</v>
      </c>
      <c r="O335" s="638"/>
      <c r="P335" s="638"/>
      <c r="Q335" s="635">
        <f t="shared" si="138"/>
        <v>0</v>
      </c>
      <c r="R335" s="636"/>
      <c r="S335" s="636"/>
      <c r="T335" s="637">
        <f t="shared" si="139"/>
        <v>0</v>
      </c>
      <c r="U335" s="638"/>
      <c r="V335" s="638"/>
      <c r="W335" s="635">
        <f t="shared" si="140"/>
        <v>0</v>
      </c>
      <c r="X335" s="636"/>
      <c r="Y335" s="636"/>
      <c r="Z335" s="637">
        <f t="shared" si="141"/>
        <v>0</v>
      </c>
      <c r="AA335" s="638"/>
      <c r="AB335" s="638"/>
      <c r="AC335" s="635">
        <f t="shared" si="142"/>
        <v>0</v>
      </c>
      <c r="AD335" s="636"/>
      <c r="AE335" s="636"/>
      <c r="AF335" s="637">
        <f t="shared" si="143"/>
        <v>0</v>
      </c>
      <c r="AG335" s="638"/>
      <c r="AH335" s="638"/>
      <c r="AI335" s="635">
        <f t="shared" si="144"/>
        <v>0</v>
      </c>
      <c r="AJ335" s="636">
        <v>125</v>
      </c>
      <c r="AK335" s="636">
        <v>44540</v>
      </c>
      <c r="AL335" s="637">
        <f t="shared" si="145"/>
        <v>5567500</v>
      </c>
      <c r="AM335" s="638">
        <v>114</v>
      </c>
      <c r="AN335" s="638">
        <v>44374.409999999996</v>
      </c>
      <c r="AO335" s="640">
        <f t="shared" si="146"/>
        <v>5058682.7399999993</v>
      </c>
      <c r="AP335" s="636"/>
      <c r="AQ335" s="636"/>
      <c r="AR335" s="637">
        <f t="shared" si="147"/>
        <v>0</v>
      </c>
      <c r="AS335" s="638"/>
      <c r="AT335" s="638"/>
      <c r="AU335" s="635">
        <f t="shared" si="148"/>
        <v>0</v>
      </c>
      <c r="AV335" s="636"/>
      <c r="AW335" s="636"/>
      <c r="AX335" s="637">
        <f t="shared" si="149"/>
        <v>0</v>
      </c>
      <c r="AY335" s="638"/>
      <c r="AZ335" s="638"/>
      <c r="BA335" s="635">
        <f t="shared" si="150"/>
        <v>0</v>
      </c>
      <c r="BB335" s="636"/>
      <c r="BC335" s="636"/>
      <c r="BD335" s="637">
        <f t="shared" si="151"/>
        <v>0</v>
      </c>
      <c r="BE335" s="638"/>
      <c r="BF335" s="638"/>
      <c r="BG335" s="635">
        <f t="shared" si="152"/>
        <v>0</v>
      </c>
      <c r="BH335" s="636"/>
      <c r="BI335" s="636"/>
      <c r="BJ335" s="637">
        <f t="shared" si="153"/>
        <v>0</v>
      </c>
      <c r="BK335" s="638"/>
      <c r="BL335" s="638"/>
      <c r="BM335" s="635">
        <f t="shared" si="154"/>
        <v>0</v>
      </c>
      <c r="BN335" s="636"/>
      <c r="BO335" s="636"/>
      <c r="BP335" s="637">
        <f t="shared" si="155"/>
        <v>0</v>
      </c>
      <c r="BQ335" s="638"/>
      <c r="BR335" s="638"/>
      <c r="BS335" s="635">
        <f t="shared" si="156"/>
        <v>0</v>
      </c>
      <c r="BT335" s="636"/>
      <c r="BU335" s="636"/>
      <c r="BV335" s="637">
        <f t="shared" si="157"/>
        <v>0</v>
      </c>
      <c r="BW335" s="638"/>
      <c r="BX335" s="638"/>
      <c r="BY335" s="641">
        <f t="shared" si="158"/>
        <v>0</v>
      </c>
    </row>
    <row r="336" spans="1:77" x14ac:dyDescent="0.2">
      <c r="A336" s="429" t="s">
        <v>109</v>
      </c>
      <c r="B336" s="426" t="s">
        <v>915</v>
      </c>
      <c r="C336" s="427"/>
      <c r="D336" s="428">
        <v>199908</v>
      </c>
      <c r="E336" s="276">
        <v>9</v>
      </c>
      <c r="F336" s="631"/>
      <c r="G336" s="632"/>
      <c r="H336" s="633">
        <f t="shared" si="135"/>
        <v>0</v>
      </c>
      <c r="I336" s="634"/>
      <c r="J336" s="634"/>
      <c r="K336" s="635">
        <f t="shared" si="136"/>
        <v>0</v>
      </c>
      <c r="L336" s="636"/>
      <c r="M336" s="636"/>
      <c r="N336" s="637">
        <f t="shared" si="137"/>
        <v>0</v>
      </c>
      <c r="O336" s="638"/>
      <c r="P336" s="638"/>
      <c r="Q336" s="635">
        <f t="shared" si="138"/>
        <v>0</v>
      </c>
      <c r="R336" s="636"/>
      <c r="S336" s="636"/>
      <c r="T336" s="637">
        <f t="shared" si="139"/>
        <v>0</v>
      </c>
      <c r="U336" s="638"/>
      <c r="V336" s="638"/>
      <c r="W336" s="635">
        <f t="shared" si="140"/>
        <v>0</v>
      </c>
      <c r="X336" s="636"/>
      <c r="Y336" s="636"/>
      <c r="Z336" s="637">
        <f t="shared" si="141"/>
        <v>0</v>
      </c>
      <c r="AA336" s="638"/>
      <c r="AB336" s="638"/>
      <c r="AC336" s="635">
        <f t="shared" si="142"/>
        <v>0</v>
      </c>
      <c r="AD336" s="636"/>
      <c r="AE336" s="636"/>
      <c r="AF336" s="637">
        <f t="shared" si="143"/>
        <v>0</v>
      </c>
      <c r="AG336" s="638"/>
      <c r="AH336" s="638"/>
      <c r="AI336" s="635">
        <f t="shared" si="144"/>
        <v>0</v>
      </c>
      <c r="AJ336" s="636">
        <v>78</v>
      </c>
      <c r="AK336" s="636">
        <v>49442</v>
      </c>
      <c r="AL336" s="637">
        <f t="shared" si="145"/>
        <v>3856476</v>
      </c>
      <c r="AM336" s="638">
        <v>85</v>
      </c>
      <c r="AN336" s="638">
        <v>49030.200000000004</v>
      </c>
      <c r="AO336" s="640">
        <f t="shared" si="146"/>
        <v>4167567.0000000005</v>
      </c>
      <c r="AP336" s="636"/>
      <c r="AQ336" s="636"/>
      <c r="AR336" s="637">
        <f t="shared" si="147"/>
        <v>0</v>
      </c>
      <c r="AS336" s="638"/>
      <c r="AT336" s="638"/>
      <c r="AU336" s="635">
        <f t="shared" si="148"/>
        <v>0</v>
      </c>
      <c r="AV336" s="636"/>
      <c r="AW336" s="636"/>
      <c r="AX336" s="637">
        <f t="shared" si="149"/>
        <v>0</v>
      </c>
      <c r="AY336" s="638"/>
      <c r="AZ336" s="638"/>
      <c r="BA336" s="635">
        <f t="shared" si="150"/>
        <v>0</v>
      </c>
      <c r="BB336" s="636"/>
      <c r="BC336" s="636"/>
      <c r="BD336" s="637">
        <f t="shared" si="151"/>
        <v>0</v>
      </c>
      <c r="BE336" s="638"/>
      <c r="BF336" s="638"/>
      <c r="BG336" s="635">
        <f t="shared" si="152"/>
        <v>0</v>
      </c>
      <c r="BH336" s="636"/>
      <c r="BI336" s="636"/>
      <c r="BJ336" s="637">
        <f t="shared" si="153"/>
        <v>0</v>
      </c>
      <c r="BK336" s="638"/>
      <c r="BL336" s="638"/>
      <c r="BM336" s="635">
        <f t="shared" si="154"/>
        <v>0</v>
      </c>
      <c r="BN336" s="636"/>
      <c r="BO336" s="636"/>
      <c r="BP336" s="637">
        <f t="shared" si="155"/>
        <v>0</v>
      </c>
      <c r="BQ336" s="638"/>
      <c r="BR336" s="638"/>
      <c r="BS336" s="635">
        <f t="shared" si="156"/>
        <v>0</v>
      </c>
      <c r="BT336" s="636"/>
      <c r="BU336" s="636"/>
      <c r="BV336" s="637">
        <f t="shared" si="157"/>
        <v>0</v>
      </c>
      <c r="BW336" s="638"/>
      <c r="BX336" s="638"/>
      <c r="BY336" s="641">
        <f t="shared" si="158"/>
        <v>0</v>
      </c>
    </row>
    <row r="337" spans="1:77" x14ac:dyDescent="0.2">
      <c r="A337" s="429" t="s">
        <v>109</v>
      </c>
      <c r="B337" s="426" t="s">
        <v>916</v>
      </c>
      <c r="C337" s="427"/>
      <c r="D337" s="428">
        <v>199926</v>
      </c>
      <c r="E337" s="276">
        <v>9</v>
      </c>
      <c r="F337" s="631"/>
      <c r="G337" s="632"/>
      <c r="H337" s="633">
        <f t="shared" si="135"/>
        <v>0</v>
      </c>
      <c r="I337" s="634"/>
      <c r="J337" s="634"/>
      <c r="K337" s="635">
        <f t="shared" si="136"/>
        <v>0</v>
      </c>
      <c r="L337" s="636"/>
      <c r="M337" s="636"/>
      <c r="N337" s="637">
        <f t="shared" si="137"/>
        <v>0</v>
      </c>
      <c r="O337" s="638"/>
      <c r="P337" s="638"/>
      <c r="Q337" s="635">
        <f t="shared" si="138"/>
        <v>0</v>
      </c>
      <c r="R337" s="636"/>
      <c r="S337" s="636"/>
      <c r="T337" s="637">
        <f t="shared" si="139"/>
        <v>0</v>
      </c>
      <c r="U337" s="638"/>
      <c r="V337" s="638"/>
      <c r="W337" s="635">
        <f t="shared" si="140"/>
        <v>0</v>
      </c>
      <c r="X337" s="636"/>
      <c r="Y337" s="636"/>
      <c r="Z337" s="637">
        <f t="shared" si="141"/>
        <v>0</v>
      </c>
      <c r="AA337" s="638"/>
      <c r="AB337" s="638"/>
      <c r="AC337" s="635">
        <f t="shared" si="142"/>
        <v>0</v>
      </c>
      <c r="AD337" s="636"/>
      <c r="AE337" s="636"/>
      <c r="AF337" s="637">
        <f t="shared" si="143"/>
        <v>0</v>
      </c>
      <c r="AG337" s="638"/>
      <c r="AH337" s="638"/>
      <c r="AI337" s="635">
        <f t="shared" si="144"/>
        <v>0</v>
      </c>
      <c r="AJ337" s="636">
        <v>84</v>
      </c>
      <c r="AK337" s="636">
        <v>47128</v>
      </c>
      <c r="AL337" s="637">
        <f t="shared" si="145"/>
        <v>3958752</v>
      </c>
      <c r="AM337" s="638">
        <v>78</v>
      </c>
      <c r="AN337" s="638">
        <v>46484.549999999996</v>
      </c>
      <c r="AO337" s="640">
        <f t="shared" si="146"/>
        <v>3625794.8999999994</v>
      </c>
      <c r="AP337" s="636"/>
      <c r="AQ337" s="636"/>
      <c r="AR337" s="637">
        <f t="shared" si="147"/>
        <v>0</v>
      </c>
      <c r="AS337" s="638"/>
      <c r="AT337" s="638"/>
      <c r="AU337" s="635">
        <f t="shared" si="148"/>
        <v>0</v>
      </c>
      <c r="AV337" s="636"/>
      <c r="AW337" s="636"/>
      <c r="AX337" s="637">
        <f t="shared" si="149"/>
        <v>0</v>
      </c>
      <c r="AY337" s="638"/>
      <c r="AZ337" s="638"/>
      <c r="BA337" s="635">
        <f t="shared" si="150"/>
        <v>0</v>
      </c>
      <c r="BB337" s="636"/>
      <c r="BC337" s="636"/>
      <c r="BD337" s="637">
        <f t="shared" si="151"/>
        <v>0</v>
      </c>
      <c r="BE337" s="638"/>
      <c r="BF337" s="638"/>
      <c r="BG337" s="635">
        <f t="shared" si="152"/>
        <v>0</v>
      </c>
      <c r="BH337" s="636"/>
      <c r="BI337" s="636"/>
      <c r="BJ337" s="637">
        <f t="shared" si="153"/>
        <v>0</v>
      </c>
      <c r="BK337" s="638"/>
      <c r="BL337" s="638"/>
      <c r="BM337" s="635">
        <f t="shared" si="154"/>
        <v>0</v>
      </c>
      <c r="BN337" s="636"/>
      <c r="BO337" s="636"/>
      <c r="BP337" s="637">
        <f t="shared" si="155"/>
        <v>0</v>
      </c>
      <c r="BQ337" s="638"/>
      <c r="BR337" s="638"/>
      <c r="BS337" s="635">
        <f t="shared" si="156"/>
        <v>0</v>
      </c>
      <c r="BT337" s="636"/>
      <c r="BU337" s="636"/>
      <c r="BV337" s="637">
        <f t="shared" si="157"/>
        <v>0</v>
      </c>
      <c r="BW337" s="638"/>
      <c r="BX337" s="638"/>
      <c r="BY337" s="641">
        <f t="shared" si="158"/>
        <v>0</v>
      </c>
    </row>
    <row r="338" spans="1:77" x14ac:dyDescent="0.2">
      <c r="A338" s="432" t="s">
        <v>109</v>
      </c>
      <c r="B338" s="426" t="s">
        <v>917</v>
      </c>
      <c r="C338" s="427"/>
      <c r="D338" s="428">
        <v>197966</v>
      </c>
      <c r="E338" s="276">
        <v>10</v>
      </c>
      <c r="F338" s="631"/>
      <c r="G338" s="632"/>
      <c r="H338" s="633">
        <f t="shared" si="135"/>
        <v>0</v>
      </c>
      <c r="I338" s="634"/>
      <c r="J338" s="634"/>
      <c r="K338" s="635">
        <f t="shared" si="136"/>
        <v>0</v>
      </c>
      <c r="L338" s="636"/>
      <c r="M338" s="636"/>
      <c r="N338" s="637">
        <f t="shared" si="137"/>
        <v>0</v>
      </c>
      <c r="O338" s="638"/>
      <c r="P338" s="638"/>
      <c r="Q338" s="635">
        <f t="shared" si="138"/>
        <v>0</v>
      </c>
      <c r="R338" s="636"/>
      <c r="S338" s="636"/>
      <c r="T338" s="637">
        <f t="shared" si="139"/>
        <v>0</v>
      </c>
      <c r="U338" s="638"/>
      <c r="V338" s="638"/>
      <c r="W338" s="635">
        <f t="shared" si="140"/>
        <v>0</v>
      </c>
      <c r="X338" s="636"/>
      <c r="Y338" s="636"/>
      <c r="Z338" s="637">
        <f t="shared" si="141"/>
        <v>0</v>
      </c>
      <c r="AA338" s="638"/>
      <c r="AB338" s="638"/>
      <c r="AC338" s="635">
        <f t="shared" si="142"/>
        <v>0</v>
      </c>
      <c r="AD338" s="636"/>
      <c r="AE338" s="636"/>
      <c r="AF338" s="637">
        <f t="shared" si="143"/>
        <v>0</v>
      </c>
      <c r="AG338" s="638"/>
      <c r="AH338" s="638"/>
      <c r="AI338" s="635">
        <f t="shared" si="144"/>
        <v>0</v>
      </c>
      <c r="AJ338" s="636">
        <v>64</v>
      </c>
      <c r="AK338" s="636">
        <v>45007</v>
      </c>
      <c r="AL338" s="637">
        <f t="shared" si="145"/>
        <v>2880448</v>
      </c>
      <c r="AM338" s="638">
        <v>58</v>
      </c>
      <c r="AN338" s="638">
        <v>45731.79</v>
      </c>
      <c r="AO338" s="640">
        <f t="shared" si="146"/>
        <v>2652443.8199999998</v>
      </c>
      <c r="AP338" s="636"/>
      <c r="AQ338" s="636"/>
      <c r="AR338" s="637">
        <f t="shared" si="147"/>
        <v>0</v>
      </c>
      <c r="AS338" s="638"/>
      <c r="AT338" s="638"/>
      <c r="AU338" s="635">
        <f t="shared" si="148"/>
        <v>0</v>
      </c>
      <c r="AV338" s="636"/>
      <c r="AW338" s="636"/>
      <c r="AX338" s="637">
        <f t="shared" si="149"/>
        <v>0</v>
      </c>
      <c r="AY338" s="638"/>
      <c r="AZ338" s="638"/>
      <c r="BA338" s="635">
        <f t="shared" si="150"/>
        <v>0</v>
      </c>
      <c r="BB338" s="636"/>
      <c r="BC338" s="636"/>
      <c r="BD338" s="637">
        <f t="shared" si="151"/>
        <v>0</v>
      </c>
      <c r="BE338" s="638"/>
      <c r="BF338" s="638"/>
      <c r="BG338" s="635">
        <f t="shared" si="152"/>
        <v>0</v>
      </c>
      <c r="BH338" s="636"/>
      <c r="BI338" s="636"/>
      <c r="BJ338" s="637">
        <f t="shared" si="153"/>
        <v>0</v>
      </c>
      <c r="BK338" s="638"/>
      <c r="BL338" s="638"/>
      <c r="BM338" s="635">
        <f t="shared" si="154"/>
        <v>0</v>
      </c>
      <c r="BN338" s="636"/>
      <c r="BO338" s="636"/>
      <c r="BP338" s="637">
        <f t="shared" si="155"/>
        <v>0</v>
      </c>
      <c r="BQ338" s="638"/>
      <c r="BR338" s="638"/>
      <c r="BS338" s="635">
        <f t="shared" si="156"/>
        <v>0</v>
      </c>
      <c r="BT338" s="636"/>
      <c r="BU338" s="636"/>
      <c r="BV338" s="637">
        <f t="shared" si="157"/>
        <v>0</v>
      </c>
      <c r="BW338" s="638"/>
      <c r="BX338" s="638"/>
      <c r="BY338" s="641">
        <f t="shared" si="158"/>
        <v>0</v>
      </c>
    </row>
    <row r="339" spans="1:77" x14ac:dyDescent="0.2">
      <c r="A339" s="429" t="s">
        <v>109</v>
      </c>
      <c r="B339" s="426" t="s">
        <v>918</v>
      </c>
      <c r="C339" s="427"/>
      <c r="D339" s="428">
        <v>198011</v>
      </c>
      <c r="E339" s="276">
        <v>10</v>
      </c>
      <c r="F339" s="631"/>
      <c r="G339" s="632"/>
      <c r="H339" s="633">
        <f t="shared" si="135"/>
        <v>0</v>
      </c>
      <c r="I339" s="634"/>
      <c r="J339" s="634"/>
      <c r="K339" s="635">
        <f t="shared" si="136"/>
        <v>0</v>
      </c>
      <c r="L339" s="636"/>
      <c r="M339" s="636"/>
      <c r="N339" s="637">
        <f t="shared" si="137"/>
        <v>0</v>
      </c>
      <c r="O339" s="638"/>
      <c r="P339" s="638"/>
      <c r="Q339" s="635">
        <f t="shared" si="138"/>
        <v>0</v>
      </c>
      <c r="R339" s="636"/>
      <c r="S339" s="636"/>
      <c r="T339" s="637">
        <f t="shared" si="139"/>
        <v>0</v>
      </c>
      <c r="U339" s="638"/>
      <c r="V339" s="638"/>
      <c r="W339" s="635">
        <f t="shared" si="140"/>
        <v>0</v>
      </c>
      <c r="X339" s="636"/>
      <c r="Y339" s="636"/>
      <c r="Z339" s="637">
        <f t="shared" si="141"/>
        <v>0</v>
      </c>
      <c r="AA339" s="638"/>
      <c r="AB339" s="638"/>
      <c r="AC339" s="635">
        <f t="shared" si="142"/>
        <v>0</v>
      </c>
      <c r="AD339" s="636"/>
      <c r="AE339" s="636"/>
      <c r="AF339" s="637">
        <f t="shared" si="143"/>
        <v>0</v>
      </c>
      <c r="AG339" s="638"/>
      <c r="AH339" s="638"/>
      <c r="AI339" s="635">
        <f t="shared" si="144"/>
        <v>0</v>
      </c>
      <c r="AJ339" s="636">
        <v>46</v>
      </c>
      <c r="AK339" s="636">
        <v>60218</v>
      </c>
      <c r="AL339" s="637">
        <f t="shared" si="145"/>
        <v>2770028</v>
      </c>
      <c r="AM339" s="638">
        <v>54</v>
      </c>
      <c r="AN339" s="638">
        <v>52377.299999999996</v>
      </c>
      <c r="AO339" s="640">
        <f t="shared" si="146"/>
        <v>2828374.1999999997</v>
      </c>
      <c r="AP339" s="636"/>
      <c r="AQ339" s="636"/>
      <c r="AR339" s="637">
        <f t="shared" si="147"/>
        <v>0</v>
      </c>
      <c r="AS339" s="638"/>
      <c r="AT339" s="638"/>
      <c r="AU339" s="635">
        <f t="shared" si="148"/>
        <v>0</v>
      </c>
      <c r="AV339" s="636"/>
      <c r="AW339" s="636"/>
      <c r="AX339" s="637">
        <f t="shared" si="149"/>
        <v>0</v>
      </c>
      <c r="AY339" s="638"/>
      <c r="AZ339" s="638"/>
      <c r="BA339" s="635">
        <f t="shared" si="150"/>
        <v>0</v>
      </c>
      <c r="BB339" s="636"/>
      <c r="BC339" s="636"/>
      <c r="BD339" s="637">
        <f t="shared" si="151"/>
        <v>0</v>
      </c>
      <c r="BE339" s="638"/>
      <c r="BF339" s="638"/>
      <c r="BG339" s="635">
        <f t="shared" si="152"/>
        <v>0</v>
      </c>
      <c r="BH339" s="636"/>
      <c r="BI339" s="636"/>
      <c r="BJ339" s="637">
        <f t="shared" si="153"/>
        <v>0</v>
      </c>
      <c r="BK339" s="638"/>
      <c r="BL339" s="638"/>
      <c r="BM339" s="635">
        <f t="shared" si="154"/>
        <v>0</v>
      </c>
      <c r="BN339" s="636"/>
      <c r="BO339" s="636"/>
      <c r="BP339" s="637">
        <f t="shared" si="155"/>
        <v>0</v>
      </c>
      <c r="BQ339" s="638"/>
      <c r="BR339" s="638"/>
      <c r="BS339" s="635">
        <f t="shared" si="156"/>
        <v>0</v>
      </c>
      <c r="BT339" s="636"/>
      <c r="BU339" s="636"/>
      <c r="BV339" s="637">
        <f t="shared" si="157"/>
        <v>0</v>
      </c>
      <c r="BW339" s="638"/>
      <c r="BX339" s="638"/>
      <c r="BY339" s="641">
        <f t="shared" si="158"/>
        <v>0</v>
      </c>
    </row>
    <row r="340" spans="1:77" x14ac:dyDescent="0.2">
      <c r="A340" s="429" t="s">
        <v>109</v>
      </c>
      <c r="B340" s="430" t="s">
        <v>919</v>
      </c>
      <c r="C340" s="431"/>
      <c r="D340" s="428">
        <v>198039</v>
      </c>
      <c r="E340" s="276">
        <v>10</v>
      </c>
      <c r="F340" s="631"/>
      <c r="G340" s="632"/>
      <c r="H340" s="633">
        <f t="shared" si="135"/>
        <v>0</v>
      </c>
      <c r="I340" s="634"/>
      <c r="J340" s="634"/>
      <c r="K340" s="635">
        <f t="shared" si="136"/>
        <v>0</v>
      </c>
      <c r="L340" s="636"/>
      <c r="M340" s="636"/>
      <c r="N340" s="637">
        <f t="shared" si="137"/>
        <v>0</v>
      </c>
      <c r="O340" s="638"/>
      <c r="P340" s="638"/>
      <c r="Q340" s="635">
        <f t="shared" si="138"/>
        <v>0</v>
      </c>
      <c r="R340" s="636"/>
      <c r="S340" s="636"/>
      <c r="T340" s="637">
        <f t="shared" si="139"/>
        <v>0</v>
      </c>
      <c r="U340" s="638"/>
      <c r="V340" s="638"/>
      <c r="W340" s="635">
        <f t="shared" si="140"/>
        <v>0</v>
      </c>
      <c r="X340" s="636"/>
      <c r="Y340" s="636"/>
      <c r="Z340" s="637">
        <f t="shared" si="141"/>
        <v>0</v>
      </c>
      <c r="AA340" s="638"/>
      <c r="AB340" s="638"/>
      <c r="AC340" s="635">
        <f t="shared" si="142"/>
        <v>0</v>
      </c>
      <c r="AD340" s="636"/>
      <c r="AE340" s="636"/>
      <c r="AF340" s="637">
        <f t="shared" si="143"/>
        <v>0</v>
      </c>
      <c r="AG340" s="638"/>
      <c r="AH340" s="638"/>
      <c r="AI340" s="635">
        <f t="shared" si="144"/>
        <v>0</v>
      </c>
      <c r="AJ340" s="636">
        <v>72</v>
      </c>
      <c r="AK340" s="636">
        <v>41806</v>
      </c>
      <c r="AL340" s="637">
        <f t="shared" si="145"/>
        <v>3010032</v>
      </c>
      <c r="AM340" s="638">
        <v>63</v>
      </c>
      <c r="AN340" s="638">
        <v>44680.409999999996</v>
      </c>
      <c r="AO340" s="640">
        <f t="shared" si="146"/>
        <v>2814865.8299999996</v>
      </c>
      <c r="AP340" s="636"/>
      <c r="AQ340" s="636"/>
      <c r="AR340" s="637">
        <f t="shared" si="147"/>
        <v>0</v>
      </c>
      <c r="AS340" s="638"/>
      <c r="AT340" s="638"/>
      <c r="AU340" s="635">
        <f t="shared" si="148"/>
        <v>0</v>
      </c>
      <c r="AV340" s="636"/>
      <c r="AW340" s="636"/>
      <c r="AX340" s="637">
        <f t="shared" si="149"/>
        <v>0</v>
      </c>
      <c r="AY340" s="638"/>
      <c r="AZ340" s="638"/>
      <c r="BA340" s="635">
        <f t="shared" si="150"/>
        <v>0</v>
      </c>
      <c r="BB340" s="636"/>
      <c r="BC340" s="636"/>
      <c r="BD340" s="637">
        <f t="shared" si="151"/>
        <v>0</v>
      </c>
      <c r="BE340" s="638"/>
      <c r="BF340" s="638"/>
      <c r="BG340" s="635">
        <f t="shared" si="152"/>
        <v>0</v>
      </c>
      <c r="BH340" s="636"/>
      <c r="BI340" s="636"/>
      <c r="BJ340" s="637">
        <f t="shared" si="153"/>
        <v>0</v>
      </c>
      <c r="BK340" s="638"/>
      <c r="BL340" s="638"/>
      <c r="BM340" s="635">
        <f t="shared" si="154"/>
        <v>0</v>
      </c>
      <c r="BN340" s="636"/>
      <c r="BO340" s="636"/>
      <c r="BP340" s="637">
        <f t="shared" si="155"/>
        <v>0</v>
      </c>
      <c r="BQ340" s="638"/>
      <c r="BR340" s="638"/>
      <c r="BS340" s="635">
        <f t="shared" si="156"/>
        <v>0</v>
      </c>
      <c r="BT340" s="636"/>
      <c r="BU340" s="636"/>
      <c r="BV340" s="637">
        <f t="shared" si="157"/>
        <v>0</v>
      </c>
      <c r="BW340" s="638"/>
      <c r="BX340" s="638"/>
      <c r="BY340" s="641">
        <f t="shared" si="158"/>
        <v>0</v>
      </c>
    </row>
    <row r="341" spans="1:77" x14ac:dyDescent="0.2">
      <c r="A341" s="429" t="s">
        <v>109</v>
      </c>
      <c r="B341" s="426" t="s">
        <v>920</v>
      </c>
      <c r="C341" s="427"/>
      <c r="D341" s="428">
        <v>198084</v>
      </c>
      <c r="E341" s="276">
        <v>10</v>
      </c>
      <c r="F341" s="631"/>
      <c r="G341" s="632"/>
      <c r="H341" s="633">
        <f t="shared" si="135"/>
        <v>0</v>
      </c>
      <c r="I341" s="634"/>
      <c r="J341" s="634"/>
      <c r="K341" s="635">
        <f t="shared" si="136"/>
        <v>0</v>
      </c>
      <c r="L341" s="636"/>
      <c r="M341" s="636"/>
      <c r="N341" s="637">
        <f t="shared" si="137"/>
        <v>0</v>
      </c>
      <c r="O341" s="638"/>
      <c r="P341" s="638"/>
      <c r="Q341" s="635">
        <f t="shared" si="138"/>
        <v>0</v>
      </c>
      <c r="R341" s="636"/>
      <c r="S341" s="636"/>
      <c r="T341" s="637">
        <f t="shared" si="139"/>
        <v>0</v>
      </c>
      <c r="U341" s="638"/>
      <c r="V341" s="638"/>
      <c r="W341" s="635">
        <f t="shared" si="140"/>
        <v>0</v>
      </c>
      <c r="X341" s="636"/>
      <c r="Y341" s="636"/>
      <c r="Z341" s="637">
        <f t="shared" si="141"/>
        <v>0</v>
      </c>
      <c r="AA341" s="638"/>
      <c r="AB341" s="638"/>
      <c r="AC341" s="635">
        <f t="shared" si="142"/>
        <v>0</v>
      </c>
      <c r="AD341" s="636"/>
      <c r="AE341" s="636"/>
      <c r="AF341" s="637">
        <f t="shared" si="143"/>
        <v>0</v>
      </c>
      <c r="AG341" s="638"/>
      <c r="AH341" s="638"/>
      <c r="AI341" s="635">
        <f t="shared" si="144"/>
        <v>0</v>
      </c>
      <c r="AJ341" s="636">
        <v>53</v>
      </c>
      <c r="AK341" s="636">
        <v>35325</v>
      </c>
      <c r="AL341" s="637">
        <f t="shared" si="145"/>
        <v>1872225</v>
      </c>
      <c r="AM341" s="638">
        <v>43</v>
      </c>
      <c r="AN341" s="638">
        <v>43658.19</v>
      </c>
      <c r="AO341" s="640">
        <f t="shared" si="146"/>
        <v>1877302.1700000002</v>
      </c>
      <c r="AP341" s="636"/>
      <c r="AQ341" s="636"/>
      <c r="AR341" s="637">
        <f t="shared" si="147"/>
        <v>0</v>
      </c>
      <c r="AS341" s="638"/>
      <c r="AT341" s="638"/>
      <c r="AU341" s="635">
        <f t="shared" si="148"/>
        <v>0</v>
      </c>
      <c r="AV341" s="636"/>
      <c r="AW341" s="636"/>
      <c r="AX341" s="637">
        <f t="shared" si="149"/>
        <v>0</v>
      </c>
      <c r="AY341" s="638"/>
      <c r="AZ341" s="638"/>
      <c r="BA341" s="635">
        <f t="shared" si="150"/>
        <v>0</v>
      </c>
      <c r="BB341" s="636"/>
      <c r="BC341" s="636"/>
      <c r="BD341" s="637">
        <f t="shared" si="151"/>
        <v>0</v>
      </c>
      <c r="BE341" s="638"/>
      <c r="BF341" s="638"/>
      <c r="BG341" s="635">
        <f t="shared" si="152"/>
        <v>0</v>
      </c>
      <c r="BH341" s="636"/>
      <c r="BI341" s="636"/>
      <c r="BJ341" s="637">
        <f t="shared" si="153"/>
        <v>0</v>
      </c>
      <c r="BK341" s="638"/>
      <c r="BL341" s="638"/>
      <c r="BM341" s="635">
        <f t="shared" si="154"/>
        <v>0</v>
      </c>
      <c r="BN341" s="636"/>
      <c r="BO341" s="636"/>
      <c r="BP341" s="637">
        <f t="shared" si="155"/>
        <v>0</v>
      </c>
      <c r="BQ341" s="638"/>
      <c r="BR341" s="638"/>
      <c r="BS341" s="635">
        <f t="shared" si="156"/>
        <v>0</v>
      </c>
      <c r="BT341" s="636"/>
      <c r="BU341" s="636"/>
      <c r="BV341" s="637">
        <f t="shared" si="157"/>
        <v>0</v>
      </c>
      <c r="BW341" s="638"/>
      <c r="BX341" s="638"/>
      <c r="BY341" s="641">
        <f t="shared" si="158"/>
        <v>0</v>
      </c>
    </row>
    <row r="342" spans="1:77" x14ac:dyDescent="0.2">
      <c r="A342" s="429" t="s">
        <v>109</v>
      </c>
      <c r="B342" s="426" t="s">
        <v>921</v>
      </c>
      <c r="C342" s="427"/>
      <c r="D342" s="428">
        <v>198206</v>
      </c>
      <c r="E342" s="276">
        <v>10</v>
      </c>
      <c r="F342" s="631"/>
      <c r="G342" s="632"/>
      <c r="H342" s="633">
        <f t="shared" si="135"/>
        <v>0</v>
      </c>
      <c r="I342" s="634"/>
      <c r="J342" s="634"/>
      <c r="K342" s="635">
        <f t="shared" si="136"/>
        <v>0</v>
      </c>
      <c r="L342" s="636"/>
      <c r="M342" s="636"/>
      <c r="N342" s="637">
        <f t="shared" si="137"/>
        <v>0</v>
      </c>
      <c r="O342" s="638"/>
      <c r="P342" s="638"/>
      <c r="Q342" s="635">
        <f t="shared" si="138"/>
        <v>0</v>
      </c>
      <c r="R342" s="636"/>
      <c r="S342" s="636"/>
      <c r="T342" s="637">
        <f t="shared" si="139"/>
        <v>0</v>
      </c>
      <c r="U342" s="638"/>
      <c r="V342" s="638"/>
      <c r="W342" s="635">
        <f t="shared" si="140"/>
        <v>0</v>
      </c>
      <c r="X342" s="636"/>
      <c r="Y342" s="636"/>
      <c r="Z342" s="637">
        <f t="shared" si="141"/>
        <v>0</v>
      </c>
      <c r="AA342" s="638"/>
      <c r="AB342" s="638"/>
      <c r="AC342" s="635">
        <f t="shared" si="142"/>
        <v>0</v>
      </c>
      <c r="AD342" s="636"/>
      <c r="AE342" s="636"/>
      <c r="AF342" s="637">
        <f t="shared" si="143"/>
        <v>0</v>
      </c>
      <c r="AG342" s="638"/>
      <c r="AH342" s="638"/>
      <c r="AI342" s="635">
        <f t="shared" si="144"/>
        <v>0</v>
      </c>
      <c r="AJ342" s="636">
        <v>60</v>
      </c>
      <c r="AK342" s="636">
        <v>44773</v>
      </c>
      <c r="AL342" s="637">
        <f t="shared" si="145"/>
        <v>2686380</v>
      </c>
      <c r="AM342" s="638">
        <v>58</v>
      </c>
      <c r="AN342" s="638">
        <v>45726.39</v>
      </c>
      <c r="AO342" s="640">
        <f t="shared" si="146"/>
        <v>2652130.62</v>
      </c>
      <c r="AP342" s="636"/>
      <c r="AQ342" s="636"/>
      <c r="AR342" s="637">
        <f t="shared" si="147"/>
        <v>0</v>
      </c>
      <c r="AS342" s="638"/>
      <c r="AT342" s="638"/>
      <c r="AU342" s="635">
        <f t="shared" si="148"/>
        <v>0</v>
      </c>
      <c r="AV342" s="636"/>
      <c r="AW342" s="636"/>
      <c r="AX342" s="637">
        <f t="shared" si="149"/>
        <v>0</v>
      </c>
      <c r="AY342" s="638"/>
      <c r="AZ342" s="638"/>
      <c r="BA342" s="635">
        <f t="shared" si="150"/>
        <v>0</v>
      </c>
      <c r="BB342" s="636"/>
      <c r="BC342" s="636"/>
      <c r="BD342" s="637">
        <f t="shared" si="151"/>
        <v>0</v>
      </c>
      <c r="BE342" s="638"/>
      <c r="BF342" s="638"/>
      <c r="BG342" s="635">
        <f t="shared" si="152"/>
        <v>0</v>
      </c>
      <c r="BH342" s="636"/>
      <c r="BI342" s="636"/>
      <c r="BJ342" s="637">
        <f t="shared" si="153"/>
        <v>0</v>
      </c>
      <c r="BK342" s="638"/>
      <c r="BL342" s="638"/>
      <c r="BM342" s="635">
        <f t="shared" si="154"/>
        <v>0</v>
      </c>
      <c r="BN342" s="636"/>
      <c r="BO342" s="636"/>
      <c r="BP342" s="637">
        <f t="shared" si="155"/>
        <v>0</v>
      </c>
      <c r="BQ342" s="638"/>
      <c r="BR342" s="638"/>
      <c r="BS342" s="635">
        <f t="shared" si="156"/>
        <v>0</v>
      </c>
      <c r="BT342" s="636"/>
      <c r="BU342" s="636"/>
      <c r="BV342" s="637">
        <f t="shared" si="157"/>
        <v>0</v>
      </c>
      <c r="BW342" s="638"/>
      <c r="BX342" s="638"/>
      <c r="BY342" s="641">
        <f t="shared" si="158"/>
        <v>0</v>
      </c>
    </row>
    <row r="343" spans="1:77" x14ac:dyDescent="0.2">
      <c r="A343" s="429" t="s">
        <v>109</v>
      </c>
      <c r="B343" s="430" t="s">
        <v>922</v>
      </c>
      <c r="C343" s="431"/>
      <c r="D343" s="428">
        <v>197814</v>
      </c>
      <c r="E343" s="276">
        <v>10</v>
      </c>
      <c r="F343" s="631"/>
      <c r="G343" s="632"/>
      <c r="H343" s="633">
        <f t="shared" si="135"/>
        <v>0</v>
      </c>
      <c r="I343" s="634"/>
      <c r="J343" s="634"/>
      <c r="K343" s="635">
        <f t="shared" si="136"/>
        <v>0</v>
      </c>
      <c r="L343" s="636"/>
      <c r="M343" s="636"/>
      <c r="N343" s="637">
        <f t="shared" si="137"/>
        <v>0</v>
      </c>
      <c r="O343" s="638"/>
      <c r="P343" s="638"/>
      <c r="Q343" s="635">
        <f t="shared" si="138"/>
        <v>0</v>
      </c>
      <c r="R343" s="636"/>
      <c r="S343" s="636"/>
      <c r="T343" s="637">
        <f t="shared" si="139"/>
        <v>0</v>
      </c>
      <c r="U343" s="638"/>
      <c r="V343" s="638"/>
      <c r="W343" s="635">
        <f t="shared" si="140"/>
        <v>0</v>
      </c>
      <c r="X343" s="636"/>
      <c r="Y343" s="636"/>
      <c r="Z343" s="637">
        <f t="shared" si="141"/>
        <v>0</v>
      </c>
      <c r="AA343" s="638"/>
      <c r="AB343" s="638"/>
      <c r="AC343" s="635">
        <f t="shared" si="142"/>
        <v>0</v>
      </c>
      <c r="AD343" s="636"/>
      <c r="AE343" s="636"/>
      <c r="AF343" s="637">
        <f t="shared" si="143"/>
        <v>0</v>
      </c>
      <c r="AG343" s="638"/>
      <c r="AH343" s="638"/>
      <c r="AI343" s="635">
        <f t="shared" si="144"/>
        <v>0</v>
      </c>
      <c r="AJ343" s="636">
        <v>84</v>
      </c>
      <c r="AK343" s="636">
        <v>42517</v>
      </c>
      <c r="AL343" s="637">
        <f t="shared" si="145"/>
        <v>3571428</v>
      </c>
      <c r="AM343" s="638">
        <v>76</v>
      </c>
      <c r="AN343" s="638">
        <v>43839.090000000004</v>
      </c>
      <c r="AO343" s="640">
        <f t="shared" si="146"/>
        <v>3331770.8400000003</v>
      </c>
      <c r="AP343" s="636"/>
      <c r="AQ343" s="636"/>
      <c r="AR343" s="637">
        <f t="shared" si="147"/>
        <v>0</v>
      </c>
      <c r="AS343" s="638"/>
      <c r="AT343" s="638"/>
      <c r="AU343" s="635">
        <f t="shared" si="148"/>
        <v>0</v>
      </c>
      <c r="AV343" s="636"/>
      <c r="AW343" s="636"/>
      <c r="AX343" s="637">
        <f t="shared" si="149"/>
        <v>0</v>
      </c>
      <c r="AY343" s="638"/>
      <c r="AZ343" s="638"/>
      <c r="BA343" s="635">
        <f t="shared" si="150"/>
        <v>0</v>
      </c>
      <c r="BB343" s="636"/>
      <c r="BC343" s="636"/>
      <c r="BD343" s="637">
        <f t="shared" si="151"/>
        <v>0</v>
      </c>
      <c r="BE343" s="638"/>
      <c r="BF343" s="638"/>
      <c r="BG343" s="635">
        <f t="shared" si="152"/>
        <v>0</v>
      </c>
      <c r="BH343" s="636"/>
      <c r="BI343" s="636"/>
      <c r="BJ343" s="637">
        <f t="shared" si="153"/>
        <v>0</v>
      </c>
      <c r="BK343" s="638"/>
      <c r="BL343" s="638"/>
      <c r="BM343" s="635">
        <f t="shared" si="154"/>
        <v>0</v>
      </c>
      <c r="BN343" s="636"/>
      <c r="BO343" s="636"/>
      <c r="BP343" s="637">
        <f t="shared" si="155"/>
        <v>0</v>
      </c>
      <c r="BQ343" s="638"/>
      <c r="BR343" s="638"/>
      <c r="BS343" s="635">
        <f t="shared" si="156"/>
        <v>0</v>
      </c>
      <c r="BT343" s="636"/>
      <c r="BU343" s="636"/>
      <c r="BV343" s="637">
        <f t="shared" si="157"/>
        <v>0</v>
      </c>
      <c r="BW343" s="638"/>
      <c r="BX343" s="638"/>
      <c r="BY343" s="641">
        <f t="shared" si="158"/>
        <v>0</v>
      </c>
    </row>
    <row r="344" spans="1:77" x14ac:dyDescent="0.2">
      <c r="A344" s="429" t="s">
        <v>109</v>
      </c>
      <c r="B344" s="426" t="s">
        <v>923</v>
      </c>
      <c r="C344" s="427"/>
      <c r="D344" s="428">
        <v>198640</v>
      </c>
      <c r="E344" s="276">
        <v>10</v>
      </c>
      <c r="F344" s="631"/>
      <c r="G344" s="632"/>
      <c r="H344" s="633">
        <f t="shared" si="135"/>
        <v>0</v>
      </c>
      <c r="I344" s="634"/>
      <c r="J344" s="634"/>
      <c r="K344" s="635">
        <f t="shared" si="136"/>
        <v>0</v>
      </c>
      <c r="L344" s="636"/>
      <c r="M344" s="636"/>
      <c r="N344" s="637">
        <f t="shared" si="137"/>
        <v>0</v>
      </c>
      <c r="O344" s="638"/>
      <c r="P344" s="638"/>
      <c r="Q344" s="635">
        <f t="shared" si="138"/>
        <v>0</v>
      </c>
      <c r="R344" s="636"/>
      <c r="S344" s="636"/>
      <c r="T344" s="637">
        <f t="shared" si="139"/>
        <v>0</v>
      </c>
      <c r="U344" s="638"/>
      <c r="V344" s="638"/>
      <c r="W344" s="635">
        <f t="shared" si="140"/>
        <v>0</v>
      </c>
      <c r="X344" s="636"/>
      <c r="Y344" s="636"/>
      <c r="Z344" s="637">
        <f t="shared" si="141"/>
        <v>0</v>
      </c>
      <c r="AA344" s="638"/>
      <c r="AB344" s="638"/>
      <c r="AC344" s="635">
        <f t="shared" si="142"/>
        <v>0</v>
      </c>
      <c r="AD344" s="636"/>
      <c r="AE344" s="636"/>
      <c r="AF344" s="637">
        <f t="shared" si="143"/>
        <v>0</v>
      </c>
      <c r="AG344" s="638"/>
      <c r="AH344" s="638"/>
      <c r="AI344" s="635">
        <f t="shared" si="144"/>
        <v>0</v>
      </c>
      <c r="AJ344" s="636">
        <v>64</v>
      </c>
      <c r="AK344" s="636">
        <v>44620</v>
      </c>
      <c r="AL344" s="637">
        <f t="shared" si="145"/>
        <v>2855680</v>
      </c>
      <c r="AM344" s="638">
        <v>55</v>
      </c>
      <c r="AN344" s="638">
        <v>43524.36</v>
      </c>
      <c r="AO344" s="640">
        <f t="shared" si="146"/>
        <v>2393839.7999999998</v>
      </c>
      <c r="AP344" s="636"/>
      <c r="AQ344" s="636"/>
      <c r="AR344" s="637">
        <f t="shared" si="147"/>
        <v>0</v>
      </c>
      <c r="AS344" s="638"/>
      <c r="AT344" s="638"/>
      <c r="AU344" s="635">
        <f t="shared" si="148"/>
        <v>0</v>
      </c>
      <c r="AV344" s="636"/>
      <c r="AW344" s="636"/>
      <c r="AX344" s="637">
        <f t="shared" si="149"/>
        <v>0</v>
      </c>
      <c r="AY344" s="638"/>
      <c r="AZ344" s="638"/>
      <c r="BA344" s="635">
        <f t="shared" si="150"/>
        <v>0</v>
      </c>
      <c r="BB344" s="636"/>
      <c r="BC344" s="636"/>
      <c r="BD344" s="637">
        <f t="shared" si="151"/>
        <v>0</v>
      </c>
      <c r="BE344" s="638"/>
      <c r="BF344" s="638"/>
      <c r="BG344" s="635">
        <f t="shared" si="152"/>
        <v>0</v>
      </c>
      <c r="BH344" s="636"/>
      <c r="BI344" s="636"/>
      <c r="BJ344" s="637">
        <f t="shared" si="153"/>
        <v>0</v>
      </c>
      <c r="BK344" s="638"/>
      <c r="BL344" s="638"/>
      <c r="BM344" s="635">
        <f t="shared" si="154"/>
        <v>0</v>
      </c>
      <c r="BN344" s="636"/>
      <c r="BO344" s="636"/>
      <c r="BP344" s="637">
        <f t="shared" si="155"/>
        <v>0</v>
      </c>
      <c r="BQ344" s="638"/>
      <c r="BR344" s="638"/>
      <c r="BS344" s="635">
        <f t="shared" si="156"/>
        <v>0</v>
      </c>
      <c r="BT344" s="636"/>
      <c r="BU344" s="636"/>
      <c r="BV344" s="637">
        <f t="shared" si="157"/>
        <v>0</v>
      </c>
      <c r="BW344" s="638"/>
      <c r="BX344" s="638"/>
      <c r="BY344" s="641">
        <f t="shared" si="158"/>
        <v>0</v>
      </c>
    </row>
    <row r="345" spans="1:77" x14ac:dyDescent="0.2">
      <c r="A345" s="429" t="s">
        <v>109</v>
      </c>
      <c r="B345" s="426" t="s">
        <v>924</v>
      </c>
      <c r="C345" s="427"/>
      <c r="D345" s="428">
        <v>198729</v>
      </c>
      <c r="E345" s="276">
        <v>10</v>
      </c>
      <c r="F345" s="631"/>
      <c r="G345" s="632"/>
      <c r="H345" s="633">
        <f t="shared" si="135"/>
        <v>0</v>
      </c>
      <c r="I345" s="634"/>
      <c r="J345" s="634"/>
      <c r="K345" s="635">
        <f t="shared" si="136"/>
        <v>0</v>
      </c>
      <c r="L345" s="636"/>
      <c r="M345" s="636"/>
      <c r="N345" s="637">
        <f t="shared" si="137"/>
        <v>0</v>
      </c>
      <c r="O345" s="638"/>
      <c r="P345" s="638"/>
      <c r="Q345" s="635">
        <f t="shared" si="138"/>
        <v>0</v>
      </c>
      <c r="R345" s="636"/>
      <c r="S345" s="636"/>
      <c r="T345" s="637">
        <f t="shared" si="139"/>
        <v>0</v>
      </c>
      <c r="U345" s="638"/>
      <c r="V345" s="638"/>
      <c r="W345" s="635">
        <f t="shared" si="140"/>
        <v>0</v>
      </c>
      <c r="X345" s="636"/>
      <c r="Y345" s="636"/>
      <c r="Z345" s="637">
        <f t="shared" si="141"/>
        <v>0</v>
      </c>
      <c r="AA345" s="638"/>
      <c r="AB345" s="638"/>
      <c r="AC345" s="635">
        <f t="shared" si="142"/>
        <v>0</v>
      </c>
      <c r="AD345" s="636"/>
      <c r="AE345" s="636"/>
      <c r="AF345" s="637">
        <f t="shared" si="143"/>
        <v>0</v>
      </c>
      <c r="AG345" s="638"/>
      <c r="AH345" s="638"/>
      <c r="AI345" s="635">
        <f t="shared" si="144"/>
        <v>0</v>
      </c>
      <c r="AJ345" s="636">
        <v>58</v>
      </c>
      <c r="AK345" s="636">
        <v>41645</v>
      </c>
      <c r="AL345" s="637">
        <f t="shared" si="145"/>
        <v>2415410</v>
      </c>
      <c r="AM345" s="638">
        <v>46</v>
      </c>
      <c r="AN345" s="638">
        <v>44308.35</v>
      </c>
      <c r="AO345" s="640">
        <f t="shared" si="146"/>
        <v>2038184.0999999999</v>
      </c>
      <c r="AP345" s="636"/>
      <c r="AQ345" s="636"/>
      <c r="AR345" s="637">
        <f t="shared" si="147"/>
        <v>0</v>
      </c>
      <c r="AS345" s="638"/>
      <c r="AT345" s="638"/>
      <c r="AU345" s="635">
        <f t="shared" si="148"/>
        <v>0</v>
      </c>
      <c r="AV345" s="636"/>
      <c r="AW345" s="636"/>
      <c r="AX345" s="637">
        <f t="shared" si="149"/>
        <v>0</v>
      </c>
      <c r="AY345" s="638"/>
      <c r="AZ345" s="638"/>
      <c r="BA345" s="635">
        <f t="shared" si="150"/>
        <v>0</v>
      </c>
      <c r="BB345" s="636"/>
      <c r="BC345" s="636"/>
      <c r="BD345" s="637">
        <f t="shared" si="151"/>
        <v>0</v>
      </c>
      <c r="BE345" s="638"/>
      <c r="BF345" s="638"/>
      <c r="BG345" s="635">
        <f t="shared" si="152"/>
        <v>0</v>
      </c>
      <c r="BH345" s="636"/>
      <c r="BI345" s="636"/>
      <c r="BJ345" s="637">
        <f t="shared" si="153"/>
        <v>0</v>
      </c>
      <c r="BK345" s="638"/>
      <c r="BL345" s="638"/>
      <c r="BM345" s="635">
        <f t="shared" si="154"/>
        <v>0</v>
      </c>
      <c r="BN345" s="636"/>
      <c r="BO345" s="636"/>
      <c r="BP345" s="637">
        <f t="shared" si="155"/>
        <v>0</v>
      </c>
      <c r="BQ345" s="638"/>
      <c r="BR345" s="638"/>
      <c r="BS345" s="635">
        <f t="shared" si="156"/>
        <v>0</v>
      </c>
      <c r="BT345" s="636"/>
      <c r="BU345" s="636"/>
      <c r="BV345" s="637">
        <f t="shared" si="157"/>
        <v>0</v>
      </c>
      <c r="BW345" s="638"/>
      <c r="BX345" s="638"/>
      <c r="BY345" s="641">
        <f t="shared" si="158"/>
        <v>0</v>
      </c>
    </row>
    <row r="346" spans="1:77" x14ac:dyDescent="0.2">
      <c r="A346" s="429" t="s">
        <v>109</v>
      </c>
      <c r="B346" s="426" t="s">
        <v>925</v>
      </c>
      <c r="C346" s="427"/>
      <c r="D346" s="428">
        <v>198905</v>
      </c>
      <c r="E346" s="276">
        <v>10</v>
      </c>
      <c r="F346" s="631"/>
      <c r="G346" s="632"/>
      <c r="H346" s="633">
        <f t="shared" si="135"/>
        <v>0</v>
      </c>
      <c r="I346" s="634"/>
      <c r="J346" s="634"/>
      <c r="K346" s="635">
        <f t="shared" si="136"/>
        <v>0</v>
      </c>
      <c r="L346" s="636"/>
      <c r="M346" s="636"/>
      <c r="N346" s="637">
        <f t="shared" si="137"/>
        <v>0</v>
      </c>
      <c r="O346" s="638"/>
      <c r="P346" s="638"/>
      <c r="Q346" s="635">
        <f t="shared" si="138"/>
        <v>0</v>
      </c>
      <c r="R346" s="636"/>
      <c r="S346" s="636"/>
      <c r="T346" s="637">
        <f t="shared" si="139"/>
        <v>0</v>
      </c>
      <c r="U346" s="638"/>
      <c r="V346" s="638"/>
      <c r="W346" s="635">
        <f t="shared" si="140"/>
        <v>0</v>
      </c>
      <c r="X346" s="636"/>
      <c r="Y346" s="636"/>
      <c r="Z346" s="637">
        <f t="shared" si="141"/>
        <v>0</v>
      </c>
      <c r="AA346" s="638"/>
      <c r="AB346" s="638"/>
      <c r="AC346" s="635">
        <f t="shared" si="142"/>
        <v>0</v>
      </c>
      <c r="AD346" s="636"/>
      <c r="AE346" s="636"/>
      <c r="AF346" s="637">
        <f t="shared" si="143"/>
        <v>0</v>
      </c>
      <c r="AG346" s="638"/>
      <c r="AH346" s="638"/>
      <c r="AI346" s="635">
        <f t="shared" si="144"/>
        <v>0</v>
      </c>
      <c r="AJ346" s="636">
        <v>23</v>
      </c>
      <c r="AK346" s="636">
        <v>42865</v>
      </c>
      <c r="AL346" s="637">
        <f t="shared" si="145"/>
        <v>985895</v>
      </c>
      <c r="AM346" s="638">
        <v>22</v>
      </c>
      <c r="AN346" s="638">
        <v>43880.31</v>
      </c>
      <c r="AO346" s="640">
        <f t="shared" si="146"/>
        <v>965366.82</v>
      </c>
      <c r="AP346" s="636"/>
      <c r="AQ346" s="636"/>
      <c r="AR346" s="637">
        <f t="shared" si="147"/>
        <v>0</v>
      </c>
      <c r="AS346" s="638"/>
      <c r="AT346" s="638"/>
      <c r="AU346" s="635">
        <f t="shared" si="148"/>
        <v>0</v>
      </c>
      <c r="AV346" s="636"/>
      <c r="AW346" s="636"/>
      <c r="AX346" s="637">
        <f t="shared" si="149"/>
        <v>0</v>
      </c>
      <c r="AY346" s="638"/>
      <c r="AZ346" s="638"/>
      <c r="BA346" s="635">
        <f t="shared" si="150"/>
        <v>0</v>
      </c>
      <c r="BB346" s="636"/>
      <c r="BC346" s="636"/>
      <c r="BD346" s="637">
        <f t="shared" si="151"/>
        <v>0</v>
      </c>
      <c r="BE346" s="638"/>
      <c r="BF346" s="638"/>
      <c r="BG346" s="635">
        <f t="shared" si="152"/>
        <v>0</v>
      </c>
      <c r="BH346" s="636"/>
      <c r="BI346" s="636"/>
      <c r="BJ346" s="637">
        <f t="shared" si="153"/>
        <v>0</v>
      </c>
      <c r="BK346" s="638"/>
      <c r="BL346" s="638"/>
      <c r="BM346" s="635">
        <f t="shared" si="154"/>
        <v>0</v>
      </c>
      <c r="BN346" s="636"/>
      <c r="BO346" s="636"/>
      <c r="BP346" s="637">
        <f t="shared" si="155"/>
        <v>0</v>
      </c>
      <c r="BQ346" s="638"/>
      <c r="BR346" s="638"/>
      <c r="BS346" s="635">
        <f t="shared" si="156"/>
        <v>0</v>
      </c>
      <c r="BT346" s="636"/>
      <c r="BU346" s="636"/>
      <c r="BV346" s="637">
        <f t="shared" si="157"/>
        <v>0</v>
      </c>
      <c r="BW346" s="638"/>
      <c r="BX346" s="638"/>
      <c r="BY346" s="641">
        <f t="shared" si="158"/>
        <v>0</v>
      </c>
    </row>
    <row r="347" spans="1:77" x14ac:dyDescent="0.2">
      <c r="A347" s="432" t="s">
        <v>109</v>
      </c>
      <c r="B347" s="430" t="s">
        <v>926</v>
      </c>
      <c r="C347" s="431"/>
      <c r="D347" s="428">
        <v>198914</v>
      </c>
      <c r="E347" s="276">
        <v>10</v>
      </c>
      <c r="F347" s="631"/>
      <c r="G347" s="632"/>
      <c r="H347" s="633">
        <f t="shared" si="135"/>
        <v>0</v>
      </c>
      <c r="I347" s="634"/>
      <c r="J347" s="634"/>
      <c r="K347" s="635">
        <f t="shared" si="136"/>
        <v>0</v>
      </c>
      <c r="L347" s="636"/>
      <c r="M347" s="636"/>
      <c r="N347" s="637">
        <f t="shared" si="137"/>
        <v>0</v>
      </c>
      <c r="O347" s="638"/>
      <c r="P347" s="638"/>
      <c r="Q347" s="635">
        <f t="shared" si="138"/>
        <v>0</v>
      </c>
      <c r="R347" s="636"/>
      <c r="S347" s="636"/>
      <c r="T347" s="637">
        <f t="shared" si="139"/>
        <v>0</v>
      </c>
      <c r="U347" s="638"/>
      <c r="V347" s="638"/>
      <c r="W347" s="635">
        <f t="shared" si="140"/>
        <v>0</v>
      </c>
      <c r="X347" s="636"/>
      <c r="Y347" s="636"/>
      <c r="Z347" s="637">
        <f t="shared" si="141"/>
        <v>0</v>
      </c>
      <c r="AA347" s="638"/>
      <c r="AB347" s="638"/>
      <c r="AC347" s="635">
        <f t="shared" si="142"/>
        <v>0</v>
      </c>
      <c r="AD347" s="636"/>
      <c r="AE347" s="636"/>
      <c r="AF347" s="637">
        <f t="shared" si="143"/>
        <v>0</v>
      </c>
      <c r="AG347" s="638"/>
      <c r="AH347" s="638"/>
      <c r="AI347" s="635">
        <f t="shared" si="144"/>
        <v>0</v>
      </c>
      <c r="AJ347" s="636">
        <v>49</v>
      </c>
      <c r="AK347" s="636">
        <v>50828</v>
      </c>
      <c r="AL347" s="637">
        <f t="shared" si="145"/>
        <v>2490572</v>
      </c>
      <c r="AM347" s="638">
        <v>39</v>
      </c>
      <c r="AN347" s="638">
        <v>43882.83</v>
      </c>
      <c r="AO347" s="640">
        <f t="shared" si="146"/>
        <v>1711430.37</v>
      </c>
      <c r="AP347" s="636"/>
      <c r="AQ347" s="636"/>
      <c r="AR347" s="637">
        <f t="shared" si="147"/>
        <v>0</v>
      </c>
      <c r="AS347" s="638"/>
      <c r="AT347" s="638"/>
      <c r="AU347" s="635">
        <f t="shared" si="148"/>
        <v>0</v>
      </c>
      <c r="AV347" s="636"/>
      <c r="AW347" s="636"/>
      <c r="AX347" s="637">
        <f t="shared" si="149"/>
        <v>0</v>
      </c>
      <c r="AY347" s="638"/>
      <c r="AZ347" s="638"/>
      <c r="BA347" s="635">
        <f t="shared" si="150"/>
        <v>0</v>
      </c>
      <c r="BB347" s="636"/>
      <c r="BC347" s="636"/>
      <c r="BD347" s="637">
        <f t="shared" si="151"/>
        <v>0</v>
      </c>
      <c r="BE347" s="638"/>
      <c r="BF347" s="638"/>
      <c r="BG347" s="635">
        <f t="shared" si="152"/>
        <v>0</v>
      </c>
      <c r="BH347" s="636"/>
      <c r="BI347" s="636"/>
      <c r="BJ347" s="637">
        <f t="shared" si="153"/>
        <v>0</v>
      </c>
      <c r="BK347" s="638"/>
      <c r="BL347" s="638"/>
      <c r="BM347" s="635">
        <f t="shared" si="154"/>
        <v>0</v>
      </c>
      <c r="BN347" s="636"/>
      <c r="BO347" s="636"/>
      <c r="BP347" s="637">
        <f t="shared" si="155"/>
        <v>0</v>
      </c>
      <c r="BQ347" s="638"/>
      <c r="BR347" s="638"/>
      <c r="BS347" s="635">
        <f t="shared" si="156"/>
        <v>0</v>
      </c>
      <c r="BT347" s="636"/>
      <c r="BU347" s="636"/>
      <c r="BV347" s="637">
        <f t="shared" si="157"/>
        <v>0</v>
      </c>
      <c r="BW347" s="638"/>
      <c r="BX347" s="638"/>
      <c r="BY347" s="641">
        <f t="shared" si="158"/>
        <v>0</v>
      </c>
    </row>
    <row r="348" spans="1:77" x14ac:dyDescent="0.2">
      <c r="A348" s="429" t="s">
        <v>109</v>
      </c>
      <c r="B348" s="426" t="s">
        <v>927</v>
      </c>
      <c r="C348" s="427"/>
      <c r="D348" s="428">
        <v>198923</v>
      </c>
      <c r="E348" s="276">
        <v>10</v>
      </c>
      <c r="F348" s="631"/>
      <c r="G348" s="632"/>
      <c r="H348" s="633">
        <f t="shared" si="135"/>
        <v>0</v>
      </c>
      <c r="I348" s="634"/>
      <c r="J348" s="634"/>
      <c r="K348" s="635">
        <f t="shared" si="136"/>
        <v>0</v>
      </c>
      <c r="L348" s="636"/>
      <c r="M348" s="636"/>
      <c r="N348" s="637">
        <f t="shared" si="137"/>
        <v>0</v>
      </c>
      <c r="O348" s="638"/>
      <c r="P348" s="638"/>
      <c r="Q348" s="635">
        <f t="shared" si="138"/>
        <v>0</v>
      </c>
      <c r="R348" s="636"/>
      <c r="S348" s="636"/>
      <c r="T348" s="637">
        <f t="shared" si="139"/>
        <v>0</v>
      </c>
      <c r="U348" s="638"/>
      <c r="V348" s="638"/>
      <c r="W348" s="635">
        <f t="shared" si="140"/>
        <v>0</v>
      </c>
      <c r="X348" s="636"/>
      <c r="Y348" s="636"/>
      <c r="Z348" s="637">
        <f t="shared" si="141"/>
        <v>0</v>
      </c>
      <c r="AA348" s="638"/>
      <c r="AB348" s="638"/>
      <c r="AC348" s="635">
        <f t="shared" si="142"/>
        <v>0</v>
      </c>
      <c r="AD348" s="636"/>
      <c r="AE348" s="636"/>
      <c r="AF348" s="637">
        <f t="shared" si="143"/>
        <v>0</v>
      </c>
      <c r="AG348" s="638"/>
      <c r="AH348" s="638"/>
      <c r="AI348" s="635">
        <f t="shared" si="144"/>
        <v>0</v>
      </c>
      <c r="AJ348" s="636">
        <v>49</v>
      </c>
      <c r="AK348" s="636">
        <v>43210</v>
      </c>
      <c r="AL348" s="637">
        <f t="shared" si="145"/>
        <v>2117290</v>
      </c>
      <c r="AM348" s="638">
        <v>45</v>
      </c>
      <c r="AN348" s="638">
        <v>47012.22</v>
      </c>
      <c r="AO348" s="640">
        <f t="shared" si="146"/>
        <v>2115549.9</v>
      </c>
      <c r="AP348" s="636"/>
      <c r="AQ348" s="636"/>
      <c r="AR348" s="637">
        <f t="shared" si="147"/>
        <v>0</v>
      </c>
      <c r="AS348" s="638"/>
      <c r="AT348" s="638"/>
      <c r="AU348" s="635">
        <f t="shared" si="148"/>
        <v>0</v>
      </c>
      <c r="AV348" s="636"/>
      <c r="AW348" s="636"/>
      <c r="AX348" s="637">
        <f t="shared" si="149"/>
        <v>0</v>
      </c>
      <c r="AY348" s="638"/>
      <c r="AZ348" s="638"/>
      <c r="BA348" s="635">
        <f t="shared" si="150"/>
        <v>0</v>
      </c>
      <c r="BB348" s="636"/>
      <c r="BC348" s="636"/>
      <c r="BD348" s="637">
        <f t="shared" si="151"/>
        <v>0</v>
      </c>
      <c r="BE348" s="638"/>
      <c r="BF348" s="638"/>
      <c r="BG348" s="635">
        <f t="shared" si="152"/>
        <v>0</v>
      </c>
      <c r="BH348" s="636"/>
      <c r="BI348" s="636"/>
      <c r="BJ348" s="637">
        <f t="shared" si="153"/>
        <v>0</v>
      </c>
      <c r="BK348" s="638"/>
      <c r="BL348" s="638"/>
      <c r="BM348" s="635">
        <f t="shared" si="154"/>
        <v>0</v>
      </c>
      <c r="BN348" s="636"/>
      <c r="BO348" s="636"/>
      <c r="BP348" s="637">
        <f t="shared" si="155"/>
        <v>0</v>
      </c>
      <c r="BQ348" s="638"/>
      <c r="BR348" s="638"/>
      <c r="BS348" s="635">
        <f t="shared" si="156"/>
        <v>0</v>
      </c>
      <c r="BT348" s="636"/>
      <c r="BU348" s="636"/>
      <c r="BV348" s="637">
        <f t="shared" si="157"/>
        <v>0</v>
      </c>
      <c r="BW348" s="638"/>
      <c r="BX348" s="638"/>
      <c r="BY348" s="641">
        <f t="shared" si="158"/>
        <v>0</v>
      </c>
    </row>
    <row r="349" spans="1:77" x14ac:dyDescent="0.2">
      <c r="A349" s="429" t="s">
        <v>109</v>
      </c>
      <c r="B349" s="426" t="s">
        <v>928</v>
      </c>
      <c r="C349" s="427"/>
      <c r="D349" s="428">
        <v>199023</v>
      </c>
      <c r="E349" s="276">
        <v>10</v>
      </c>
      <c r="F349" s="631"/>
      <c r="G349" s="632"/>
      <c r="H349" s="633">
        <f t="shared" si="135"/>
        <v>0</v>
      </c>
      <c r="I349" s="634"/>
      <c r="J349" s="634"/>
      <c r="K349" s="635">
        <f t="shared" si="136"/>
        <v>0</v>
      </c>
      <c r="L349" s="636"/>
      <c r="M349" s="636"/>
      <c r="N349" s="637">
        <f t="shared" si="137"/>
        <v>0</v>
      </c>
      <c r="O349" s="638"/>
      <c r="P349" s="638"/>
      <c r="Q349" s="635">
        <f t="shared" si="138"/>
        <v>0</v>
      </c>
      <c r="R349" s="636"/>
      <c r="S349" s="636"/>
      <c r="T349" s="637">
        <f t="shared" si="139"/>
        <v>0</v>
      </c>
      <c r="U349" s="638"/>
      <c r="V349" s="638"/>
      <c r="W349" s="635">
        <f t="shared" si="140"/>
        <v>0</v>
      </c>
      <c r="X349" s="636"/>
      <c r="Y349" s="636"/>
      <c r="Z349" s="637">
        <f t="shared" si="141"/>
        <v>0</v>
      </c>
      <c r="AA349" s="638"/>
      <c r="AB349" s="638"/>
      <c r="AC349" s="635">
        <f t="shared" si="142"/>
        <v>0</v>
      </c>
      <c r="AD349" s="636"/>
      <c r="AE349" s="636"/>
      <c r="AF349" s="637">
        <f t="shared" si="143"/>
        <v>0</v>
      </c>
      <c r="AG349" s="638"/>
      <c r="AH349" s="638"/>
      <c r="AI349" s="635">
        <f t="shared" si="144"/>
        <v>0</v>
      </c>
      <c r="AJ349" s="636">
        <v>41</v>
      </c>
      <c r="AK349" s="636">
        <v>42373</v>
      </c>
      <c r="AL349" s="637">
        <f t="shared" si="145"/>
        <v>1737293</v>
      </c>
      <c r="AM349" s="638">
        <v>34</v>
      </c>
      <c r="AN349" s="638">
        <v>42165.54</v>
      </c>
      <c r="AO349" s="640">
        <f t="shared" si="146"/>
        <v>1433628.36</v>
      </c>
      <c r="AP349" s="636"/>
      <c r="AQ349" s="636"/>
      <c r="AR349" s="637">
        <f t="shared" si="147"/>
        <v>0</v>
      </c>
      <c r="AS349" s="638"/>
      <c r="AT349" s="638"/>
      <c r="AU349" s="635">
        <f t="shared" si="148"/>
        <v>0</v>
      </c>
      <c r="AV349" s="636"/>
      <c r="AW349" s="636"/>
      <c r="AX349" s="637">
        <f t="shared" si="149"/>
        <v>0</v>
      </c>
      <c r="AY349" s="638"/>
      <c r="AZ349" s="638"/>
      <c r="BA349" s="635">
        <f t="shared" si="150"/>
        <v>0</v>
      </c>
      <c r="BB349" s="636"/>
      <c r="BC349" s="636"/>
      <c r="BD349" s="637">
        <f t="shared" si="151"/>
        <v>0</v>
      </c>
      <c r="BE349" s="638"/>
      <c r="BF349" s="638"/>
      <c r="BG349" s="635">
        <f t="shared" si="152"/>
        <v>0</v>
      </c>
      <c r="BH349" s="636"/>
      <c r="BI349" s="636"/>
      <c r="BJ349" s="637">
        <f t="shared" si="153"/>
        <v>0</v>
      </c>
      <c r="BK349" s="638"/>
      <c r="BL349" s="638"/>
      <c r="BM349" s="635">
        <f t="shared" si="154"/>
        <v>0</v>
      </c>
      <c r="BN349" s="636"/>
      <c r="BO349" s="636"/>
      <c r="BP349" s="637">
        <f t="shared" si="155"/>
        <v>0</v>
      </c>
      <c r="BQ349" s="638"/>
      <c r="BR349" s="638"/>
      <c r="BS349" s="635">
        <f t="shared" si="156"/>
        <v>0</v>
      </c>
      <c r="BT349" s="636"/>
      <c r="BU349" s="636"/>
      <c r="BV349" s="637">
        <f t="shared" si="157"/>
        <v>0</v>
      </c>
      <c r="BW349" s="638"/>
      <c r="BX349" s="638"/>
      <c r="BY349" s="641">
        <f t="shared" si="158"/>
        <v>0</v>
      </c>
    </row>
    <row r="350" spans="1:77" x14ac:dyDescent="0.2">
      <c r="A350" s="429" t="s">
        <v>109</v>
      </c>
      <c r="B350" s="426" t="s">
        <v>929</v>
      </c>
      <c r="C350" s="427"/>
      <c r="D350" s="428">
        <v>199263</v>
      </c>
      <c r="E350" s="276">
        <v>10</v>
      </c>
      <c r="F350" s="631"/>
      <c r="G350" s="632"/>
      <c r="H350" s="633">
        <f t="shared" si="135"/>
        <v>0</v>
      </c>
      <c r="I350" s="634"/>
      <c r="J350" s="634"/>
      <c r="K350" s="635">
        <f t="shared" si="136"/>
        <v>0</v>
      </c>
      <c r="L350" s="636"/>
      <c r="M350" s="636"/>
      <c r="N350" s="637">
        <f t="shared" si="137"/>
        <v>0</v>
      </c>
      <c r="O350" s="638"/>
      <c r="P350" s="638"/>
      <c r="Q350" s="635">
        <f t="shared" si="138"/>
        <v>0</v>
      </c>
      <c r="R350" s="636"/>
      <c r="S350" s="636"/>
      <c r="T350" s="637">
        <f t="shared" si="139"/>
        <v>0</v>
      </c>
      <c r="U350" s="638"/>
      <c r="V350" s="638"/>
      <c r="W350" s="635">
        <f t="shared" si="140"/>
        <v>0</v>
      </c>
      <c r="X350" s="636"/>
      <c r="Y350" s="636"/>
      <c r="Z350" s="637">
        <f t="shared" si="141"/>
        <v>0</v>
      </c>
      <c r="AA350" s="638"/>
      <c r="AB350" s="638"/>
      <c r="AC350" s="635">
        <f t="shared" si="142"/>
        <v>0</v>
      </c>
      <c r="AD350" s="636"/>
      <c r="AE350" s="636"/>
      <c r="AF350" s="637">
        <f t="shared" si="143"/>
        <v>0</v>
      </c>
      <c r="AG350" s="638"/>
      <c r="AH350" s="638"/>
      <c r="AI350" s="635">
        <f t="shared" si="144"/>
        <v>0</v>
      </c>
      <c r="AJ350" s="636">
        <v>28</v>
      </c>
      <c r="AK350" s="636">
        <v>45879</v>
      </c>
      <c r="AL350" s="637">
        <f t="shared" si="145"/>
        <v>1284612</v>
      </c>
      <c r="AM350" s="638">
        <v>18</v>
      </c>
      <c r="AN350" s="638">
        <v>45392.04</v>
      </c>
      <c r="AO350" s="640">
        <f t="shared" si="146"/>
        <v>817056.72</v>
      </c>
      <c r="AP350" s="636"/>
      <c r="AQ350" s="636"/>
      <c r="AR350" s="637">
        <f t="shared" si="147"/>
        <v>0</v>
      </c>
      <c r="AS350" s="638"/>
      <c r="AT350" s="638"/>
      <c r="AU350" s="635">
        <f t="shared" si="148"/>
        <v>0</v>
      </c>
      <c r="AV350" s="636"/>
      <c r="AW350" s="636"/>
      <c r="AX350" s="637">
        <f t="shared" si="149"/>
        <v>0</v>
      </c>
      <c r="AY350" s="638"/>
      <c r="AZ350" s="638"/>
      <c r="BA350" s="635">
        <f t="shared" si="150"/>
        <v>0</v>
      </c>
      <c r="BB350" s="636"/>
      <c r="BC350" s="636"/>
      <c r="BD350" s="637">
        <f t="shared" si="151"/>
        <v>0</v>
      </c>
      <c r="BE350" s="638"/>
      <c r="BF350" s="638"/>
      <c r="BG350" s="635">
        <f t="shared" si="152"/>
        <v>0</v>
      </c>
      <c r="BH350" s="636"/>
      <c r="BI350" s="636"/>
      <c r="BJ350" s="637">
        <f t="shared" si="153"/>
        <v>0</v>
      </c>
      <c r="BK350" s="638"/>
      <c r="BL350" s="638"/>
      <c r="BM350" s="635">
        <f t="shared" si="154"/>
        <v>0</v>
      </c>
      <c r="BN350" s="636"/>
      <c r="BO350" s="636"/>
      <c r="BP350" s="637">
        <f t="shared" si="155"/>
        <v>0</v>
      </c>
      <c r="BQ350" s="638"/>
      <c r="BR350" s="638"/>
      <c r="BS350" s="635">
        <f t="shared" si="156"/>
        <v>0</v>
      </c>
      <c r="BT350" s="636"/>
      <c r="BU350" s="636"/>
      <c r="BV350" s="637">
        <f t="shared" si="157"/>
        <v>0</v>
      </c>
      <c r="BW350" s="638"/>
      <c r="BX350" s="638"/>
      <c r="BY350" s="641">
        <f t="shared" si="158"/>
        <v>0</v>
      </c>
    </row>
    <row r="351" spans="1:77" x14ac:dyDescent="0.2">
      <c r="A351" s="429" t="s">
        <v>109</v>
      </c>
      <c r="B351" s="430" t="s">
        <v>930</v>
      </c>
      <c r="C351" s="431"/>
      <c r="D351" s="428">
        <v>199324</v>
      </c>
      <c r="E351" s="276">
        <v>10</v>
      </c>
      <c r="F351" s="631"/>
      <c r="G351" s="632"/>
      <c r="H351" s="633">
        <f t="shared" si="135"/>
        <v>0</v>
      </c>
      <c r="I351" s="634"/>
      <c r="J351" s="634"/>
      <c r="K351" s="635">
        <f t="shared" si="136"/>
        <v>0</v>
      </c>
      <c r="L351" s="636"/>
      <c r="M351" s="636"/>
      <c r="N351" s="637">
        <f t="shared" si="137"/>
        <v>0</v>
      </c>
      <c r="O351" s="638"/>
      <c r="P351" s="638"/>
      <c r="Q351" s="635">
        <f t="shared" si="138"/>
        <v>0</v>
      </c>
      <c r="R351" s="636"/>
      <c r="S351" s="636"/>
      <c r="T351" s="637">
        <f t="shared" si="139"/>
        <v>0</v>
      </c>
      <c r="U351" s="638"/>
      <c r="V351" s="638"/>
      <c r="W351" s="635">
        <f t="shared" si="140"/>
        <v>0</v>
      </c>
      <c r="X351" s="636"/>
      <c r="Y351" s="636"/>
      <c r="Z351" s="637">
        <f t="shared" si="141"/>
        <v>0</v>
      </c>
      <c r="AA351" s="638"/>
      <c r="AB351" s="638"/>
      <c r="AC351" s="635">
        <f t="shared" si="142"/>
        <v>0</v>
      </c>
      <c r="AD351" s="636"/>
      <c r="AE351" s="636"/>
      <c r="AF351" s="637">
        <f t="shared" si="143"/>
        <v>0</v>
      </c>
      <c r="AG351" s="638"/>
      <c r="AH351" s="638"/>
      <c r="AI351" s="635">
        <f t="shared" si="144"/>
        <v>0</v>
      </c>
      <c r="AJ351" s="636">
        <v>93</v>
      </c>
      <c r="AK351" s="636">
        <v>51521</v>
      </c>
      <c r="AL351" s="637">
        <f t="shared" si="145"/>
        <v>4791453</v>
      </c>
      <c r="AM351" s="638">
        <v>71</v>
      </c>
      <c r="AN351" s="638">
        <v>47385.54</v>
      </c>
      <c r="AO351" s="640">
        <f t="shared" si="146"/>
        <v>3364373.34</v>
      </c>
      <c r="AP351" s="636"/>
      <c r="AQ351" s="636"/>
      <c r="AR351" s="637">
        <f t="shared" si="147"/>
        <v>0</v>
      </c>
      <c r="AS351" s="638"/>
      <c r="AT351" s="638"/>
      <c r="AU351" s="635">
        <f t="shared" si="148"/>
        <v>0</v>
      </c>
      <c r="AV351" s="636"/>
      <c r="AW351" s="636"/>
      <c r="AX351" s="637">
        <f t="shared" si="149"/>
        <v>0</v>
      </c>
      <c r="AY351" s="638"/>
      <c r="AZ351" s="638"/>
      <c r="BA351" s="635">
        <f t="shared" si="150"/>
        <v>0</v>
      </c>
      <c r="BB351" s="636"/>
      <c r="BC351" s="636"/>
      <c r="BD351" s="637">
        <f t="shared" si="151"/>
        <v>0</v>
      </c>
      <c r="BE351" s="638"/>
      <c r="BF351" s="638"/>
      <c r="BG351" s="635">
        <f t="shared" si="152"/>
        <v>0</v>
      </c>
      <c r="BH351" s="636"/>
      <c r="BI351" s="636"/>
      <c r="BJ351" s="637">
        <f t="shared" si="153"/>
        <v>0</v>
      </c>
      <c r="BK351" s="638"/>
      <c r="BL351" s="638"/>
      <c r="BM351" s="635">
        <f t="shared" si="154"/>
        <v>0</v>
      </c>
      <c r="BN351" s="636"/>
      <c r="BO351" s="636"/>
      <c r="BP351" s="637">
        <f t="shared" si="155"/>
        <v>0</v>
      </c>
      <c r="BQ351" s="638"/>
      <c r="BR351" s="638"/>
      <c r="BS351" s="635">
        <f t="shared" si="156"/>
        <v>0</v>
      </c>
      <c r="BT351" s="636"/>
      <c r="BU351" s="636"/>
      <c r="BV351" s="637">
        <f t="shared" si="157"/>
        <v>0</v>
      </c>
      <c r="BW351" s="638"/>
      <c r="BX351" s="638"/>
      <c r="BY351" s="641">
        <f t="shared" si="158"/>
        <v>0</v>
      </c>
    </row>
    <row r="352" spans="1:77" x14ac:dyDescent="0.2">
      <c r="A352" s="429" t="s">
        <v>109</v>
      </c>
      <c r="B352" s="430" t="s">
        <v>931</v>
      </c>
      <c r="C352" s="431"/>
      <c r="D352" s="428">
        <v>199449</v>
      </c>
      <c r="E352" s="276">
        <v>10</v>
      </c>
      <c r="F352" s="631"/>
      <c r="G352" s="632"/>
      <c r="H352" s="633">
        <f t="shared" si="135"/>
        <v>0</v>
      </c>
      <c r="I352" s="634"/>
      <c r="J352" s="634"/>
      <c r="K352" s="635">
        <f t="shared" si="136"/>
        <v>0</v>
      </c>
      <c r="L352" s="636"/>
      <c r="M352" s="636"/>
      <c r="N352" s="637">
        <f t="shared" si="137"/>
        <v>0</v>
      </c>
      <c r="O352" s="638"/>
      <c r="P352" s="638"/>
      <c r="Q352" s="635">
        <f t="shared" si="138"/>
        <v>0</v>
      </c>
      <c r="R352" s="636"/>
      <c r="S352" s="636"/>
      <c r="T352" s="637">
        <f t="shared" si="139"/>
        <v>0</v>
      </c>
      <c r="U352" s="638"/>
      <c r="V352" s="638"/>
      <c r="W352" s="635">
        <f t="shared" si="140"/>
        <v>0</v>
      </c>
      <c r="X352" s="636"/>
      <c r="Y352" s="636"/>
      <c r="Z352" s="637">
        <f t="shared" si="141"/>
        <v>0</v>
      </c>
      <c r="AA352" s="638"/>
      <c r="AB352" s="638"/>
      <c r="AC352" s="635">
        <f t="shared" si="142"/>
        <v>0</v>
      </c>
      <c r="AD352" s="636"/>
      <c r="AE352" s="636"/>
      <c r="AF352" s="637">
        <f t="shared" si="143"/>
        <v>0</v>
      </c>
      <c r="AG352" s="638"/>
      <c r="AH352" s="638"/>
      <c r="AI352" s="635">
        <f t="shared" si="144"/>
        <v>0</v>
      </c>
      <c r="AJ352" s="636">
        <v>63</v>
      </c>
      <c r="AK352" s="636">
        <v>56569</v>
      </c>
      <c r="AL352" s="637">
        <f t="shared" si="145"/>
        <v>3563847</v>
      </c>
      <c r="AM352" s="638">
        <v>62</v>
      </c>
      <c r="AN352" s="638">
        <v>52994.879999999997</v>
      </c>
      <c r="AO352" s="640">
        <f t="shared" si="146"/>
        <v>3285682.56</v>
      </c>
      <c r="AP352" s="636"/>
      <c r="AQ352" s="636"/>
      <c r="AR352" s="637">
        <f t="shared" si="147"/>
        <v>0</v>
      </c>
      <c r="AS352" s="638"/>
      <c r="AT352" s="638"/>
      <c r="AU352" s="635">
        <f t="shared" si="148"/>
        <v>0</v>
      </c>
      <c r="AV352" s="636"/>
      <c r="AW352" s="636"/>
      <c r="AX352" s="637">
        <f t="shared" si="149"/>
        <v>0</v>
      </c>
      <c r="AY352" s="638"/>
      <c r="AZ352" s="638"/>
      <c r="BA352" s="635">
        <f t="shared" si="150"/>
        <v>0</v>
      </c>
      <c r="BB352" s="636"/>
      <c r="BC352" s="636"/>
      <c r="BD352" s="637">
        <f t="shared" si="151"/>
        <v>0</v>
      </c>
      <c r="BE352" s="638"/>
      <c r="BF352" s="638"/>
      <c r="BG352" s="635">
        <f t="shared" si="152"/>
        <v>0</v>
      </c>
      <c r="BH352" s="636"/>
      <c r="BI352" s="636"/>
      <c r="BJ352" s="637">
        <f t="shared" si="153"/>
        <v>0</v>
      </c>
      <c r="BK352" s="638"/>
      <c r="BL352" s="638"/>
      <c r="BM352" s="635">
        <f t="shared" si="154"/>
        <v>0</v>
      </c>
      <c r="BN352" s="636"/>
      <c r="BO352" s="636"/>
      <c r="BP352" s="637">
        <f t="shared" si="155"/>
        <v>0</v>
      </c>
      <c r="BQ352" s="638"/>
      <c r="BR352" s="638"/>
      <c r="BS352" s="635">
        <f t="shared" si="156"/>
        <v>0</v>
      </c>
      <c r="BT352" s="636"/>
      <c r="BU352" s="636"/>
      <c r="BV352" s="637">
        <f t="shared" si="157"/>
        <v>0</v>
      </c>
      <c r="BW352" s="638"/>
      <c r="BX352" s="638"/>
      <c r="BY352" s="641">
        <f t="shared" si="158"/>
        <v>0</v>
      </c>
    </row>
    <row r="353" spans="1:77" x14ac:dyDescent="0.2">
      <c r="A353" s="429" t="s">
        <v>109</v>
      </c>
      <c r="B353" s="426" t="s">
        <v>932</v>
      </c>
      <c r="C353" s="427"/>
      <c r="D353" s="428">
        <v>199467</v>
      </c>
      <c r="E353" s="276">
        <v>10</v>
      </c>
      <c r="F353" s="631"/>
      <c r="G353" s="632"/>
      <c r="H353" s="633">
        <f t="shared" si="135"/>
        <v>0</v>
      </c>
      <c r="I353" s="634"/>
      <c r="J353" s="634"/>
      <c r="K353" s="635">
        <f t="shared" si="136"/>
        <v>0</v>
      </c>
      <c r="L353" s="636"/>
      <c r="M353" s="636"/>
      <c r="N353" s="637">
        <f t="shared" si="137"/>
        <v>0</v>
      </c>
      <c r="O353" s="638"/>
      <c r="P353" s="638"/>
      <c r="Q353" s="635">
        <f t="shared" si="138"/>
        <v>0</v>
      </c>
      <c r="R353" s="636"/>
      <c r="S353" s="636"/>
      <c r="T353" s="637">
        <f t="shared" si="139"/>
        <v>0</v>
      </c>
      <c r="U353" s="638"/>
      <c r="V353" s="638"/>
      <c r="W353" s="635">
        <f t="shared" si="140"/>
        <v>0</v>
      </c>
      <c r="X353" s="636"/>
      <c r="Y353" s="636"/>
      <c r="Z353" s="637">
        <f t="shared" si="141"/>
        <v>0</v>
      </c>
      <c r="AA353" s="638"/>
      <c r="AB353" s="638"/>
      <c r="AC353" s="635">
        <f t="shared" si="142"/>
        <v>0</v>
      </c>
      <c r="AD353" s="636"/>
      <c r="AE353" s="636"/>
      <c r="AF353" s="637">
        <f t="shared" si="143"/>
        <v>0</v>
      </c>
      <c r="AG353" s="638"/>
      <c r="AH353" s="638"/>
      <c r="AI353" s="635">
        <f t="shared" si="144"/>
        <v>0</v>
      </c>
      <c r="AJ353" s="636">
        <v>36</v>
      </c>
      <c r="AK353" s="636">
        <v>50003</v>
      </c>
      <c r="AL353" s="637">
        <f t="shared" si="145"/>
        <v>1800108</v>
      </c>
      <c r="AM353" s="638">
        <v>33</v>
      </c>
      <c r="AN353" s="638">
        <v>50731.11</v>
      </c>
      <c r="AO353" s="640">
        <f t="shared" si="146"/>
        <v>1674126.6300000001</v>
      </c>
      <c r="AP353" s="636"/>
      <c r="AQ353" s="636"/>
      <c r="AR353" s="637">
        <f t="shared" si="147"/>
        <v>0</v>
      </c>
      <c r="AS353" s="638"/>
      <c r="AT353" s="638"/>
      <c r="AU353" s="635">
        <f t="shared" si="148"/>
        <v>0</v>
      </c>
      <c r="AV353" s="636"/>
      <c r="AW353" s="636"/>
      <c r="AX353" s="637">
        <f t="shared" si="149"/>
        <v>0</v>
      </c>
      <c r="AY353" s="638"/>
      <c r="AZ353" s="638"/>
      <c r="BA353" s="635">
        <f t="shared" si="150"/>
        <v>0</v>
      </c>
      <c r="BB353" s="636"/>
      <c r="BC353" s="636"/>
      <c r="BD353" s="637">
        <f t="shared" si="151"/>
        <v>0</v>
      </c>
      <c r="BE353" s="638"/>
      <c r="BF353" s="638"/>
      <c r="BG353" s="635">
        <f t="shared" si="152"/>
        <v>0</v>
      </c>
      <c r="BH353" s="636"/>
      <c r="BI353" s="636"/>
      <c r="BJ353" s="637">
        <f t="shared" si="153"/>
        <v>0</v>
      </c>
      <c r="BK353" s="638"/>
      <c r="BL353" s="638"/>
      <c r="BM353" s="635">
        <f t="shared" si="154"/>
        <v>0</v>
      </c>
      <c r="BN353" s="636"/>
      <c r="BO353" s="636"/>
      <c r="BP353" s="637">
        <f t="shared" si="155"/>
        <v>0</v>
      </c>
      <c r="BQ353" s="638"/>
      <c r="BR353" s="638"/>
      <c r="BS353" s="635">
        <f t="shared" si="156"/>
        <v>0</v>
      </c>
      <c r="BT353" s="636"/>
      <c r="BU353" s="636"/>
      <c r="BV353" s="637">
        <f t="shared" si="157"/>
        <v>0</v>
      </c>
      <c r="BW353" s="638"/>
      <c r="BX353" s="638"/>
      <c r="BY353" s="641">
        <f t="shared" si="158"/>
        <v>0</v>
      </c>
    </row>
    <row r="354" spans="1:77" x14ac:dyDescent="0.2">
      <c r="A354" s="429" t="s">
        <v>109</v>
      </c>
      <c r="B354" s="430" t="s">
        <v>933</v>
      </c>
      <c r="C354" s="431"/>
      <c r="D354" s="428">
        <v>199485</v>
      </c>
      <c r="E354" s="276">
        <v>10</v>
      </c>
      <c r="F354" s="631"/>
      <c r="G354" s="632"/>
      <c r="H354" s="633">
        <f t="shared" si="135"/>
        <v>0</v>
      </c>
      <c r="I354" s="634"/>
      <c r="J354" s="634"/>
      <c r="K354" s="635">
        <f t="shared" si="136"/>
        <v>0</v>
      </c>
      <c r="L354" s="636"/>
      <c r="M354" s="636"/>
      <c r="N354" s="637">
        <f t="shared" si="137"/>
        <v>0</v>
      </c>
      <c r="O354" s="638"/>
      <c r="P354" s="638"/>
      <c r="Q354" s="635">
        <f t="shared" si="138"/>
        <v>0</v>
      </c>
      <c r="R354" s="636"/>
      <c r="S354" s="636"/>
      <c r="T354" s="637">
        <f t="shared" si="139"/>
        <v>0</v>
      </c>
      <c r="U354" s="638"/>
      <c r="V354" s="638"/>
      <c r="W354" s="635">
        <f t="shared" si="140"/>
        <v>0</v>
      </c>
      <c r="X354" s="636"/>
      <c r="Y354" s="636"/>
      <c r="Z354" s="637">
        <f t="shared" si="141"/>
        <v>0</v>
      </c>
      <c r="AA354" s="638"/>
      <c r="AB354" s="638"/>
      <c r="AC354" s="635">
        <f t="shared" si="142"/>
        <v>0</v>
      </c>
      <c r="AD354" s="636"/>
      <c r="AE354" s="636"/>
      <c r="AF354" s="637">
        <f t="shared" si="143"/>
        <v>0</v>
      </c>
      <c r="AG354" s="638"/>
      <c r="AH354" s="638"/>
      <c r="AI354" s="635">
        <f t="shared" si="144"/>
        <v>0</v>
      </c>
      <c r="AJ354" s="636">
        <v>62</v>
      </c>
      <c r="AK354" s="636">
        <v>45895</v>
      </c>
      <c r="AL354" s="637">
        <f t="shared" si="145"/>
        <v>2845490</v>
      </c>
      <c r="AM354" s="638">
        <v>66</v>
      </c>
      <c r="AN354" s="638">
        <v>44922.15</v>
      </c>
      <c r="AO354" s="640">
        <f t="shared" si="146"/>
        <v>2964861.9</v>
      </c>
      <c r="AP354" s="636"/>
      <c r="AQ354" s="636"/>
      <c r="AR354" s="637">
        <f t="shared" si="147"/>
        <v>0</v>
      </c>
      <c r="AS354" s="638"/>
      <c r="AT354" s="638"/>
      <c r="AU354" s="635">
        <f t="shared" si="148"/>
        <v>0</v>
      </c>
      <c r="AV354" s="636"/>
      <c r="AW354" s="636"/>
      <c r="AX354" s="637">
        <f t="shared" si="149"/>
        <v>0</v>
      </c>
      <c r="AY354" s="638"/>
      <c r="AZ354" s="638"/>
      <c r="BA354" s="635">
        <f t="shared" si="150"/>
        <v>0</v>
      </c>
      <c r="BB354" s="636"/>
      <c r="BC354" s="636"/>
      <c r="BD354" s="637">
        <f t="shared" si="151"/>
        <v>0</v>
      </c>
      <c r="BE354" s="638"/>
      <c r="BF354" s="638"/>
      <c r="BG354" s="635">
        <f t="shared" si="152"/>
        <v>0</v>
      </c>
      <c r="BH354" s="636"/>
      <c r="BI354" s="636"/>
      <c r="BJ354" s="637">
        <f t="shared" si="153"/>
        <v>0</v>
      </c>
      <c r="BK354" s="638"/>
      <c r="BL354" s="638"/>
      <c r="BM354" s="635">
        <f t="shared" si="154"/>
        <v>0</v>
      </c>
      <c r="BN354" s="636"/>
      <c r="BO354" s="636"/>
      <c r="BP354" s="637">
        <f t="shared" si="155"/>
        <v>0</v>
      </c>
      <c r="BQ354" s="638"/>
      <c r="BR354" s="638"/>
      <c r="BS354" s="635">
        <f t="shared" si="156"/>
        <v>0</v>
      </c>
      <c r="BT354" s="636"/>
      <c r="BU354" s="636"/>
      <c r="BV354" s="637">
        <f t="shared" si="157"/>
        <v>0</v>
      </c>
      <c r="BW354" s="638"/>
      <c r="BX354" s="638"/>
      <c r="BY354" s="641">
        <f t="shared" si="158"/>
        <v>0</v>
      </c>
    </row>
    <row r="355" spans="1:77" x14ac:dyDescent="0.2">
      <c r="A355" s="429" t="s">
        <v>109</v>
      </c>
      <c r="B355" s="426" t="s">
        <v>934</v>
      </c>
      <c r="C355" s="427"/>
      <c r="D355" s="428">
        <v>199625</v>
      </c>
      <c r="E355" s="276">
        <v>10</v>
      </c>
      <c r="F355" s="631"/>
      <c r="G355" s="632"/>
      <c r="H355" s="633">
        <f t="shared" si="135"/>
        <v>0</v>
      </c>
      <c r="I355" s="634"/>
      <c r="J355" s="634"/>
      <c r="K355" s="635">
        <f t="shared" si="136"/>
        <v>0</v>
      </c>
      <c r="L355" s="636"/>
      <c r="M355" s="636"/>
      <c r="N355" s="637">
        <f t="shared" si="137"/>
        <v>0</v>
      </c>
      <c r="O355" s="638"/>
      <c r="P355" s="638"/>
      <c r="Q355" s="635">
        <f t="shared" si="138"/>
        <v>0</v>
      </c>
      <c r="R355" s="636"/>
      <c r="S355" s="636"/>
      <c r="T355" s="637">
        <f t="shared" si="139"/>
        <v>0</v>
      </c>
      <c r="U355" s="638"/>
      <c r="V355" s="638"/>
      <c r="W355" s="635">
        <f t="shared" si="140"/>
        <v>0</v>
      </c>
      <c r="X355" s="636"/>
      <c r="Y355" s="636"/>
      <c r="Z355" s="637">
        <f t="shared" si="141"/>
        <v>0</v>
      </c>
      <c r="AA355" s="638"/>
      <c r="AB355" s="638"/>
      <c r="AC355" s="635">
        <f t="shared" si="142"/>
        <v>0</v>
      </c>
      <c r="AD355" s="636"/>
      <c r="AE355" s="636"/>
      <c r="AF355" s="637">
        <f t="shared" si="143"/>
        <v>0</v>
      </c>
      <c r="AG355" s="638"/>
      <c r="AH355" s="638"/>
      <c r="AI355" s="635">
        <f t="shared" si="144"/>
        <v>0</v>
      </c>
      <c r="AJ355" s="636">
        <v>65</v>
      </c>
      <c r="AK355" s="636">
        <v>44722</v>
      </c>
      <c r="AL355" s="637">
        <f t="shared" si="145"/>
        <v>2906930</v>
      </c>
      <c r="AM355" s="638">
        <v>52</v>
      </c>
      <c r="AN355" s="638">
        <v>45780.75</v>
      </c>
      <c r="AO355" s="640">
        <f t="shared" si="146"/>
        <v>2380599</v>
      </c>
      <c r="AP355" s="636"/>
      <c r="AQ355" s="636"/>
      <c r="AR355" s="637">
        <f t="shared" si="147"/>
        <v>0</v>
      </c>
      <c r="AS355" s="638"/>
      <c r="AT355" s="638"/>
      <c r="AU355" s="635">
        <f t="shared" si="148"/>
        <v>0</v>
      </c>
      <c r="AV355" s="636"/>
      <c r="AW355" s="636"/>
      <c r="AX355" s="637">
        <f t="shared" si="149"/>
        <v>0</v>
      </c>
      <c r="AY355" s="638"/>
      <c r="AZ355" s="638"/>
      <c r="BA355" s="635">
        <f t="shared" si="150"/>
        <v>0</v>
      </c>
      <c r="BB355" s="636"/>
      <c r="BC355" s="636"/>
      <c r="BD355" s="637">
        <f t="shared" si="151"/>
        <v>0</v>
      </c>
      <c r="BE355" s="638"/>
      <c r="BF355" s="638"/>
      <c r="BG355" s="635">
        <f t="shared" si="152"/>
        <v>0</v>
      </c>
      <c r="BH355" s="636"/>
      <c r="BI355" s="636"/>
      <c r="BJ355" s="637">
        <f t="shared" si="153"/>
        <v>0</v>
      </c>
      <c r="BK355" s="638"/>
      <c r="BL355" s="638"/>
      <c r="BM355" s="635">
        <f t="shared" si="154"/>
        <v>0</v>
      </c>
      <c r="BN355" s="636"/>
      <c r="BO355" s="636"/>
      <c r="BP355" s="637">
        <f t="shared" si="155"/>
        <v>0</v>
      </c>
      <c r="BQ355" s="638"/>
      <c r="BR355" s="638"/>
      <c r="BS355" s="635">
        <f t="shared" si="156"/>
        <v>0</v>
      </c>
      <c r="BT355" s="636"/>
      <c r="BU355" s="636"/>
      <c r="BV355" s="637">
        <f t="shared" si="157"/>
        <v>0</v>
      </c>
      <c r="BW355" s="638"/>
      <c r="BX355" s="638"/>
      <c r="BY355" s="641">
        <f t="shared" si="158"/>
        <v>0</v>
      </c>
    </row>
    <row r="356" spans="1:77" x14ac:dyDescent="0.2">
      <c r="A356" s="429" t="s">
        <v>109</v>
      </c>
      <c r="B356" s="430" t="s">
        <v>935</v>
      </c>
      <c r="C356" s="431"/>
      <c r="D356" s="428">
        <v>197850</v>
      </c>
      <c r="E356" s="276">
        <v>10</v>
      </c>
      <c r="F356" s="631"/>
      <c r="G356" s="632"/>
      <c r="H356" s="633">
        <f t="shared" si="135"/>
        <v>0</v>
      </c>
      <c r="I356" s="634"/>
      <c r="J356" s="634"/>
      <c r="K356" s="635">
        <f t="shared" si="136"/>
        <v>0</v>
      </c>
      <c r="L356" s="636"/>
      <c r="M356" s="636"/>
      <c r="N356" s="637">
        <f t="shared" si="137"/>
        <v>0</v>
      </c>
      <c r="O356" s="638"/>
      <c r="P356" s="638"/>
      <c r="Q356" s="635">
        <f t="shared" si="138"/>
        <v>0</v>
      </c>
      <c r="R356" s="636"/>
      <c r="S356" s="636"/>
      <c r="T356" s="637">
        <f t="shared" si="139"/>
        <v>0</v>
      </c>
      <c r="U356" s="638"/>
      <c r="V356" s="638"/>
      <c r="W356" s="635">
        <f t="shared" si="140"/>
        <v>0</v>
      </c>
      <c r="X356" s="636"/>
      <c r="Y356" s="636"/>
      <c r="Z356" s="637">
        <f t="shared" si="141"/>
        <v>0</v>
      </c>
      <c r="AA356" s="638"/>
      <c r="AB356" s="638"/>
      <c r="AC356" s="635">
        <f t="shared" si="142"/>
        <v>0</v>
      </c>
      <c r="AD356" s="636"/>
      <c r="AE356" s="636"/>
      <c r="AF356" s="637">
        <f t="shared" si="143"/>
        <v>0</v>
      </c>
      <c r="AG356" s="638"/>
      <c r="AH356" s="638"/>
      <c r="AI356" s="635">
        <f t="shared" si="144"/>
        <v>0</v>
      </c>
      <c r="AJ356" s="636">
        <v>86</v>
      </c>
      <c r="AK356" s="636">
        <v>45691</v>
      </c>
      <c r="AL356" s="637">
        <f t="shared" si="145"/>
        <v>3929426</v>
      </c>
      <c r="AM356" s="638">
        <v>56</v>
      </c>
      <c r="AN356" s="638">
        <v>53417.430000000008</v>
      </c>
      <c r="AO356" s="640">
        <f t="shared" si="146"/>
        <v>2991376.0800000005</v>
      </c>
      <c r="AP356" s="636"/>
      <c r="AQ356" s="636"/>
      <c r="AR356" s="637">
        <f t="shared" si="147"/>
        <v>0</v>
      </c>
      <c r="AS356" s="638"/>
      <c r="AT356" s="638"/>
      <c r="AU356" s="635">
        <f t="shared" si="148"/>
        <v>0</v>
      </c>
      <c r="AV356" s="636"/>
      <c r="AW356" s="636"/>
      <c r="AX356" s="637">
        <f t="shared" si="149"/>
        <v>0</v>
      </c>
      <c r="AY356" s="638"/>
      <c r="AZ356" s="638"/>
      <c r="BA356" s="635">
        <f t="shared" si="150"/>
        <v>0</v>
      </c>
      <c r="BB356" s="636"/>
      <c r="BC356" s="636"/>
      <c r="BD356" s="637">
        <f t="shared" si="151"/>
        <v>0</v>
      </c>
      <c r="BE356" s="638"/>
      <c r="BF356" s="638"/>
      <c r="BG356" s="635">
        <f t="shared" si="152"/>
        <v>0</v>
      </c>
      <c r="BH356" s="636"/>
      <c r="BI356" s="636"/>
      <c r="BJ356" s="637">
        <f t="shared" si="153"/>
        <v>0</v>
      </c>
      <c r="BK356" s="638"/>
      <c r="BL356" s="638"/>
      <c r="BM356" s="635">
        <f t="shared" si="154"/>
        <v>0</v>
      </c>
      <c r="BN356" s="636"/>
      <c r="BO356" s="636"/>
      <c r="BP356" s="637">
        <f t="shared" si="155"/>
        <v>0</v>
      </c>
      <c r="BQ356" s="638"/>
      <c r="BR356" s="638"/>
      <c r="BS356" s="635">
        <f t="shared" si="156"/>
        <v>0</v>
      </c>
      <c r="BT356" s="636"/>
      <c r="BU356" s="636"/>
      <c r="BV356" s="637">
        <f t="shared" si="157"/>
        <v>0</v>
      </c>
      <c r="BW356" s="638"/>
      <c r="BX356" s="638"/>
      <c r="BY356" s="641">
        <f t="shared" si="158"/>
        <v>0</v>
      </c>
    </row>
    <row r="357" spans="1:77" x14ac:dyDescent="0.2">
      <c r="A357" s="429" t="s">
        <v>109</v>
      </c>
      <c r="B357" s="430" t="s">
        <v>936</v>
      </c>
      <c r="C357" s="431"/>
      <c r="D357" s="428">
        <v>199722</v>
      </c>
      <c r="E357" s="276">
        <v>10</v>
      </c>
      <c r="F357" s="631"/>
      <c r="G357" s="632"/>
      <c r="H357" s="633">
        <f t="shared" si="135"/>
        <v>0</v>
      </c>
      <c r="I357" s="634"/>
      <c r="J357" s="634"/>
      <c r="K357" s="635">
        <f t="shared" si="136"/>
        <v>0</v>
      </c>
      <c r="L357" s="636"/>
      <c r="M357" s="636"/>
      <c r="N357" s="637">
        <f t="shared" si="137"/>
        <v>0</v>
      </c>
      <c r="O357" s="638"/>
      <c r="P357" s="638"/>
      <c r="Q357" s="635">
        <f t="shared" si="138"/>
        <v>0</v>
      </c>
      <c r="R357" s="636"/>
      <c r="S357" s="636"/>
      <c r="T357" s="637">
        <f t="shared" si="139"/>
        <v>0</v>
      </c>
      <c r="U357" s="638"/>
      <c r="V357" s="638"/>
      <c r="W357" s="635">
        <f t="shared" si="140"/>
        <v>0</v>
      </c>
      <c r="X357" s="636"/>
      <c r="Y357" s="636"/>
      <c r="Z357" s="637">
        <f t="shared" si="141"/>
        <v>0</v>
      </c>
      <c r="AA357" s="638"/>
      <c r="AB357" s="638"/>
      <c r="AC357" s="635">
        <f t="shared" si="142"/>
        <v>0</v>
      </c>
      <c r="AD357" s="636"/>
      <c r="AE357" s="636"/>
      <c r="AF357" s="637">
        <f t="shared" si="143"/>
        <v>0</v>
      </c>
      <c r="AG357" s="638"/>
      <c r="AH357" s="638"/>
      <c r="AI357" s="635">
        <f t="shared" si="144"/>
        <v>0</v>
      </c>
      <c r="AJ357" s="636">
        <v>80</v>
      </c>
      <c r="AK357" s="636">
        <v>46112</v>
      </c>
      <c r="AL357" s="637">
        <f t="shared" si="145"/>
        <v>3688960</v>
      </c>
      <c r="AM357" s="638">
        <v>57</v>
      </c>
      <c r="AN357" s="638">
        <v>44951.22</v>
      </c>
      <c r="AO357" s="640">
        <f t="shared" si="146"/>
        <v>2562219.54</v>
      </c>
      <c r="AP357" s="636"/>
      <c r="AQ357" s="636"/>
      <c r="AR357" s="637">
        <f t="shared" si="147"/>
        <v>0</v>
      </c>
      <c r="AS357" s="638"/>
      <c r="AT357" s="638"/>
      <c r="AU357" s="635">
        <f t="shared" si="148"/>
        <v>0</v>
      </c>
      <c r="AV357" s="636"/>
      <c r="AW357" s="636"/>
      <c r="AX357" s="637">
        <f t="shared" si="149"/>
        <v>0</v>
      </c>
      <c r="AY357" s="638"/>
      <c r="AZ357" s="638"/>
      <c r="BA357" s="635">
        <f t="shared" si="150"/>
        <v>0</v>
      </c>
      <c r="BB357" s="636"/>
      <c r="BC357" s="636"/>
      <c r="BD357" s="637">
        <f t="shared" si="151"/>
        <v>0</v>
      </c>
      <c r="BE357" s="638"/>
      <c r="BF357" s="638"/>
      <c r="BG357" s="635">
        <f t="shared" si="152"/>
        <v>0</v>
      </c>
      <c r="BH357" s="636"/>
      <c r="BI357" s="636"/>
      <c r="BJ357" s="637">
        <f t="shared" si="153"/>
        <v>0</v>
      </c>
      <c r="BK357" s="638"/>
      <c r="BL357" s="638"/>
      <c r="BM357" s="635">
        <f t="shared" si="154"/>
        <v>0</v>
      </c>
      <c r="BN357" s="636"/>
      <c r="BO357" s="636"/>
      <c r="BP357" s="637">
        <f t="shared" si="155"/>
        <v>0</v>
      </c>
      <c r="BQ357" s="638"/>
      <c r="BR357" s="638"/>
      <c r="BS357" s="635">
        <f t="shared" si="156"/>
        <v>0</v>
      </c>
      <c r="BT357" s="636"/>
      <c r="BU357" s="636"/>
      <c r="BV357" s="637">
        <f t="shared" si="157"/>
        <v>0</v>
      </c>
      <c r="BW357" s="638"/>
      <c r="BX357" s="638"/>
      <c r="BY357" s="641">
        <f t="shared" si="158"/>
        <v>0</v>
      </c>
    </row>
    <row r="358" spans="1:77" x14ac:dyDescent="0.2">
      <c r="A358" s="429" t="s">
        <v>109</v>
      </c>
      <c r="B358" s="430" t="s">
        <v>937</v>
      </c>
      <c r="C358" s="431"/>
      <c r="D358" s="428">
        <v>199731</v>
      </c>
      <c r="E358" s="276">
        <v>10</v>
      </c>
      <c r="F358" s="631"/>
      <c r="G358" s="632"/>
      <c r="H358" s="633">
        <f t="shared" si="135"/>
        <v>0</v>
      </c>
      <c r="I358" s="634"/>
      <c r="J358" s="634"/>
      <c r="K358" s="635">
        <f t="shared" si="136"/>
        <v>0</v>
      </c>
      <c r="L358" s="636"/>
      <c r="M358" s="636"/>
      <c r="N358" s="637">
        <f t="shared" si="137"/>
        <v>0</v>
      </c>
      <c r="O358" s="638"/>
      <c r="P358" s="638"/>
      <c r="Q358" s="635">
        <f t="shared" si="138"/>
        <v>0</v>
      </c>
      <c r="R358" s="636"/>
      <c r="S358" s="636"/>
      <c r="T358" s="637">
        <f t="shared" si="139"/>
        <v>0</v>
      </c>
      <c r="U358" s="638"/>
      <c r="V358" s="638"/>
      <c r="W358" s="635">
        <f t="shared" si="140"/>
        <v>0</v>
      </c>
      <c r="X358" s="636"/>
      <c r="Y358" s="636"/>
      <c r="Z358" s="637">
        <f t="shared" si="141"/>
        <v>0</v>
      </c>
      <c r="AA358" s="638"/>
      <c r="AB358" s="638"/>
      <c r="AC358" s="635">
        <f t="shared" si="142"/>
        <v>0</v>
      </c>
      <c r="AD358" s="636"/>
      <c r="AE358" s="636"/>
      <c r="AF358" s="637">
        <f t="shared" si="143"/>
        <v>0</v>
      </c>
      <c r="AG358" s="638"/>
      <c r="AH358" s="638"/>
      <c r="AI358" s="635">
        <f t="shared" si="144"/>
        <v>0</v>
      </c>
      <c r="AJ358" s="636">
        <v>83</v>
      </c>
      <c r="AK358" s="636">
        <v>44670</v>
      </c>
      <c r="AL358" s="637">
        <f t="shared" si="145"/>
        <v>3707610</v>
      </c>
      <c r="AM358" s="638">
        <v>72</v>
      </c>
      <c r="AN358" s="638">
        <v>46443.96</v>
      </c>
      <c r="AO358" s="640">
        <f t="shared" si="146"/>
        <v>3343965.12</v>
      </c>
      <c r="AP358" s="636"/>
      <c r="AQ358" s="636"/>
      <c r="AR358" s="637">
        <f t="shared" si="147"/>
        <v>0</v>
      </c>
      <c r="AS358" s="638"/>
      <c r="AT358" s="638"/>
      <c r="AU358" s="635">
        <f t="shared" si="148"/>
        <v>0</v>
      </c>
      <c r="AV358" s="636"/>
      <c r="AW358" s="636"/>
      <c r="AX358" s="637">
        <f t="shared" si="149"/>
        <v>0</v>
      </c>
      <c r="AY358" s="638"/>
      <c r="AZ358" s="638"/>
      <c r="BA358" s="635">
        <f t="shared" si="150"/>
        <v>0</v>
      </c>
      <c r="BB358" s="636"/>
      <c r="BC358" s="636"/>
      <c r="BD358" s="637">
        <f t="shared" si="151"/>
        <v>0</v>
      </c>
      <c r="BE358" s="638"/>
      <c r="BF358" s="638"/>
      <c r="BG358" s="635">
        <f t="shared" si="152"/>
        <v>0</v>
      </c>
      <c r="BH358" s="636"/>
      <c r="BI358" s="636"/>
      <c r="BJ358" s="637">
        <f t="shared" si="153"/>
        <v>0</v>
      </c>
      <c r="BK358" s="638"/>
      <c r="BL358" s="638"/>
      <c r="BM358" s="635">
        <f t="shared" si="154"/>
        <v>0</v>
      </c>
      <c r="BN358" s="636"/>
      <c r="BO358" s="636"/>
      <c r="BP358" s="637">
        <f t="shared" si="155"/>
        <v>0</v>
      </c>
      <c r="BQ358" s="638"/>
      <c r="BR358" s="638"/>
      <c r="BS358" s="635">
        <f t="shared" si="156"/>
        <v>0</v>
      </c>
      <c r="BT358" s="636"/>
      <c r="BU358" s="636"/>
      <c r="BV358" s="637">
        <f t="shared" si="157"/>
        <v>0</v>
      </c>
      <c r="BW358" s="638"/>
      <c r="BX358" s="638"/>
      <c r="BY358" s="641">
        <f t="shared" si="158"/>
        <v>0</v>
      </c>
    </row>
    <row r="359" spans="1:77" x14ac:dyDescent="0.2">
      <c r="A359" s="429" t="s">
        <v>109</v>
      </c>
      <c r="B359" s="426" t="s">
        <v>938</v>
      </c>
      <c r="C359" s="427"/>
      <c r="D359" s="428">
        <v>199795</v>
      </c>
      <c r="E359" s="276">
        <v>10</v>
      </c>
      <c r="F359" s="631"/>
      <c r="G359" s="632"/>
      <c r="H359" s="633">
        <f t="shared" si="135"/>
        <v>0</v>
      </c>
      <c r="I359" s="634"/>
      <c r="J359" s="634"/>
      <c r="K359" s="635">
        <f t="shared" si="136"/>
        <v>0</v>
      </c>
      <c r="L359" s="636"/>
      <c r="M359" s="636"/>
      <c r="N359" s="637">
        <f t="shared" si="137"/>
        <v>0</v>
      </c>
      <c r="O359" s="638"/>
      <c r="P359" s="638"/>
      <c r="Q359" s="635">
        <f t="shared" si="138"/>
        <v>0</v>
      </c>
      <c r="R359" s="636"/>
      <c r="S359" s="636"/>
      <c r="T359" s="637">
        <f t="shared" si="139"/>
        <v>0</v>
      </c>
      <c r="U359" s="638"/>
      <c r="V359" s="638"/>
      <c r="W359" s="635">
        <f t="shared" si="140"/>
        <v>0</v>
      </c>
      <c r="X359" s="636"/>
      <c r="Y359" s="636"/>
      <c r="Z359" s="637">
        <f t="shared" si="141"/>
        <v>0</v>
      </c>
      <c r="AA359" s="638"/>
      <c r="AB359" s="638"/>
      <c r="AC359" s="635">
        <f t="shared" si="142"/>
        <v>0</v>
      </c>
      <c r="AD359" s="636"/>
      <c r="AE359" s="636"/>
      <c r="AF359" s="637">
        <f t="shared" si="143"/>
        <v>0</v>
      </c>
      <c r="AG359" s="638"/>
      <c r="AH359" s="638"/>
      <c r="AI359" s="635">
        <f t="shared" si="144"/>
        <v>0</v>
      </c>
      <c r="AJ359" s="636">
        <v>34</v>
      </c>
      <c r="AK359" s="636">
        <v>44505</v>
      </c>
      <c r="AL359" s="637">
        <f t="shared" si="145"/>
        <v>1513170</v>
      </c>
      <c r="AM359" s="638">
        <v>28</v>
      </c>
      <c r="AN359" s="638">
        <v>45370.89</v>
      </c>
      <c r="AO359" s="640">
        <f t="shared" si="146"/>
        <v>1270384.92</v>
      </c>
      <c r="AP359" s="636"/>
      <c r="AQ359" s="636"/>
      <c r="AR359" s="637">
        <f t="shared" si="147"/>
        <v>0</v>
      </c>
      <c r="AS359" s="638"/>
      <c r="AT359" s="638"/>
      <c r="AU359" s="635">
        <f t="shared" si="148"/>
        <v>0</v>
      </c>
      <c r="AV359" s="636"/>
      <c r="AW359" s="636"/>
      <c r="AX359" s="637">
        <f t="shared" si="149"/>
        <v>0</v>
      </c>
      <c r="AY359" s="638"/>
      <c r="AZ359" s="638"/>
      <c r="BA359" s="635">
        <f t="shared" si="150"/>
        <v>0</v>
      </c>
      <c r="BB359" s="636"/>
      <c r="BC359" s="636"/>
      <c r="BD359" s="637">
        <f t="shared" si="151"/>
        <v>0</v>
      </c>
      <c r="BE359" s="638"/>
      <c r="BF359" s="638"/>
      <c r="BG359" s="635">
        <f t="shared" si="152"/>
        <v>0</v>
      </c>
      <c r="BH359" s="636"/>
      <c r="BI359" s="636"/>
      <c r="BJ359" s="637">
        <f t="shared" si="153"/>
        <v>0</v>
      </c>
      <c r="BK359" s="638"/>
      <c r="BL359" s="638"/>
      <c r="BM359" s="635">
        <f t="shared" si="154"/>
        <v>0</v>
      </c>
      <c r="BN359" s="636"/>
      <c r="BO359" s="636"/>
      <c r="BP359" s="637">
        <f t="shared" si="155"/>
        <v>0</v>
      </c>
      <c r="BQ359" s="638"/>
      <c r="BR359" s="638"/>
      <c r="BS359" s="635">
        <f t="shared" si="156"/>
        <v>0</v>
      </c>
      <c r="BT359" s="636"/>
      <c r="BU359" s="636"/>
      <c r="BV359" s="637">
        <f t="shared" si="157"/>
        <v>0</v>
      </c>
      <c r="BW359" s="638"/>
      <c r="BX359" s="638"/>
      <c r="BY359" s="641">
        <f t="shared" si="158"/>
        <v>0</v>
      </c>
    </row>
    <row r="360" spans="1:77" x14ac:dyDescent="0.2">
      <c r="A360" s="429" t="s">
        <v>109</v>
      </c>
      <c r="B360" s="430" t="s">
        <v>939</v>
      </c>
      <c r="C360" s="431"/>
      <c r="D360" s="428">
        <v>199953</v>
      </c>
      <c r="E360" s="276">
        <v>10</v>
      </c>
      <c r="F360" s="631"/>
      <c r="G360" s="632"/>
      <c r="H360" s="633">
        <f t="shared" si="135"/>
        <v>0</v>
      </c>
      <c r="I360" s="634"/>
      <c r="J360" s="634"/>
      <c r="K360" s="635">
        <f t="shared" si="136"/>
        <v>0</v>
      </c>
      <c r="L360" s="636"/>
      <c r="M360" s="636"/>
      <c r="N360" s="637">
        <f t="shared" si="137"/>
        <v>0</v>
      </c>
      <c r="O360" s="638"/>
      <c r="P360" s="638"/>
      <c r="Q360" s="635">
        <f t="shared" si="138"/>
        <v>0</v>
      </c>
      <c r="R360" s="636"/>
      <c r="S360" s="636"/>
      <c r="T360" s="637">
        <f t="shared" si="139"/>
        <v>0</v>
      </c>
      <c r="U360" s="638"/>
      <c r="V360" s="638"/>
      <c r="W360" s="635">
        <f t="shared" si="140"/>
        <v>0</v>
      </c>
      <c r="X360" s="636"/>
      <c r="Y360" s="636"/>
      <c r="Z360" s="637">
        <f t="shared" si="141"/>
        <v>0</v>
      </c>
      <c r="AA360" s="638"/>
      <c r="AB360" s="638"/>
      <c r="AC360" s="635">
        <f t="shared" si="142"/>
        <v>0</v>
      </c>
      <c r="AD360" s="636"/>
      <c r="AE360" s="636"/>
      <c r="AF360" s="637">
        <f t="shared" si="143"/>
        <v>0</v>
      </c>
      <c r="AG360" s="638"/>
      <c r="AH360" s="638"/>
      <c r="AI360" s="635">
        <f t="shared" si="144"/>
        <v>0</v>
      </c>
      <c r="AJ360" s="636">
        <v>54</v>
      </c>
      <c r="AK360" s="636">
        <v>46670</v>
      </c>
      <c r="AL360" s="637">
        <f t="shared" si="145"/>
        <v>2520180</v>
      </c>
      <c r="AM360" s="638">
        <v>50</v>
      </c>
      <c r="AN360" s="638">
        <v>47452.319999999992</v>
      </c>
      <c r="AO360" s="640">
        <f t="shared" si="146"/>
        <v>2372615.9999999995</v>
      </c>
      <c r="AP360" s="636"/>
      <c r="AQ360" s="636"/>
      <c r="AR360" s="637">
        <f t="shared" si="147"/>
        <v>0</v>
      </c>
      <c r="AS360" s="638"/>
      <c r="AT360" s="638"/>
      <c r="AU360" s="635">
        <f t="shared" si="148"/>
        <v>0</v>
      </c>
      <c r="AV360" s="636"/>
      <c r="AW360" s="636"/>
      <c r="AX360" s="637">
        <f t="shared" si="149"/>
        <v>0</v>
      </c>
      <c r="AY360" s="638"/>
      <c r="AZ360" s="638"/>
      <c r="BA360" s="635">
        <f t="shared" si="150"/>
        <v>0</v>
      </c>
      <c r="BB360" s="636"/>
      <c r="BC360" s="636"/>
      <c r="BD360" s="637">
        <f t="shared" si="151"/>
        <v>0</v>
      </c>
      <c r="BE360" s="638"/>
      <c r="BF360" s="638"/>
      <c r="BG360" s="635">
        <f t="shared" si="152"/>
        <v>0</v>
      </c>
      <c r="BH360" s="636"/>
      <c r="BI360" s="636"/>
      <c r="BJ360" s="637">
        <f t="shared" si="153"/>
        <v>0</v>
      </c>
      <c r="BK360" s="638"/>
      <c r="BL360" s="638"/>
      <c r="BM360" s="635">
        <f t="shared" si="154"/>
        <v>0</v>
      </c>
      <c r="BN360" s="636"/>
      <c r="BO360" s="636"/>
      <c r="BP360" s="637">
        <f t="shared" si="155"/>
        <v>0</v>
      </c>
      <c r="BQ360" s="638"/>
      <c r="BR360" s="638"/>
      <c r="BS360" s="635">
        <f t="shared" si="156"/>
        <v>0</v>
      </c>
      <c r="BT360" s="636"/>
      <c r="BU360" s="636"/>
      <c r="BV360" s="637">
        <f t="shared" si="157"/>
        <v>0</v>
      </c>
      <c r="BW360" s="638"/>
      <c r="BX360" s="638"/>
      <c r="BY360" s="641">
        <f t="shared" si="158"/>
        <v>0</v>
      </c>
    </row>
    <row r="361" spans="1:77" x14ac:dyDescent="0.2">
      <c r="A361" s="369" t="s">
        <v>79</v>
      </c>
      <c r="B361" s="370" t="s">
        <v>591</v>
      </c>
      <c r="C361" s="371"/>
      <c r="D361" s="372">
        <v>207388</v>
      </c>
      <c r="E361" s="243">
        <v>1</v>
      </c>
      <c r="F361" s="631">
        <v>222</v>
      </c>
      <c r="G361" s="632">
        <v>108659</v>
      </c>
      <c r="H361" s="633">
        <f t="shared" si="135"/>
        <v>24122298</v>
      </c>
      <c r="I361" s="634">
        <v>225</v>
      </c>
      <c r="J361" s="634">
        <v>110650</v>
      </c>
      <c r="K361" s="635">
        <f t="shared" si="136"/>
        <v>24896250</v>
      </c>
      <c r="L361" s="636">
        <v>238</v>
      </c>
      <c r="M361" s="636">
        <v>73407</v>
      </c>
      <c r="N361" s="637">
        <f t="shared" si="137"/>
        <v>17470866</v>
      </c>
      <c r="O361" s="638">
        <v>248</v>
      </c>
      <c r="P361" s="638">
        <v>75323</v>
      </c>
      <c r="Q361" s="635">
        <f t="shared" si="138"/>
        <v>18680104</v>
      </c>
      <c r="R361" s="636">
        <v>220</v>
      </c>
      <c r="S361" s="636">
        <v>65302</v>
      </c>
      <c r="T361" s="637">
        <f t="shared" si="139"/>
        <v>14366440</v>
      </c>
      <c r="U361" s="638">
        <v>198</v>
      </c>
      <c r="V361" s="638">
        <v>68387</v>
      </c>
      <c r="W361" s="635">
        <f t="shared" si="140"/>
        <v>13540626</v>
      </c>
      <c r="X361" s="636">
        <v>67</v>
      </c>
      <c r="Y361" s="636">
        <v>45032</v>
      </c>
      <c r="Z361" s="637">
        <f t="shared" si="141"/>
        <v>3017144</v>
      </c>
      <c r="AA361" s="638">
        <v>65</v>
      </c>
      <c r="AB361" s="638">
        <v>45485</v>
      </c>
      <c r="AC361" s="635">
        <f t="shared" si="142"/>
        <v>2956525</v>
      </c>
      <c r="AD361" s="636"/>
      <c r="AE361" s="636"/>
      <c r="AF361" s="637">
        <f t="shared" si="143"/>
        <v>0</v>
      </c>
      <c r="AG361" s="638"/>
      <c r="AH361" s="638"/>
      <c r="AI361" s="635">
        <f t="shared" si="144"/>
        <v>0</v>
      </c>
      <c r="AJ361" s="636"/>
      <c r="AK361" s="636"/>
      <c r="AL361" s="637">
        <f t="shared" si="145"/>
        <v>0</v>
      </c>
      <c r="AM361" s="638"/>
      <c r="AN361" s="638"/>
      <c r="AO361" s="640">
        <f t="shared" si="146"/>
        <v>0</v>
      </c>
      <c r="AP361" s="636">
        <v>60</v>
      </c>
      <c r="AQ361" s="636">
        <v>140832</v>
      </c>
      <c r="AR361" s="637">
        <f t="shared" si="147"/>
        <v>6913724.5440000007</v>
      </c>
      <c r="AS361" s="638">
        <v>58</v>
      </c>
      <c r="AT361" s="638">
        <v>132940</v>
      </c>
      <c r="AU361" s="635">
        <f t="shared" si="148"/>
        <v>6308747.4640000006</v>
      </c>
      <c r="AV361" s="636">
        <v>32</v>
      </c>
      <c r="AW361" s="636">
        <v>79641</v>
      </c>
      <c r="AX361" s="637">
        <f t="shared" si="149"/>
        <v>2085192.5184000002</v>
      </c>
      <c r="AY361" s="638">
        <v>31</v>
      </c>
      <c r="AZ361" s="638">
        <v>79572</v>
      </c>
      <c r="BA361" s="635">
        <f t="shared" si="150"/>
        <v>2018280.1224</v>
      </c>
      <c r="BB361" s="636">
        <v>27</v>
      </c>
      <c r="BC361" s="636">
        <v>56422</v>
      </c>
      <c r="BD361" s="637">
        <f t="shared" si="151"/>
        <v>1246440.9708</v>
      </c>
      <c r="BE361" s="638">
        <v>26</v>
      </c>
      <c r="BF361" s="638">
        <v>60374</v>
      </c>
      <c r="BG361" s="635">
        <f t="shared" si="152"/>
        <v>1284348.1768</v>
      </c>
      <c r="BH361" s="636">
        <v>64</v>
      </c>
      <c r="BI361" s="636">
        <v>47822</v>
      </c>
      <c r="BJ361" s="637">
        <f t="shared" si="153"/>
        <v>2504189.4656000002</v>
      </c>
      <c r="BK361" s="638">
        <v>70</v>
      </c>
      <c r="BL361" s="638">
        <v>48778</v>
      </c>
      <c r="BM361" s="635">
        <f t="shared" si="154"/>
        <v>2793711.1720000003</v>
      </c>
      <c r="BN361" s="636"/>
      <c r="BO361" s="636"/>
      <c r="BP361" s="637">
        <f t="shared" si="155"/>
        <v>0</v>
      </c>
      <c r="BQ361" s="638"/>
      <c r="BR361" s="638"/>
      <c r="BS361" s="635">
        <f t="shared" si="156"/>
        <v>0</v>
      </c>
      <c r="BT361" s="636"/>
      <c r="BU361" s="636"/>
      <c r="BV361" s="637">
        <f t="shared" si="157"/>
        <v>0</v>
      </c>
      <c r="BW361" s="638"/>
      <c r="BX361" s="638"/>
      <c r="BY361" s="641">
        <f t="shared" si="158"/>
        <v>0</v>
      </c>
    </row>
    <row r="362" spans="1:77" x14ac:dyDescent="0.2">
      <c r="A362" s="369" t="s">
        <v>79</v>
      </c>
      <c r="B362" s="370" t="s">
        <v>592</v>
      </c>
      <c r="C362" s="371"/>
      <c r="D362" s="372">
        <v>207500</v>
      </c>
      <c r="E362" s="243">
        <v>1</v>
      </c>
      <c r="F362" s="631">
        <v>331</v>
      </c>
      <c r="G362" s="632">
        <v>105912</v>
      </c>
      <c r="H362" s="633">
        <f t="shared" si="135"/>
        <v>35056872</v>
      </c>
      <c r="I362" s="634">
        <v>341</v>
      </c>
      <c r="J362" s="634">
        <v>109889</v>
      </c>
      <c r="K362" s="635">
        <f t="shared" si="136"/>
        <v>37472149</v>
      </c>
      <c r="L362" s="636">
        <v>256</v>
      </c>
      <c r="M362" s="636">
        <v>69834</v>
      </c>
      <c r="N362" s="637">
        <f t="shared" si="137"/>
        <v>17877504</v>
      </c>
      <c r="O362" s="638">
        <v>269</v>
      </c>
      <c r="P362" s="638">
        <v>71320</v>
      </c>
      <c r="Q362" s="635">
        <f t="shared" si="138"/>
        <v>19185080</v>
      </c>
      <c r="R362" s="636">
        <v>238</v>
      </c>
      <c r="S362" s="636">
        <v>62796</v>
      </c>
      <c r="T362" s="637">
        <f t="shared" si="139"/>
        <v>14945448</v>
      </c>
      <c r="U362" s="638">
        <v>249</v>
      </c>
      <c r="V362" s="638">
        <v>65230</v>
      </c>
      <c r="W362" s="635">
        <f t="shared" si="140"/>
        <v>16242270</v>
      </c>
      <c r="X362" s="636">
        <v>157</v>
      </c>
      <c r="Y362" s="636">
        <v>41155</v>
      </c>
      <c r="Z362" s="637">
        <f t="shared" si="141"/>
        <v>6461335</v>
      </c>
      <c r="AA362" s="638">
        <v>143</v>
      </c>
      <c r="AB362" s="638">
        <v>41225</v>
      </c>
      <c r="AC362" s="635">
        <f t="shared" si="142"/>
        <v>5895175</v>
      </c>
      <c r="AD362" s="636"/>
      <c r="AE362" s="636"/>
      <c r="AF362" s="637">
        <f t="shared" si="143"/>
        <v>0</v>
      </c>
      <c r="AG362" s="638"/>
      <c r="AH362" s="638"/>
      <c r="AI362" s="635">
        <f t="shared" si="144"/>
        <v>0</v>
      </c>
      <c r="AJ362" s="636"/>
      <c r="AK362" s="636"/>
      <c r="AL362" s="637">
        <f t="shared" si="145"/>
        <v>0</v>
      </c>
      <c r="AM362" s="638"/>
      <c r="AN362" s="638"/>
      <c r="AO362" s="640">
        <f t="shared" si="146"/>
        <v>0</v>
      </c>
      <c r="AP362" s="636">
        <v>84</v>
      </c>
      <c r="AQ362" s="636">
        <v>143744</v>
      </c>
      <c r="AR362" s="637">
        <f t="shared" si="147"/>
        <v>9879352.6272</v>
      </c>
      <c r="AS362" s="638">
        <v>87</v>
      </c>
      <c r="AT362" s="638">
        <v>147481</v>
      </c>
      <c r="AU362" s="635">
        <f t="shared" si="148"/>
        <v>10498199.0154</v>
      </c>
      <c r="AV362" s="636">
        <v>31</v>
      </c>
      <c r="AW362" s="636">
        <v>95632</v>
      </c>
      <c r="AX362" s="637">
        <f t="shared" si="149"/>
        <v>2425629.1743999999</v>
      </c>
      <c r="AY362" s="638">
        <v>27</v>
      </c>
      <c r="AZ362" s="638">
        <v>100254</v>
      </c>
      <c r="BA362" s="635">
        <f t="shared" si="150"/>
        <v>2214751.2156000002</v>
      </c>
      <c r="BB362" s="636">
        <v>17</v>
      </c>
      <c r="BC362" s="636">
        <v>78420</v>
      </c>
      <c r="BD362" s="637">
        <f t="shared" si="151"/>
        <v>1090775.148</v>
      </c>
      <c r="BE362" s="638">
        <v>13</v>
      </c>
      <c r="BF362" s="638">
        <v>79934</v>
      </c>
      <c r="BG362" s="635">
        <f t="shared" si="152"/>
        <v>850225.98440000007</v>
      </c>
      <c r="BH362" s="636">
        <v>7</v>
      </c>
      <c r="BI362" s="636">
        <v>56282</v>
      </c>
      <c r="BJ362" s="637">
        <f t="shared" si="153"/>
        <v>322349.52679999999</v>
      </c>
      <c r="BK362" s="638">
        <v>10</v>
      </c>
      <c r="BL362" s="638">
        <v>56908</v>
      </c>
      <c r="BM362" s="635">
        <f t="shared" si="154"/>
        <v>465621.25599999999</v>
      </c>
      <c r="BN362" s="636"/>
      <c r="BO362" s="636"/>
      <c r="BP362" s="637">
        <f t="shared" si="155"/>
        <v>0</v>
      </c>
      <c r="BQ362" s="638"/>
      <c r="BR362" s="638"/>
      <c r="BS362" s="635">
        <f t="shared" si="156"/>
        <v>0</v>
      </c>
      <c r="BT362" s="636"/>
      <c r="BU362" s="636"/>
      <c r="BV362" s="637">
        <f t="shared" si="157"/>
        <v>0</v>
      </c>
      <c r="BW362" s="638"/>
      <c r="BX362" s="638"/>
      <c r="BY362" s="641">
        <f t="shared" si="158"/>
        <v>0</v>
      </c>
    </row>
    <row r="363" spans="1:77" x14ac:dyDescent="0.2">
      <c r="A363" s="369" t="s">
        <v>79</v>
      </c>
      <c r="B363" s="370" t="s">
        <v>593</v>
      </c>
      <c r="C363" s="371"/>
      <c r="D363" s="372">
        <v>207263</v>
      </c>
      <c r="E363" s="243">
        <v>3</v>
      </c>
      <c r="F363" s="631">
        <v>52</v>
      </c>
      <c r="G363" s="632">
        <v>69908</v>
      </c>
      <c r="H363" s="633">
        <f t="shared" si="135"/>
        <v>3635216</v>
      </c>
      <c r="I363" s="634">
        <v>56</v>
      </c>
      <c r="J363" s="634">
        <v>69202</v>
      </c>
      <c r="K363" s="635">
        <f t="shared" si="136"/>
        <v>3875312</v>
      </c>
      <c r="L363" s="636">
        <v>74</v>
      </c>
      <c r="M363" s="636">
        <v>56178</v>
      </c>
      <c r="N363" s="637">
        <f t="shared" si="137"/>
        <v>4157172</v>
      </c>
      <c r="O363" s="638">
        <v>67</v>
      </c>
      <c r="P363" s="638">
        <v>55395</v>
      </c>
      <c r="Q363" s="635">
        <f t="shared" si="138"/>
        <v>3711465</v>
      </c>
      <c r="R363" s="636">
        <v>88</v>
      </c>
      <c r="S363" s="636">
        <v>48233</v>
      </c>
      <c r="T363" s="637">
        <f t="shared" si="139"/>
        <v>4244504</v>
      </c>
      <c r="U363" s="638">
        <v>96</v>
      </c>
      <c r="V363" s="638">
        <v>49690</v>
      </c>
      <c r="W363" s="635">
        <f t="shared" si="140"/>
        <v>4770240</v>
      </c>
      <c r="X363" s="636">
        <v>82</v>
      </c>
      <c r="Y363" s="636">
        <v>38143</v>
      </c>
      <c r="Z363" s="637">
        <f t="shared" si="141"/>
        <v>3127726</v>
      </c>
      <c r="AA363" s="638">
        <v>74</v>
      </c>
      <c r="AB363" s="638">
        <v>37855</v>
      </c>
      <c r="AC363" s="635">
        <f t="shared" si="142"/>
        <v>2801270</v>
      </c>
      <c r="AD363" s="636"/>
      <c r="AE363" s="636"/>
      <c r="AF363" s="637">
        <f t="shared" si="143"/>
        <v>0</v>
      </c>
      <c r="AG363" s="638"/>
      <c r="AH363" s="638"/>
      <c r="AI363" s="635">
        <f t="shared" si="144"/>
        <v>0</v>
      </c>
      <c r="AJ363" s="636"/>
      <c r="AK363" s="636"/>
      <c r="AL363" s="637">
        <f t="shared" si="145"/>
        <v>0</v>
      </c>
      <c r="AM363" s="638"/>
      <c r="AN363" s="638"/>
      <c r="AO363" s="640">
        <f t="shared" si="146"/>
        <v>0</v>
      </c>
      <c r="AP363" s="636">
        <v>10</v>
      </c>
      <c r="AQ363" s="636">
        <v>100119</v>
      </c>
      <c r="AR363" s="637">
        <f t="shared" si="147"/>
        <v>819173.65800000005</v>
      </c>
      <c r="AS363" s="638">
        <v>10</v>
      </c>
      <c r="AT363" s="638">
        <v>99067</v>
      </c>
      <c r="AU363" s="635">
        <f t="shared" si="148"/>
        <v>810566.19400000002</v>
      </c>
      <c r="AV363" s="636">
        <v>8</v>
      </c>
      <c r="AW363" s="636">
        <v>82117</v>
      </c>
      <c r="AX363" s="637">
        <f t="shared" si="149"/>
        <v>537505.03520000004</v>
      </c>
      <c r="AY363" s="638">
        <v>5</v>
      </c>
      <c r="AZ363" s="638">
        <v>85022</v>
      </c>
      <c r="BA363" s="635">
        <f t="shared" si="150"/>
        <v>347825.00200000004</v>
      </c>
      <c r="BB363" s="636">
        <v>11</v>
      </c>
      <c r="BC363" s="636">
        <v>77327</v>
      </c>
      <c r="BD363" s="637">
        <f t="shared" si="151"/>
        <v>695958.46539999999</v>
      </c>
      <c r="BE363" s="638">
        <v>10</v>
      </c>
      <c r="BF363" s="638">
        <v>77813</v>
      </c>
      <c r="BG363" s="635">
        <f t="shared" si="152"/>
        <v>636665.96600000001</v>
      </c>
      <c r="BH363" s="636">
        <v>8</v>
      </c>
      <c r="BI363" s="636">
        <v>48765</v>
      </c>
      <c r="BJ363" s="637">
        <f t="shared" si="153"/>
        <v>319196.18400000001</v>
      </c>
      <c r="BK363" s="638">
        <v>7</v>
      </c>
      <c r="BL363" s="638">
        <v>50808</v>
      </c>
      <c r="BM363" s="635">
        <f t="shared" si="154"/>
        <v>290997.73920000001</v>
      </c>
      <c r="BN363" s="636"/>
      <c r="BO363" s="636"/>
      <c r="BP363" s="637">
        <f t="shared" si="155"/>
        <v>0</v>
      </c>
      <c r="BQ363" s="638"/>
      <c r="BR363" s="638"/>
      <c r="BS363" s="635">
        <f t="shared" si="156"/>
        <v>0</v>
      </c>
      <c r="BT363" s="636"/>
      <c r="BU363" s="636"/>
      <c r="BV363" s="637">
        <f t="shared" si="157"/>
        <v>0</v>
      </c>
      <c r="BW363" s="638"/>
      <c r="BX363" s="638"/>
      <c r="BY363" s="641">
        <f t="shared" si="158"/>
        <v>0</v>
      </c>
    </row>
    <row r="364" spans="1:77" x14ac:dyDescent="0.2">
      <c r="A364" s="369" t="s">
        <v>79</v>
      </c>
      <c r="B364" s="370" t="s">
        <v>594</v>
      </c>
      <c r="C364" s="371"/>
      <c r="D364" s="372">
        <v>206941</v>
      </c>
      <c r="E364" s="243">
        <v>3</v>
      </c>
      <c r="F364" s="631">
        <v>170</v>
      </c>
      <c r="G364" s="632">
        <v>77722</v>
      </c>
      <c r="H364" s="633">
        <f t="shared" si="135"/>
        <v>13212740</v>
      </c>
      <c r="I364" s="634">
        <v>157</v>
      </c>
      <c r="J364" s="634">
        <v>77182</v>
      </c>
      <c r="K364" s="635">
        <f t="shared" si="136"/>
        <v>12117574</v>
      </c>
      <c r="L364" s="636">
        <v>70</v>
      </c>
      <c r="M364" s="636">
        <v>63374</v>
      </c>
      <c r="N364" s="637">
        <f t="shared" si="137"/>
        <v>4436180</v>
      </c>
      <c r="O364" s="638">
        <v>81</v>
      </c>
      <c r="P364" s="638">
        <v>63384</v>
      </c>
      <c r="Q364" s="635">
        <f t="shared" si="138"/>
        <v>5134104</v>
      </c>
      <c r="R364" s="636">
        <v>116</v>
      </c>
      <c r="S364" s="636">
        <v>59200</v>
      </c>
      <c r="T364" s="637">
        <f t="shared" si="139"/>
        <v>6867200</v>
      </c>
      <c r="U364" s="638">
        <v>114</v>
      </c>
      <c r="V364" s="638">
        <v>60023</v>
      </c>
      <c r="W364" s="635">
        <f t="shared" si="140"/>
        <v>6842622</v>
      </c>
      <c r="X364" s="636">
        <v>92</v>
      </c>
      <c r="Y364" s="636">
        <v>40887</v>
      </c>
      <c r="Z364" s="637">
        <f t="shared" si="141"/>
        <v>3761604</v>
      </c>
      <c r="AA364" s="638">
        <v>98</v>
      </c>
      <c r="AB364" s="638">
        <v>43202</v>
      </c>
      <c r="AC364" s="635">
        <f t="shared" si="142"/>
        <v>4233796</v>
      </c>
      <c r="AD364" s="636"/>
      <c r="AE364" s="636"/>
      <c r="AF364" s="637">
        <f t="shared" si="143"/>
        <v>0</v>
      </c>
      <c r="AG364" s="638"/>
      <c r="AH364" s="638"/>
      <c r="AI364" s="635">
        <f t="shared" si="144"/>
        <v>0</v>
      </c>
      <c r="AJ364" s="636"/>
      <c r="AK364" s="636"/>
      <c r="AL364" s="637">
        <f t="shared" si="145"/>
        <v>0</v>
      </c>
      <c r="AM364" s="638"/>
      <c r="AN364" s="638"/>
      <c r="AO364" s="640">
        <f t="shared" si="146"/>
        <v>0</v>
      </c>
      <c r="AP364" s="636"/>
      <c r="AQ364" s="636"/>
      <c r="AR364" s="637">
        <f t="shared" si="147"/>
        <v>0</v>
      </c>
      <c r="AS364" s="638">
        <v>0</v>
      </c>
      <c r="AT364" s="638">
        <v>0</v>
      </c>
      <c r="AU364" s="635">
        <f t="shared" si="148"/>
        <v>0</v>
      </c>
      <c r="AV364" s="636"/>
      <c r="AW364" s="636"/>
      <c r="AX364" s="637">
        <f t="shared" si="149"/>
        <v>0</v>
      </c>
      <c r="AY364" s="638">
        <v>0</v>
      </c>
      <c r="AZ364" s="638">
        <v>0</v>
      </c>
      <c r="BA364" s="635">
        <f t="shared" si="150"/>
        <v>0</v>
      </c>
      <c r="BB364" s="636"/>
      <c r="BC364" s="636"/>
      <c r="BD364" s="637">
        <f t="shared" si="151"/>
        <v>0</v>
      </c>
      <c r="BE364" s="638">
        <v>0</v>
      </c>
      <c r="BF364" s="638">
        <v>0</v>
      </c>
      <c r="BG364" s="635">
        <f t="shared" si="152"/>
        <v>0</v>
      </c>
      <c r="BH364" s="636"/>
      <c r="BI364" s="636"/>
      <c r="BJ364" s="637">
        <f t="shared" si="153"/>
        <v>0</v>
      </c>
      <c r="BK364" s="638">
        <v>0</v>
      </c>
      <c r="BL364" s="638">
        <v>0</v>
      </c>
      <c r="BM364" s="635">
        <f t="shared" si="154"/>
        <v>0</v>
      </c>
      <c r="BN364" s="636"/>
      <c r="BO364" s="636"/>
      <c r="BP364" s="637">
        <f t="shared" si="155"/>
        <v>0</v>
      </c>
      <c r="BQ364" s="638"/>
      <c r="BR364" s="638"/>
      <c r="BS364" s="635">
        <f t="shared" si="156"/>
        <v>0</v>
      </c>
      <c r="BT364" s="636"/>
      <c r="BU364" s="636"/>
      <c r="BV364" s="637">
        <f t="shared" si="157"/>
        <v>0</v>
      </c>
      <c r="BW364" s="638"/>
      <c r="BX364" s="638"/>
      <c r="BY364" s="641">
        <f t="shared" si="158"/>
        <v>0</v>
      </c>
    </row>
    <row r="365" spans="1:77" x14ac:dyDescent="0.2">
      <c r="A365" s="369" t="s">
        <v>79</v>
      </c>
      <c r="B365" s="370" t="s">
        <v>595</v>
      </c>
      <c r="C365" s="371"/>
      <c r="D365" s="372">
        <v>206914</v>
      </c>
      <c r="E365" s="243">
        <v>5</v>
      </c>
      <c r="F365" s="631">
        <v>32</v>
      </c>
      <c r="G365" s="632">
        <v>65202</v>
      </c>
      <c r="H365" s="633">
        <f t="shared" si="135"/>
        <v>2086464</v>
      </c>
      <c r="I365" s="634">
        <v>34</v>
      </c>
      <c r="J365" s="634">
        <v>68891</v>
      </c>
      <c r="K365" s="635">
        <f t="shared" si="136"/>
        <v>2342294</v>
      </c>
      <c r="L365" s="636">
        <v>42</v>
      </c>
      <c r="M365" s="636">
        <v>57959</v>
      </c>
      <c r="N365" s="637">
        <f t="shared" si="137"/>
        <v>2434278</v>
      </c>
      <c r="O365" s="638">
        <v>39</v>
      </c>
      <c r="P365" s="638">
        <v>61259</v>
      </c>
      <c r="Q365" s="635">
        <f t="shared" si="138"/>
        <v>2389101</v>
      </c>
      <c r="R365" s="636">
        <v>56</v>
      </c>
      <c r="S365" s="636">
        <v>49512</v>
      </c>
      <c r="T365" s="637">
        <f t="shared" si="139"/>
        <v>2772672</v>
      </c>
      <c r="U365" s="638">
        <v>56</v>
      </c>
      <c r="V365" s="638">
        <v>52641</v>
      </c>
      <c r="W365" s="635">
        <f t="shared" si="140"/>
        <v>2947896</v>
      </c>
      <c r="X365" s="636">
        <v>43</v>
      </c>
      <c r="Y365" s="636">
        <v>38012</v>
      </c>
      <c r="Z365" s="637">
        <f t="shared" si="141"/>
        <v>1634516</v>
      </c>
      <c r="AA365" s="638">
        <v>45</v>
      </c>
      <c r="AB365" s="638">
        <v>38527</v>
      </c>
      <c r="AC365" s="635">
        <f t="shared" si="142"/>
        <v>1733715</v>
      </c>
      <c r="AD365" s="636"/>
      <c r="AE365" s="636"/>
      <c r="AF365" s="637">
        <f t="shared" si="143"/>
        <v>0</v>
      </c>
      <c r="AG365" s="638"/>
      <c r="AH365" s="638"/>
      <c r="AI365" s="635">
        <f t="shared" si="144"/>
        <v>0</v>
      </c>
      <c r="AJ365" s="636"/>
      <c r="AK365" s="636"/>
      <c r="AL365" s="637">
        <f t="shared" si="145"/>
        <v>0</v>
      </c>
      <c r="AM365" s="638"/>
      <c r="AN365" s="638"/>
      <c r="AO365" s="640">
        <f t="shared" si="146"/>
        <v>0</v>
      </c>
      <c r="AP365" s="636"/>
      <c r="AQ365" s="636"/>
      <c r="AR365" s="637">
        <f t="shared" si="147"/>
        <v>0</v>
      </c>
      <c r="AS365" s="638">
        <v>0</v>
      </c>
      <c r="AT365" s="638">
        <v>0</v>
      </c>
      <c r="AU365" s="635">
        <f t="shared" si="148"/>
        <v>0</v>
      </c>
      <c r="AV365" s="636">
        <v>2</v>
      </c>
      <c r="AW365" s="636">
        <v>51000</v>
      </c>
      <c r="AX365" s="637">
        <f t="shared" si="149"/>
        <v>83456.400000000009</v>
      </c>
      <c r="AY365" s="638">
        <v>2</v>
      </c>
      <c r="AZ365" s="638">
        <v>53039</v>
      </c>
      <c r="BA365" s="635">
        <f t="shared" si="150"/>
        <v>86793.0196</v>
      </c>
      <c r="BB365" s="636">
        <v>1</v>
      </c>
      <c r="BC365" s="636">
        <v>45679</v>
      </c>
      <c r="BD365" s="637">
        <f t="shared" si="151"/>
        <v>37374.557800000002</v>
      </c>
      <c r="BE365" s="638">
        <v>1</v>
      </c>
      <c r="BF365" s="638">
        <v>47506</v>
      </c>
      <c r="BG365" s="635">
        <f t="shared" si="152"/>
        <v>38869.409200000002</v>
      </c>
      <c r="BH365" s="636">
        <v>3</v>
      </c>
      <c r="BI365" s="636">
        <v>41667</v>
      </c>
      <c r="BJ365" s="637">
        <f t="shared" si="153"/>
        <v>102275.81820000001</v>
      </c>
      <c r="BK365" s="638">
        <v>2</v>
      </c>
      <c r="BL365" s="638">
        <v>43680</v>
      </c>
      <c r="BM365" s="635">
        <f t="shared" si="154"/>
        <v>71477.952000000005</v>
      </c>
      <c r="BN365" s="636"/>
      <c r="BO365" s="636"/>
      <c r="BP365" s="637">
        <f t="shared" si="155"/>
        <v>0</v>
      </c>
      <c r="BQ365" s="638"/>
      <c r="BR365" s="638"/>
      <c r="BS365" s="635">
        <f t="shared" si="156"/>
        <v>0</v>
      </c>
      <c r="BT365" s="636"/>
      <c r="BU365" s="636"/>
      <c r="BV365" s="637">
        <f t="shared" si="157"/>
        <v>0</v>
      </c>
      <c r="BW365" s="638"/>
      <c r="BX365" s="638"/>
      <c r="BY365" s="641">
        <f t="shared" si="158"/>
        <v>0</v>
      </c>
    </row>
    <row r="366" spans="1:77" x14ac:dyDescent="0.2">
      <c r="A366" s="369" t="s">
        <v>79</v>
      </c>
      <c r="B366" s="370" t="s">
        <v>596</v>
      </c>
      <c r="C366" s="371"/>
      <c r="D366" s="372">
        <v>207041</v>
      </c>
      <c r="E366" s="243">
        <v>5</v>
      </c>
      <c r="F366" s="631">
        <v>50</v>
      </c>
      <c r="G366" s="632">
        <v>65905</v>
      </c>
      <c r="H366" s="633">
        <f t="shared" si="135"/>
        <v>3295250</v>
      </c>
      <c r="I366" s="634">
        <v>53</v>
      </c>
      <c r="J366" s="634">
        <v>67524</v>
      </c>
      <c r="K366" s="635">
        <f t="shared" si="136"/>
        <v>3578772</v>
      </c>
      <c r="L366" s="636">
        <v>22</v>
      </c>
      <c r="M366" s="636">
        <v>53713</v>
      </c>
      <c r="N366" s="637">
        <f t="shared" si="137"/>
        <v>1181686</v>
      </c>
      <c r="O366" s="638">
        <v>18</v>
      </c>
      <c r="P366" s="638">
        <v>55245</v>
      </c>
      <c r="Q366" s="635">
        <f t="shared" si="138"/>
        <v>994410</v>
      </c>
      <c r="R366" s="636">
        <v>42</v>
      </c>
      <c r="S366" s="636">
        <v>47879</v>
      </c>
      <c r="T366" s="637">
        <f t="shared" si="139"/>
        <v>2010918</v>
      </c>
      <c r="U366" s="638">
        <v>45</v>
      </c>
      <c r="V366" s="638">
        <v>45258</v>
      </c>
      <c r="W366" s="635">
        <f t="shared" si="140"/>
        <v>2036610</v>
      </c>
      <c r="X366" s="636">
        <v>43</v>
      </c>
      <c r="Y366" s="636">
        <v>41391</v>
      </c>
      <c r="Z366" s="637">
        <f t="shared" si="141"/>
        <v>1779813</v>
      </c>
      <c r="AA366" s="638">
        <v>44</v>
      </c>
      <c r="AB366" s="638">
        <v>43145</v>
      </c>
      <c r="AC366" s="635">
        <f t="shared" si="142"/>
        <v>1898380</v>
      </c>
      <c r="AD366" s="636"/>
      <c r="AE366" s="636"/>
      <c r="AF366" s="637">
        <f t="shared" si="143"/>
        <v>0</v>
      </c>
      <c r="AG366" s="638"/>
      <c r="AH366" s="638"/>
      <c r="AI366" s="635">
        <f t="shared" si="144"/>
        <v>0</v>
      </c>
      <c r="AJ366" s="636"/>
      <c r="AK366" s="636"/>
      <c r="AL366" s="637">
        <f t="shared" si="145"/>
        <v>0</v>
      </c>
      <c r="AM366" s="638"/>
      <c r="AN366" s="638"/>
      <c r="AO366" s="640">
        <f t="shared" si="146"/>
        <v>0</v>
      </c>
      <c r="AP366" s="636">
        <v>3</v>
      </c>
      <c r="AQ366" s="636">
        <v>82537</v>
      </c>
      <c r="AR366" s="637">
        <f t="shared" si="147"/>
        <v>202595.32020000002</v>
      </c>
      <c r="AS366" s="638">
        <v>3</v>
      </c>
      <c r="AT366" s="638">
        <v>84464</v>
      </c>
      <c r="AU366" s="635">
        <f t="shared" si="148"/>
        <v>207325.33440000002</v>
      </c>
      <c r="AV366" s="636">
        <v>1</v>
      </c>
      <c r="AW366" s="636">
        <v>72911</v>
      </c>
      <c r="AX366" s="637">
        <f t="shared" si="149"/>
        <v>59655.780200000001</v>
      </c>
      <c r="AY366" s="638">
        <v>1</v>
      </c>
      <c r="AZ366" s="638">
        <v>74788</v>
      </c>
      <c r="BA366" s="635">
        <f t="shared" si="150"/>
        <v>61191.541600000004</v>
      </c>
      <c r="BB366" s="636"/>
      <c r="BC366" s="636"/>
      <c r="BD366" s="637">
        <f t="shared" si="151"/>
        <v>0</v>
      </c>
      <c r="BE366" s="638">
        <v>1</v>
      </c>
      <c r="BF366" s="638">
        <v>66067</v>
      </c>
      <c r="BG366" s="635">
        <f t="shared" si="152"/>
        <v>54056.019400000005</v>
      </c>
      <c r="BH366" s="636">
        <v>6</v>
      </c>
      <c r="BI366" s="636">
        <v>52068</v>
      </c>
      <c r="BJ366" s="637">
        <f t="shared" si="153"/>
        <v>255612.22560000001</v>
      </c>
      <c r="BK366" s="638">
        <v>5</v>
      </c>
      <c r="BL366" s="638">
        <v>57870</v>
      </c>
      <c r="BM366" s="635">
        <f t="shared" si="154"/>
        <v>236746.17</v>
      </c>
      <c r="BN366" s="636"/>
      <c r="BO366" s="636"/>
      <c r="BP366" s="637">
        <f t="shared" si="155"/>
        <v>0</v>
      </c>
      <c r="BQ366" s="638"/>
      <c r="BR366" s="638"/>
      <c r="BS366" s="635">
        <f t="shared" si="156"/>
        <v>0</v>
      </c>
      <c r="BT366" s="636"/>
      <c r="BU366" s="636"/>
      <c r="BV366" s="637">
        <f t="shared" si="157"/>
        <v>0</v>
      </c>
      <c r="BW366" s="638"/>
      <c r="BX366" s="638"/>
      <c r="BY366" s="641">
        <f t="shared" si="158"/>
        <v>0</v>
      </c>
    </row>
    <row r="367" spans="1:77" x14ac:dyDescent="0.2">
      <c r="A367" s="369" t="s">
        <v>79</v>
      </c>
      <c r="B367" s="370" t="s">
        <v>597</v>
      </c>
      <c r="C367" s="371"/>
      <c r="D367" s="372">
        <v>207209</v>
      </c>
      <c r="E367" s="243">
        <v>5</v>
      </c>
      <c r="F367" s="631">
        <v>4</v>
      </c>
      <c r="G367" s="632">
        <v>56728</v>
      </c>
      <c r="H367" s="633">
        <f t="shared" si="135"/>
        <v>226912</v>
      </c>
      <c r="I367" s="634">
        <v>4</v>
      </c>
      <c r="J367" s="634">
        <v>58980</v>
      </c>
      <c r="K367" s="635">
        <f t="shared" si="136"/>
        <v>235920</v>
      </c>
      <c r="L367" s="636">
        <v>23</v>
      </c>
      <c r="M367" s="636">
        <v>57163</v>
      </c>
      <c r="N367" s="637">
        <f t="shared" si="137"/>
        <v>1314749</v>
      </c>
      <c r="O367" s="638">
        <v>22</v>
      </c>
      <c r="P367" s="638">
        <v>57967</v>
      </c>
      <c r="Q367" s="635">
        <f t="shared" si="138"/>
        <v>1275274</v>
      </c>
      <c r="R367" s="636">
        <v>35</v>
      </c>
      <c r="S367" s="636">
        <v>49217</v>
      </c>
      <c r="T367" s="637">
        <f t="shared" si="139"/>
        <v>1722595</v>
      </c>
      <c r="U367" s="638">
        <v>36</v>
      </c>
      <c r="V367" s="638">
        <v>51424</v>
      </c>
      <c r="W367" s="635">
        <f t="shared" si="140"/>
        <v>1851264</v>
      </c>
      <c r="X367" s="636">
        <v>27</v>
      </c>
      <c r="Y367" s="636">
        <v>44656</v>
      </c>
      <c r="Z367" s="637">
        <f t="shared" si="141"/>
        <v>1205712</v>
      </c>
      <c r="AA367" s="638">
        <v>32</v>
      </c>
      <c r="AB367" s="638">
        <v>45192</v>
      </c>
      <c r="AC367" s="635">
        <f t="shared" si="142"/>
        <v>1446144</v>
      </c>
      <c r="AD367" s="636"/>
      <c r="AE367" s="636"/>
      <c r="AF367" s="637">
        <f t="shared" si="143"/>
        <v>0</v>
      </c>
      <c r="AG367" s="638"/>
      <c r="AH367" s="638"/>
      <c r="AI367" s="635">
        <f t="shared" si="144"/>
        <v>0</v>
      </c>
      <c r="AJ367" s="636"/>
      <c r="AK367" s="636"/>
      <c r="AL367" s="637">
        <f t="shared" si="145"/>
        <v>0</v>
      </c>
      <c r="AM367" s="638"/>
      <c r="AN367" s="638"/>
      <c r="AO367" s="640">
        <f t="shared" si="146"/>
        <v>0</v>
      </c>
      <c r="AP367" s="636">
        <v>2</v>
      </c>
      <c r="AQ367" s="636">
        <v>95002</v>
      </c>
      <c r="AR367" s="637">
        <f t="shared" si="147"/>
        <v>155461.27280000001</v>
      </c>
      <c r="AS367" s="638">
        <v>3</v>
      </c>
      <c r="AT367" s="638">
        <v>101668</v>
      </c>
      <c r="AU367" s="635">
        <f t="shared" si="148"/>
        <v>249554.27280000001</v>
      </c>
      <c r="AV367" s="636">
        <v>17</v>
      </c>
      <c r="AW367" s="636">
        <v>70242</v>
      </c>
      <c r="AX367" s="637">
        <f t="shared" si="149"/>
        <v>977024.07480000006</v>
      </c>
      <c r="AY367" s="638">
        <v>17</v>
      </c>
      <c r="AZ367" s="638">
        <v>68613</v>
      </c>
      <c r="BA367" s="635">
        <f t="shared" si="150"/>
        <v>954365.66220000002</v>
      </c>
      <c r="BB367" s="636">
        <v>17</v>
      </c>
      <c r="BC367" s="636">
        <v>59730</v>
      </c>
      <c r="BD367" s="637">
        <f t="shared" si="151"/>
        <v>830808.46200000006</v>
      </c>
      <c r="BE367" s="638">
        <v>16</v>
      </c>
      <c r="BF367" s="638">
        <v>56314</v>
      </c>
      <c r="BG367" s="635">
        <f t="shared" si="152"/>
        <v>737217.83680000005</v>
      </c>
      <c r="BH367" s="636">
        <v>11</v>
      </c>
      <c r="BI367" s="636">
        <v>48354</v>
      </c>
      <c r="BJ367" s="637">
        <f t="shared" si="153"/>
        <v>435195.67080000002</v>
      </c>
      <c r="BK367" s="638">
        <v>10</v>
      </c>
      <c r="BL367" s="638">
        <v>43665</v>
      </c>
      <c r="BM367" s="635">
        <f t="shared" si="154"/>
        <v>357267.03</v>
      </c>
      <c r="BN367" s="636"/>
      <c r="BO367" s="636"/>
      <c r="BP367" s="637">
        <f t="shared" si="155"/>
        <v>0</v>
      </c>
      <c r="BQ367" s="638"/>
      <c r="BR367" s="638"/>
      <c r="BS367" s="635">
        <f t="shared" si="156"/>
        <v>0</v>
      </c>
      <c r="BT367" s="636"/>
      <c r="BU367" s="636"/>
      <c r="BV367" s="637">
        <f t="shared" si="157"/>
        <v>0</v>
      </c>
      <c r="BW367" s="638"/>
      <c r="BX367" s="638"/>
      <c r="BY367" s="641">
        <f t="shared" si="158"/>
        <v>0</v>
      </c>
    </row>
    <row r="368" spans="1:77" x14ac:dyDescent="0.2">
      <c r="A368" s="369" t="s">
        <v>79</v>
      </c>
      <c r="B368" s="370" t="s">
        <v>598</v>
      </c>
      <c r="C368" s="371"/>
      <c r="D368" s="372">
        <v>207306</v>
      </c>
      <c r="E368" s="243">
        <v>5</v>
      </c>
      <c r="F368" s="631">
        <v>18</v>
      </c>
      <c r="G368" s="632">
        <v>63623</v>
      </c>
      <c r="H368" s="633">
        <f t="shared" si="135"/>
        <v>1145214</v>
      </c>
      <c r="I368" s="634">
        <v>15</v>
      </c>
      <c r="J368" s="634">
        <v>65575</v>
      </c>
      <c r="K368" s="635">
        <f t="shared" si="136"/>
        <v>983625</v>
      </c>
      <c r="L368" s="636">
        <v>14</v>
      </c>
      <c r="M368" s="636">
        <v>55443</v>
      </c>
      <c r="N368" s="637">
        <f t="shared" si="137"/>
        <v>776202</v>
      </c>
      <c r="O368" s="638">
        <v>15</v>
      </c>
      <c r="P368" s="638">
        <v>55451</v>
      </c>
      <c r="Q368" s="635">
        <f t="shared" si="138"/>
        <v>831765</v>
      </c>
      <c r="R368" s="636">
        <v>13</v>
      </c>
      <c r="S368" s="636">
        <v>47978</v>
      </c>
      <c r="T368" s="637">
        <f t="shared" si="139"/>
        <v>623714</v>
      </c>
      <c r="U368" s="638">
        <v>17</v>
      </c>
      <c r="V368" s="638">
        <v>48622</v>
      </c>
      <c r="W368" s="635">
        <f t="shared" si="140"/>
        <v>826574</v>
      </c>
      <c r="X368" s="636">
        <v>37</v>
      </c>
      <c r="Y368" s="636">
        <v>40126</v>
      </c>
      <c r="Z368" s="637">
        <f t="shared" si="141"/>
        <v>1484662</v>
      </c>
      <c r="AA368" s="638">
        <v>31</v>
      </c>
      <c r="AB368" s="638">
        <v>40879</v>
      </c>
      <c r="AC368" s="635">
        <f t="shared" si="142"/>
        <v>1267249</v>
      </c>
      <c r="AD368" s="636"/>
      <c r="AE368" s="636"/>
      <c r="AF368" s="637">
        <f t="shared" si="143"/>
        <v>0</v>
      </c>
      <c r="AG368" s="638"/>
      <c r="AH368" s="638"/>
      <c r="AI368" s="635">
        <f t="shared" si="144"/>
        <v>0</v>
      </c>
      <c r="AJ368" s="636"/>
      <c r="AK368" s="636"/>
      <c r="AL368" s="637">
        <f t="shared" si="145"/>
        <v>0</v>
      </c>
      <c r="AM368" s="638"/>
      <c r="AN368" s="638"/>
      <c r="AO368" s="640">
        <f t="shared" si="146"/>
        <v>0</v>
      </c>
      <c r="AP368" s="636">
        <v>1</v>
      </c>
      <c r="AQ368" s="636">
        <v>75000</v>
      </c>
      <c r="AR368" s="637">
        <f t="shared" si="147"/>
        <v>61365</v>
      </c>
      <c r="AS368" s="638">
        <v>0</v>
      </c>
      <c r="AT368" s="638">
        <v>0</v>
      </c>
      <c r="AU368" s="635">
        <f t="shared" si="148"/>
        <v>0</v>
      </c>
      <c r="AV368" s="636">
        <v>2</v>
      </c>
      <c r="AW368" s="636">
        <v>93850</v>
      </c>
      <c r="AX368" s="637">
        <f t="shared" si="149"/>
        <v>153576.14000000001</v>
      </c>
      <c r="AY368" s="638">
        <v>2</v>
      </c>
      <c r="AZ368" s="638">
        <v>93850</v>
      </c>
      <c r="BA368" s="635">
        <f t="shared" si="150"/>
        <v>153576.14000000001</v>
      </c>
      <c r="BB368" s="636"/>
      <c r="BC368" s="636"/>
      <c r="BD368" s="637">
        <f t="shared" si="151"/>
        <v>0</v>
      </c>
      <c r="BE368" s="638">
        <v>1</v>
      </c>
      <c r="BF368" s="638">
        <v>82000</v>
      </c>
      <c r="BG368" s="635">
        <f t="shared" si="152"/>
        <v>67092.400000000009</v>
      </c>
      <c r="BH368" s="636">
        <v>4</v>
      </c>
      <c r="BI368" s="636">
        <v>60000</v>
      </c>
      <c r="BJ368" s="637">
        <f t="shared" si="153"/>
        <v>196368</v>
      </c>
      <c r="BK368" s="638">
        <v>4</v>
      </c>
      <c r="BL368" s="638">
        <v>57704</v>
      </c>
      <c r="BM368" s="635">
        <f t="shared" si="154"/>
        <v>188853.65120000002</v>
      </c>
      <c r="BN368" s="636"/>
      <c r="BO368" s="636"/>
      <c r="BP368" s="637">
        <f t="shared" si="155"/>
        <v>0</v>
      </c>
      <c r="BQ368" s="638"/>
      <c r="BR368" s="638"/>
      <c r="BS368" s="635">
        <f t="shared" si="156"/>
        <v>0</v>
      </c>
      <c r="BT368" s="636"/>
      <c r="BU368" s="636"/>
      <c r="BV368" s="637">
        <f t="shared" si="157"/>
        <v>0</v>
      </c>
      <c r="BW368" s="638"/>
      <c r="BX368" s="638"/>
      <c r="BY368" s="641">
        <f t="shared" si="158"/>
        <v>0</v>
      </c>
    </row>
    <row r="369" spans="1:77" x14ac:dyDescent="0.2">
      <c r="A369" s="369" t="s">
        <v>79</v>
      </c>
      <c r="B369" s="287" t="s">
        <v>599</v>
      </c>
      <c r="C369" s="288" t="s">
        <v>508</v>
      </c>
      <c r="D369" s="372">
        <v>207847</v>
      </c>
      <c r="E369" s="243">
        <v>5</v>
      </c>
      <c r="F369" s="631">
        <v>43</v>
      </c>
      <c r="G369" s="632">
        <v>69232</v>
      </c>
      <c r="H369" s="633">
        <f t="shared" si="135"/>
        <v>2976976</v>
      </c>
      <c r="I369" s="634">
        <v>43</v>
      </c>
      <c r="J369" s="634">
        <v>69745</v>
      </c>
      <c r="K369" s="635">
        <f t="shared" si="136"/>
        <v>2999035</v>
      </c>
      <c r="L369" s="636">
        <v>31</v>
      </c>
      <c r="M369" s="636">
        <v>61193</v>
      </c>
      <c r="N369" s="637">
        <f t="shared" si="137"/>
        <v>1896983</v>
      </c>
      <c r="O369" s="638">
        <v>35</v>
      </c>
      <c r="P369" s="638">
        <v>61328</v>
      </c>
      <c r="Q369" s="635">
        <f t="shared" si="138"/>
        <v>2146480</v>
      </c>
      <c r="R369" s="636">
        <v>32</v>
      </c>
      <c r="S369" s="636">
        <v>52799</v>
      </c>
      <c r="T369" s="637">
        <f t="shared" si="139"/>
        <v>1689568</v>
      </c>
      <c r="U369" s="638">
        <v>28</v>
      </c>
      <c r="V369" s="638">
        <v>52932</v>
      </c>
      <c r="W369" s="635">
        <f t="shared" si="140"/>
        <v>1482096</v>
      </c>
      <c r="X369" s="636">
        <v>22</v>
      </c>
      <c r="Y369" s="636">
        <v>40870</v>
      </c>
      <c r="Z369" s="637">
        <f t="shared" si="141"/>
        <v>899140</v>
      </c>
      <c r="AA369" s="638">
        <v>12</v>
      </c>
      <c r="AB369" s="638">
        <v>41398</v>
      </c>
      <c r="AC369" s="635">
        <f t="shared" si="142"/>
        <v>496776</v>
      </c>
      <c r="AD369" s="636"/>
      <c r="AE369" s="636"/>
      <c r="AF369" s="637">
        <f t="shared" si="143"/>
        <v>0</v>
      </c>
      <c r="AG369" s="638"/>
      <c r="AH369" s="638"/>
      <c r="AI369" s="635">
        <f t="shared" si="144"/>
        <v>0</v>
      </c>
      <c r="AJ369" s="636"/>
      <c r="AK369" s="636"/>
      <c r="AL369" s="637">
        <f t="shared" si="145"/>
        <v>0</v>
      </c>
      <c r="AM369" s="638"/>
      <c r="AN369" s="638"/>
      <c r="AO369" s="640">
        <f t="shared" si="146"/>
        <v>0</v>
      </c>
      <c r="AP369" s="636">
        <v>6</v>
      </c>
      <c r="AQ369" s="636">
        <v>110140</v>
      </c>
      <c r="AR369" s="637">
        <f t="shared" si="147"/>
        <v>540699.28800000006</v>
      </c>
      <c r="AS369" s="638">
        <v>4</v>
      </c>
      <c r="AT369" s="638">
        <v>118630</v>
      </c>
      <c r="AU369" s="635">
        <f t="shared" si="148"/>
        <v>388252.26400000002</v>
      </c>
      <c r="AV369" s="636">
        <v>1</v>
      </c>
      <c r="AW369" s="636">
        <v>71792</v>
      </c>
      <c r="AX369" s="637">
        <f t="shared" si="149"/>
        <v>58740.214400000004</v>
      </c>
      <c r="AY369" s="638">
        <v>0</v>
      </c>
      <c r="AZ369" s="638">
        <v>0</v>
      </c>
      <c r="BA369" s="635">
        <f t="shared" si="150"/>
        <v>0</v>
      </c>
      <c r="BB369" s="636">
        <v>5</v>
      </c>
      <c r="BC369" s="636">
        <v>53104</v>
      </c>
      <c r="BD369" s="637">
        <f t="shared" si="151"/>
        <v>217248.46400000001</v>
      </c>
      <c r="BE369" s="638">
        <v>1</v>
      </c>
      <c r="BF369" s="638">
        <v>71192</v>
      </c>
      <c r="BG369" s="635">
        <f t="shared" si="152"/>
        <v>58249.294400000006</v>
      </c>
      <c r="BH369" s="636"/>
      <c r="BI369" s="636"/>
      <c r="BJ369" s="637">
        <f t="shared" si="153"/>
        <v>0</v>
      </c>
      <c r="BK369" s="638">
        <v>5</v>
      </c>
      <c r="BL369" s="638">
        <v>53432</v>
      </c>
      <c r="BM369" s="635">
        <f t="shared" si="154"/>
        <v>218590.31200000001</v>
      </c>
      <c r="BN369" s="636"/>
      <c r="BO369" s="636"/>
      <c r="BP369" s="637">
        <f t="shared" si="155"/>
        <v>0</v>
      </c>
      <c r="BQ369" s="638"/>
      <c r="BR369" s="638"/>
      <c r="BS369" s="635">
        <f t="shared" si="156"/>
        <v>0</v>
      </c>
      <c r="BT369" s="636"/>
      <c r="BU369" s="636"/>
      <c r="BV369" s="637">
        <f t="shared" si="157"/>
        <v>0</v>
      </c>
      <c r="BW369" s="638"/>
      <c r="BX369" s="638"/>
      <c r="BY369" s="641">
        <f t="shared" si="158"/>
        <v>0</v>
      </c>
    </row>
    <row r="370" spans="1:77" x14ac:dyDescent="0.2">
      <c r="A370" s="369" t="s">
        <v>79</v>
      </c>
      <c r="B370" s="370" t="s">
        <v>600</v>
      </c>
      <c r="C370" s="371"/>
      <c r="D370" s="372">
        <v>207865</v>
      </c>
      <c r="E370" s="243">
        <v>5</v>
      </c>
      <c r="F370" s="631">
        <v>35</v>
      </c>
      <c r="G370" s="632">
        <v>76177</v>
      </c>
      <c r="H370" s="633">
        <f t="shared" si="135"/>
        <v>2666195</v>
      </c>
      <c r="I370" s="634">
        <v>34</v>
      </c>
      <c r="J370" s="634">
        <v>74660</v>
      </c>
      <c r="K370" s="635">
        <f t="shared" si="136"/>
        <v>2538440</v>
      </c>
      <c r="L370" s="636">
        <v>26</v>
      </c>
      <c r="M370" s="636">
        <v>60759</v>
      </c>
      <c r="N370" s="637">
        <f t="shared" si="137"/>
        <v>1579734</v>
      </c>
      <c r="O370" s="638">
        <v>28</v>
      </c>
      <c r="P370" s="638">
        <v>58220</v>
      </c>
      <c r="Q370" s="635">
        <f t="shared" si="138"/>
        <v>1630160</v>
      </c>
      <c r="R370" s="636">
        <v>56</v>
      </c>
      <c r="S370" s="636">
        <v>49054</v>
      </c>
      <c r="T370" s="637">
        <f t="shared" si="139"/>
        <v>2747024</v>
      </c>
      <c r="U370" s="638">
        <v>49</v>
      </c>
      <c r="V370" s="638">
        <v>47130</v>
      </c>
      <c r="W370" s="635">
        <f t="shared" si="140"/>
        <v>2309370</v>
      </c>
      <c r="X370" s="636">
        <v>76</v>
      </c>
      <c r="Y370" s="636">
        <v>45972</v>
      </c>
      <c r="Z370" s="637">
        <f t="shared" si="141"/>
        <v>3493872</v>
      </c>
      <c r="AA370" s="638">
        <v>74</v>
      </c>
      <c r="AB370" s="638">
        <v>45926</v>
      </c>
      <c r="AC370" s="635">
        <f t="shared" si="142"/>
        <v>3398524</v>
      </c>
      <c r="AD370" s="636"/>
      <c r="AE370" s="636"/>
      <c r="AF370" s="637">
        <f t="shared" si="143"/>
        <v>0</v>
      </c>
      <c r="AG370" s="638"/>
      <c r="AH370" s="638"/>
      <c r="AI370" s="635">
        <f t="shared" si="144"/>
        <v>0</v>
      </c>
      <c r="AJ370" s="636"/>
      <c r="AK370" s="636"/>
      <c r="AL370" s="637">
        <f t="shared" si="145"/>
        <v>0</v>
      </c>
      <c r="AM370" s="638"/>
      <c r="AN370" s="638"/>
      <c r="AO370" s="640">
        <f t="shared" si="146"/>
        <v>0</v>
      </c>
      <c r="AP370" s="636">
        <v>3</v>
      </c>
      <c r="AQ370" s="636">
        <v>111683</v>
      </c>
      <c r="AR370" s="637">
        <f t="shared" si="147"/>
        <v>274137.09179999999</v>
      </c>
      <c r="AS370" s="638">
        <v>4</v>
      </c>
      <c r="AT370" s="638">
        <v>116733</v>
      </c>
      <c r="AU370" s="635">
        <f t="shared" si="148"/>
        <v>382043.76240000001</v>
      </c>
      <c r="AV370" s="636">
        <v>8</v>
      </c>
      <c r="AW370" s="636">
        <v>98787</v>
      </c>
      <c r="AX370" s="637">
        <f t="shared" si="149"/>
        <v>646620.18720000004</v>
      </c>
      <c r="AY370" s="638">
        <v>10</v>
      </c>
      <c r="AZ370" s="638">
        <v>98812</v>
      </c>
      <c r="BA370" s="635">
        <f t="shared" si="150"/>
        <v>808479.78399999999</v>
      </c>
      <c r="BB370" s="636">
        <v>7</v>
      </c>
      <c r="BC370" s="636">
        <v>91093</v>
      </c>
      <c r="BD370" s="637">
        <f t="shared" si="151"/>
        <v>521726.04820000002</v>
      </c>
      <c r="BE370" s="638">
        <v>9</v>
      </c>
      <c r="BF370" s="638">
        <v>90810</v>
      </c>
      <c r="BG370" s="635">
        <f t="shared" si="152"/>
        <v>668706.67800000007</v>
      </c>
      <c r="BH370" s="636">
        <v>3</v>
      </c>
      <c r="BI370" s="636">
        <v>50269</v>
      </c>
      <c r="BJ370" s="637">
        <f t="shared" si="153"/>
        <v>123390.2874</v>
      </c>
      <c r="BK370" s="638">
        <v>3</v>
      </c>
      <c r="BL370" s="638">
        <v>50510</v>
      </c>
      <c r="BM370" s="635">
        <f t="shared" si="154"/>
        <v>123981.84600000001</v>
      </c>
      <c r="BN370" s="636"/>
      <c r="BO370" s="636"/>
      <c r="BP370" s="637">
        <f t="shared" si="155"/>
        <v>0</v>
      </c>
      <c r="BQ370" s="638"/>
      <c r="BR370" s="638"/>
      <c r="BS370" s="635">
        <f t="shared" si="156"/>
        <v>0</v>
      </c>
      <c r="BT370" s="636"/>
      <c r="BU370" s="636"/>
      <c r="BV370" s="637">
        <f t="shared" si="157"/>
        <v>0</v>
      </c>
      <c r="BW370" s="638"/>
      <c r="BX370" s="638"/>
      <c r="BY370" s="641">
        <f t="shared" si="158"/>
        <v>0</v>
      </c>
    </row>
    <row r="371" spans="1:77" x14ac:dyDescent="0.2">
      <c r="A371" s="369" t="s">
        <v>79</v>
      </c>
      <c r="B371" s="370" t="s">
        <v>601</v>
      </c>
      <c r="C371" s="371"/>
      <c r="D371" s="372">
        <v>207351</v>
      </c>
      <c r="E371" s="243">
        <v>6</v>
      </c>
      <c r="F371" s="631">
        <v>3</v>
      </c>
      <c r="G371" s="632">
        <v>47347</v>
      </c>
      <c r="H371" s="633">
        <f t="shared" si="135"/>
        <v>142041</v>
      </c>
      <c r="I371" s="634">
        <v>6</v>
      </c>
      <c r="J371" s="634">
        <v>44482</v>
      </c>
      <c r="K371" s="635">
        <f t="shared" si="136"/>
        <v>266892</v>
      </c>
      <c r="L371" s="636">
        <v>11</v>
      </c>
      <c r="M371" s="636">
        <v>49967</v>
      </c>
      <c r="N371" s="637">
        <f t="shared" si="137"/>
        <v>549637</v>
      </c>
      <c r="O371" s="638">
        <v>12</v>
      </c>
      <c r="P371" s="638">
        <v>49743</v>
      </c>
      <c r="Q371" s="635">
        <f t="shared" si="138"/>
        <v>596916</v>
      </c>
      <c r="R371" s="636">
        <v>18</v>
      </c>
      <c r="S371" s="636">
        <v>42303</v>
      </c>
      <c r="T371" s="637">
        <f t="shared" si="139"/>
        <v>761454</v>
      </c>
      <c r="U371" s="638">
        <v>14</v>
      </c>
      <c r="V371" s="638">
        <v>44469</v>
      </c>
      <c r="W371" s="635">
        <f t="shared" si="140"/>
        <v>622566</v>
      </c>
      <c r="X371" s="636">
        <v>13</v>
      </c>
      <c r="Y371" s="636">
        <v>30589</v>
      </c>
      <c r="Z371" s="637">
        <f t="shared" si="141"/>
        <v>397657</v>
      </c>
      <c r="AA371" s="638">
        <v>12</v>
      </c>
      <c r="AB371" s="638">
        <v>34489</v>
      </c>
      <c r="AC371" s="635">
        <f t="shared" si="142"/>
        <v>413868</v>
      </c>
      <c r="AD371" s="636"/>
      <c r="AE371" s="636"/>
      <c r="AF371" s="637">
        <f t="shared" si="143"/>
        <v>0</v>
      </c>
      <c r="AG371" s="638"/>
      <c r="AH371" s="638"/>
      <c r="AI371" s="635">
        <f t="shared" si="144"/>
        <v>0</v>
      </c>
      <c r="AJ371" s="636"/>
      <c r="AK371" s="636"/>
      <c r="AL371" s="637">
        <f t="shared" si="145"/>
        <v>0</v>
      </c>
      <c r="AM371" s="638"/>
      <c r="AN371" s="638"/>
      <c r="AO371" s="640">
        <f t="shared" si="146"/>
        <v>0</v>
      </c>
      <c r="AP371" s="636"/>
      <c r="AQ371" s="636"/>
      <c r="AR371" s="637">
        <f t="shared" si="147"/>
        <v>0</v>
      </c>
      <c r="AS371" s="638">
        <v>0</v>
      </c>
      <c r="AT371" s="638">
        <v>0</v>
      </c>
      <c r="AU371" s="635">
        <f t="shared" si="148"/>
        <v>0</v>
      </c>
      <c r="AV371" s="636">
        <v>1</v>
      </c>
      <c r="AW371" s="636">
        <v>55230</v>
      </c>
      <c r="AX371" s="637">
        <f t="shared" si="149"/>
        <v>45189.186000000002</v>
      </c>
      <c r="AY371" s="638">
        <v>0</v>
      </c>
      <c r="AZ371" s="638">
        <v>0</v>
      </c>
      <c r="BA371" s="635">
        <f t="shared" si="150"/>
        <v>0</v>
      </c>
      <c r="BB371" s="636">
        <v>3</v>
      </c>
      <c r="BC371" s="636">
        <v>49442</v>
      </c>
      <c r="BD371" s="637">
        <f t="shared" si="151"/>
        <v>121360.33320000001</v>
      </c>
      <c r="BE371" s="638">
        <v>4</v>
      </c>
      <c r="BF371" s="638">
        <v>55773</v>
      </c>
      <c r="BG371" s="635">
        <f t="shared" si="152"/>
        <v>182533.8744</v>
      </c>
      <c r="BH371" s="636">
        <v>5</v>
      </c>
      <c r="BI371" s="636">
        <v>35883</v>
      </c>
      <c r="BJ371" s="637">
        <f t="shared" si="153"/>
        <v>146797.353</v>
      </c>
      <c r="BK371" s="638">
        <v>4</v>
      </c>
      <c r="BL371" s="638">
        <v>34919</v>
      </c>
      <c r="BM371" s="635">
        <f t="shared" si="154"/>
        <v>114282.9032</v>
      </c>
      <c r="BN371" s="636"/>
      <c r="BO371" s="636"/>
      <c r="BP371" s="637">
        <f t="shared" si="155"/>
        <v>0</v>
      </c>
      <c r="BQ371" s="638"/>
      <c r="BR371" s="638"/>
      <c r="BS371" s="635">
        <f t="shared" si="156"/>
        <v>0</v>
      </c>
      <c r="BT371" s="636"/>
      <c r="BU371" s="636"/>
      <c r="BV371" s="637">
        <f t="shared" si="157"/>
        <v>0</v>
      </c>
      <c r="BW371" s="638"/>
      <c r="BX371" s="638"/>
      <c r="BY371" s="641">
        <f t="shared" si="158"/>
        <v>0</v>
      </c>
    </row>
    <row r="372" spans="1:77" x14ac:dyDescent="0.2">
      <c r="A372" s="292" t="s">
        <v>79</v>
      </c>
      <c r="B372" s="373" t="s">
        <v>602</v>
      </c>
      <c r="C372" s="374"/>
      <c r="D372" s="375">
        <v>207661</v>
      </c>
      <c r="E372" s="376">
        <v>6</v>
      </c>
      <c r="F372" s="631">
        <v>8</v>
      </c>
      <c r="G372" s="632">
        <v>68627</v>
      </c>
      <c r="H372" s="633">
        <f t="shared" si="135"/>
        <v>549016</v>
      </c>
      <c r="I372" s="634">
        <v>12</v>
      </c>
      <c r="J372" s="634">
        <v>69075</v>
      </c>
      <c r="K372" s="635">
        <f t="shared" si="136"/>
        <v>828900</v>
      </c>
      <c r="L372" s="636">
        <v>30</v>
      </c>
      <c r="M372" s="636">
        <v>58566</v>
      </c>
      <c r="N372" s="637">
        <f t="shared" si="137"/>
        <v>1756980</v>
      </c>
      <c r="O372" s="638">
        <v>27</v>
      </c>
      <c r="P372" s="638">
        <v>56701</v>
      </c>
      <c r="Q372" s="635">
        <f t="shared" si="138"/>
        <v>1530927</v>
      </c>
      <c r="R372" s="636">
        <v>27</v>
      </c>
      <c r="S372" s="636">
        <v>48122</v>
      </c>
      <c r="T372" s="637">
        <f t="shared" si="139"/>
        <v>1299294</v>
      </c>
      <c r="U372" s="638">
        <v>26</v>
      </c>
      <c r="V372" s="638">
        <v>49134</v>
      </c>
      <c r="W372" s="635">
        <f t="shared" si="140"/>
        <v>1277484</v>
      </c>
      <c r="X372" s="636">
        <v>27</v>
      </c>
      <c r="Y372" s="636">
        <v>35530</v>
      </c>
      <c r="Z372" s="637">
        <f t="shared" si="141"/>
        <v>959310</v>
      </c>
      <c r="AA372" s="638">
        <v>25</v>
      </c>
      <c r="AB372" s="638">
        <v>43026</v>
      </c>
      <c r="AC372" s="635">
        <f t="shared" si="142"/>
        <v>1075650</v>
      </c>
      <c r="AD372" s="636"/>
      <c r="AE372" s="636"/>
      <c r="AF372" s="637">
        <f t="shared" si="143"/>
        <v>0</v>
      </c>
      <c r="AG372" s="638"/>
      <c r="AH372" s="638"/>
      <c r="AI372" s="635">
        <f t="shared" si="144"/>
        <v>0</v>
      </c>
      <c r="AJ372" s="636"/>
      <c r="AK372" s="636"/>
      <c r="AL372" s="637">
        <f t="shared" si="145"/>
        <v>0</v>
      </c>
      <c r="AM372" s="638"/>
      <c r="AN372" s="638"/>
      <c r="AO372" s="640">
        <f t="shared" si="146"/>
        <v>0</v>
      </c>
      <c r="AP372" s="636">
        <v>4</v>
      </c>
      <c r="AQ372" s="636">
        <v>75915</v>
      </c>
      <c r="AR372" s="637">
        <f t="shared" si="147"/>
        <v>248454.61200000002</v>
      </c>
      <c r="AS372" s="638">
        <v>4</v>
      </c>
      <c r="AT372" s="638">
        <v>78192</v>
      </c>
      <c r="AU372" s="635">
        <f t="shared" si="148"/>
        <v>255906.7776</v>
      </c>
      <c r="AV372" s="636">
        <v>1</v>
      </c>
      <c r="AW372" s="636">
        <v>48400</v>
      </c>
      <c r="AX372" s="637">
        <f t="shared" si="149"/>
        <v>39600.880000000005</v>
      </c>
      <c r="AY372" s="638">
        <v>4</v>
      </c>
      <c r="AZ372" s="638">
        <v>78100</v>
      </c>
      <c r="BA372" s="635">
        <f t="shared" si="150"/>
        <v>255605.68000000002</v>
      </c>
      <c r="BB372" s="636">
        <v>3</v>
      </c>
      <c r="BC372" s="636">
        <v>61315</v>
      </c>
      <c r="BD372" s="637">
        <f t="shared" si="151"/>
        <v>150503.799</v>
      </c>
      <c r="BE372" s="638">
        <v>3</v>
      </c>
      <c r="BF372" s="638">
        <v>63154</v>
      </c>
      <c r="BG372" s="635">
        <f t="shared" si="152"/>
        <v>155017.80840000001</v>
      </c>
      <c r="BH372" s="636">
        <v>4</v>
      </c>
      <c r="BI372" s="636">
        <v>45908</v>
      </c>
      <c r="BJ372" s="637">
        <f t="shared" si="153"/>
        <v>150247.70240000001</v>
      </c>
      <c r="BK372" s="638">
        <v>1</v>
      </c>
      <c r="BL372" s="638">
        <v>31500</v>
      </c>
      <c r="BM372" s="635">
        <f t="shared" si="154"/>
        <v>25773.300000000003</v>
      </c>
      <c r="BN372" s="636"/>
      <c r="BO372" s="636"/>
      <c r="BP372" s="637">
        <f t="shared" si="155"/>
        <v>0</v>
      </c>
      <c r="BQ372" s="638"/>
      <c r="BR372" s="638"/>
      <c r="BS372" s="635">
        <f t="shared" si="156"/>
        <v>0</v>
      </c>
      <c r="BT372" s="636"/>
      <c r="BU372" s="636"/>
      <c r="BV372" s="637">
        <f t="shared" si="157"/>
        <v>0</v>
      </c>
      <c r="BW372" s="638"/>
      <c r="BX372" s="638"/>
      <c r="BY372" s="641">
        <f t="shared" si="158"/>
        <v>0</v>
      </c>
    </row>
    <row r="373" spans="1:77" x14ac:dyDescent="0.2">
      <c r="A373" s="369" t="s">
        <v>79</v>
      </c>
      <c r="B373" s="370" t="s">
        <v>603</v>
      </c>
      <c r="C373" s="371"/>
      <c r="D373" s="372">
        <v>207722</v>
      </c>
      <c r="E373" s="243">
        <v>6</v>
      </c>
      <c r="F373" s="631">
        <v>14</v>
      </c>
      <c r="G373" s="632">
        <v>60589</v>
      </c>
      <c r="H373" s="633">
        <f t="shared" si="135"/>
        <v>848246</v>
      </c>
      <c r="I373" s="634">
        <v>13</v>
      </c>
      <c r="J373" s="634">
        <v>60665</v>
      </c>
      <c r="K373" s="635">
        <f t="shared" si="136"/>
        <v>788645</v>
      </c>
      <c r="L373" s="636">
        <v>11</v>
      </c>
      <c r="M373" s="636">
        <v>50390</v>
      </c>
      <c r="N373" s="637">
        <f t="shared" si="137"/>
        <v>554290</v>
      </c>
      <c r="O373" s="638">
        <v>13</v>
      </c>
      <c r="P373" s="638">
        <v>49968</v>
      </c>
      <c r="Q373" s="635">
        <f t="shared" si="138"/>
        <v>649584</v>
      </c>
      <c r="R373" s="636">
        <v>15</v>
      </c>
      <c r="S373" s="636">
        <v>44982</v>
      </c>
      <c r="T373" s="637">
        <f t="shared" si="139"/>
        <v>674730</v>
      </c>
      <c r="U373" s="638">
        <v>14</v>
      </c>
      <c r="V373" s="638">
        <v>44579</v>
      </c>
      <c r="W373" s="635">
        <f t="shared" si="140"/>
        <v>624106</v>
      </c>
      <c r="X373" s="636">
        <v>7</v>
      </c>
      <c r="Y373" s="636">
        <v>41303</v>
      </c>
      <c r="Z373" s="637">
        <f t="shared" si="141"/>
        <v>289121</v>
      </c>
      <c r="AA373" s="638">
        <v>8</v>
      </c>
      <c r="AB373" s="638">
        <v>40890</v>
      </c>
      <c r="AC373" s="635">
        <f t="shared" si="142"/>
        <v>327120</v>
      </c>
      <c r="AD373" s="636"/>
      <c r="AE373" s="636"/>
      <c r="AF373" s="637">
        <f t="shared" si="143"/>
        <v>0</v>
      </c>
      <c r="AG373" s="638"/>
      <c r="AH373" s="638"/>
      <c r="AI373" s="635">
        <f t="shared" si="144"/>
        <v>0</v>
      </c>
      <c r="AJ373" s="636"/>
      <c r="AK373" s="636"/>
      <c r="AL373" s="637">
        <f t="shared" si="145"/>
        <v>0</v>
      </c>
      <c r="AM373" s="638"/>
      <c r="AN373" s="638"/>
      <c r="AO373" s="640">
        <f t="shared" si="146"/>
        <v>0</v>
      </c>
      <c r="AP373" s="636">
        <v>3</v>
      </c>
      <c r="AQ373" s="636">
        <v>78265</v>
      </c>
      <c r="AR373" s="637">
        <f t="shared" si="147"/>
        <v>192109.269</v>
      </c>
      <c r="AS373" s="638">
        <v>3</v>
      </c>
      <c r="AT373" s="638">
        <v>78407</v>
      </c>
      <c r="AU373" s="635">
        <f t="shared" si="148"/>
        <v>192457.8222</v>
      </c>
      <c r="AV373" s="636">
        <v>2</v>
      </c>
      <c r="AW373" s="636">
        <v>67338</v>
      </c>
      <c r="AX373" s="637">
        <f t="shared" si="149"/>
        <v>110191.9032</v>
      </c>
      <c r="AY373" s="638">
        <v>2</v>
      </c>
      <c r="AZ373" s="638">
        <v>67338</v>
      </c>
      <c r="BA373" s="635">
        <f t="shared" si="150"/>
        <v>110191.9032</v>
      </c>
      <c r="BB373" s="636"/>
      <c r="BC373" s="636"/>
      <c r="BD373" s="637">
        <f t="shared" si="151"/>
        <v>0</v>
      </c>
      <c r="BE373" s="638">
        <v>0</v>
      </c>
      <c r="BF373" s="638">
        <v>0</v>
      </c>
      <c r="BG373" s="635">
        <f t="shared" si="152"/>
        <v>0</v>
      </c>
      <c r="BH373" s="636">
        <v>4</v>
      </c>
      <c r="BI373" s="636">
        <v>50751</v>
      </c>
      <c r="BJ373" s="637">
        <f t="shared" si="153"/>
        <v>166097.87280000001</v>
      </c>
      <c r="BK373" s="638">
        <v>0</v>
      </c>
      <c r="BL373" s="638">
        <v>0</v>
      </c>
      <c r="BM373" s="635">
        <f t="shared" si="154"/>
        <v>0</v>
      </c>
      <c r="BN373" s="636"/>
      <c r="BO373" s="636"/>
      <c r="BP373" s="637">
        <f t="shared" si="155"/>
        <v>0</v>
      </c>
      <c r="BQ373" s="638"/>
      <c r="BR373" s="638"/>
      <c r="BS373" s="635">
        <f t="shared" si="156"/>
        <v>0</v>
      </c>
      <c r="BT373" s="636"/>
      <c r="BU373" s="636"/>
      <c r="BV373" s="637">
        <f t="shared" si="157"/>
        <v>0</v>
      </c>
      <c r="BW373" s="638"/>
      <c r="BX373" s="638"/>
      <c r="BY373" s="641">
        <f t="shared" si="158"/>
        <v>0</v>
      </c>
    </row>
    <row r="374" spans="1:77" x14ac:dyDescent="0.2">
      <c r="A374" s="292" t="s">
        <v>79</v>
      </c>
      <c r="B374" s="370" t="s">
        <v>604</v>
      </c>
      <c r="C374" s="371"/>
      <c r="D374" s="372">
        <v>207564</v>
      </c>
      <c r="E374" s="243">
        <v>7</v>
      </c>
      <c r="F374" s="631"/>
      <c r="G374" s="632"/>
      <c r="H374" s="633">
        <f t="shared" si="135"/>
        <v>0</v>
      </c>
      <c r="I374" s="634"/>
      <c r="J374" s="634"/>
      <c r="K374" s="635">
        <f t="shared" si="136"/>
        <v>0</v>
      </c>
      <c r="L374" s="636"/>
      <c r="M374" s="636"/>
      <c r="N374" s="637">
        <f t="shared" si="137"/>
        <v>0</v>
      </c>
      <c r="O374" s="638"/>
      <c r="P374" s="638"/>
      <c r="Q374" s="635">
        <f t="shared" si="138"/>
        <v>0</v>
      </c>
      <c r="R374" s="636"/>
      <c r="S374" s="636"/>
      <c r="T374" s="637">
        <f t="shared" si="139"/>
        <v>0</v>
      </c>
      <c r="U374" s="638"/>
      <c r="V374" s="638"/>
      <c r="W374" s="635">
        <f t="shared" si="140"/>
        <v>0</v>
      </c>
      <c r="X374" s="636"/>
      <c r="Y374" s="636"/>
      <c r="Z374" s="637">
        <f t="shared" si="141"/>
        <v>0</v>
      </c>
      <c r="AA374" s="638"/>
      <c r="AB374" s="638"/>
      <c r="AC374" s="635">
        <f t="shared" si="142"/>
        <v>0</v>
      </c>
      <c r="AD374" s="636"/>
      <c r="AE374" s="636"/>
      <c r="AF374" s="637">
        <f t="shared" si="143"/>
        <v>0</v>
      </c>
      <c r="AG374" s="638"/>
      <c r="AH374" s="638"/>
      <c r="AI374" s="635">
        <f t="shared" si="144"/>
        <v>0</v>
      </c>
      <c r="AJ374" s="636">
        <v>122</v>
      </c>
      <c r="AK374" s="636">
        <v>52064</v>
      </c>
      <c r="AL374" s="637">
        <f t="shared" si="145"/>
        <v>6351808</v>
      </c>
      <c r="AM374" s="638">
        <v>128</v>
      </c>
      <c r="AN374" s="638">
        <v>58843</v>
      </c>
      <c r="AO374" s="640">
        <f t="shared" si="146"/>
        <v>7531904</v>
      </c>
      <c r="AP374" s="636"/>
      <c r="AQ374" s="636"/>
      <c r="AR374" s="637">
        <f t="shared" si="147"/>
        <v>0</v>
      </c>
      <c r="AS374" s="638"/>
      <c r="AT374" s="638"/>
      <c r="AU374" s="635">
        <f t="shared" si="148"/>
        <v>0</v>
      </c>
      <c r="AV374" s="636"/>
      <c r="AW374" s="636"/>
      <c r="AX374" s="637">
        <f t="shared" si="149"/>
        <v>0</v>
      </c>
      <c r="AY374" s="638"/>
      <c r="AZ374" s="638"/>
      <c r="BA374" s="635">
        <f t="shared" si="150"/>
        <v>0</v>
      </c>
      <c r="BB374" s="636"/>
      <c r="BC374" s="636"/>
      <c r="BD374" s="637">
        <f t="shared" si="151"/>
        <v>0</v>
      </c>
      <c r="BE374" s="638"/>
      <c r="BF374" s="638"/>
      <c r="BG374" s="635">
        <f t="shared" si="152"/>
        <v>0</v>
      </c>
      <c r="BH374" s="636"/>
      <c r="BI374" s="636"/>
      <c r="BJ374" s="637">
        <f t="shared" si="153"/>
        <v>0</v>
      </c>
      <c r="BK374" s="638"/>
      <c r="BL374" s="638"/>
      <c r="BM374" s="635">
        <f t="shared" si="154"/>
        <v>0</v>
      </c>
      <c r="BN374" s="636"/>
      <c r="BO374" s="636"/>
      <c r="BP374" s="637">
        <f t="shared" si="155"/>
        <v>0</v>
      </c>
      <c r="BQ374" s="638"/>
      <c r="BR374" s="638"/>
      <c r="BS374" s="635">
        <f t="shared" si="156"/>
        <v>0</v>
      </c>
      <c r="BT374" s="636"/>
      <c r="BU374" s="636"/>
      <c r="BV374" s="637">
        <f t="shared" si="157"/>
        <v>0</v>
      </c>
      <c r="BW374" s="638"/>
      <c r="BX374" s="638"/>
      <c r="BY374" s="641">
        <f t="shared" si="158"/>
        <v>0</v>
      </c>
    </row>
    <row r="375" spans="1:77" x14ac:dyDescent="0.2">
      <c r="A375" s="369" t="s">
        <v>79</v>
      </c>
      <c r="B375" s="287" t="s">
        <v>608</v>
      </c>
      <c r="C375" s="477" t="s">
        <v>1028</v>
      </c>
      <c r="D375" s="372">
        <v>207397</v>
      </c>
      <c r="E375" s="479">
        <v>7</v>
      </c>
      <c r="F375" s="631"/>
      <c r="G375" s="632"/>
      <c r="H375" s="633">
        <f t="shared" si="135"/>
        <v>0</v>
      </c>
      <c r="I375" s="634"/>
      <c r="J375" s="634"/>
      <c r="K375" s="635">
        <f t="shared" si="136"/>
        <v>0</v>
      </c>
      <c r="L375" s="636"/>
      <c r="M375" s="636"/>
      <c r="N375" s="637">
        <f t="shared" si="137"/>
        <v>0</v>
      </c>
      <c r="O375" s="638"/>
      <c r="P375" s="638"/>
      <c r="Q375" s="635">
        <f t="shared" si="138"/>
        <v>0</v>
      </c>
      <c r="R375" s="636"/>
      <c r="S375" s="636"/>
      <c r="T375" s="637">
        <f t="shared" si="139"/>
        <v>0</v>
      </c>
      <c r="U375" s="638"/>
      <c r="V375" s="638"/>
      <c r="W375" s="635">
        <f t="shared" si="140"/>
        <v>0</v>
      </c>
      <c r="X375" s="636"/>
      <c r="Y375" s="636"/>
      <c r="Z375" s="637">
        <f t="shared" si="141"/>
        <v>0</v>
      </c>
      <c r="AA375" s="638"/>
      <c r="AB375" s="638"/>
      <c r="AC375" s="635">
        <f t="shared" si="142"/>
        <v>0</v>
      </c>
      <c r="AD375" s="636"/>
      <c r="AE375" s="636"/>
      <c r="AF375" s="637">
        <f t="shared" si="143"/>
        <v>0</v>
      </c>
      <c r="AG375" s="638"/>
      <c r="AH375" s="638"/>
      <c r="AI375" s="635">
        <f t="shared" si="144"/>
        <v>0</v>
      </c>
      <c r="AJ375" s="636">
        <v>82</v>
      </c>
      <c r="AK375" s="636">
        <v>49128</v>
      </c>
      <c r="AL375" s="637">
        <f t="shared" si="145"/>
        <v>4028496</v>
      </c>
      <c r="AM375" s="638">
        <v>84</v>
      </c>
      <c r="AN375" s="638">
        <v>51209</v>
      </c>
      <c r="AO375" s="640">
        <f t="shared" si="146"/>
        <v>4301556</v>
      </c>
      <c r="AP375" s="636"/>
      <c r="AQ375" s="636"/>
      <c r="AR375" s="637">
        <f t="shared" si="147"/>
        <v>0</v>
      </c>
      <c r="AS375" s="638"/>
      <c r="AT375" s="638"/>
      <c r="AU375" s="635">
        <f t="shared" si="148"/>
        <v>0</v>
      </c>
      <c r="AV375" s="636"/>
      <c r="AW375" s="636"/>
      <c r="AX375" s="637">
        <f t="shared" si="149"/>
        <v>0</v>
      </c>
      <c r="AY375" s="638"/>
      <c r="AZ375" s="638"/>
      <c r="BA375" s="635">
        <f t="shared" si="150"/>
        <v>0</v>
      </c>
      <c r="BB375" s="636"/>
      <c r="BC375" s="636"/>
      <c r="BD375" s="637">
        <f t="shared" si="151"/>
        <v>0</v>
      </c>
      <c r="BE375" s="638"/>
      <c r="BF375" s="638"/>
      <c r="BG375" s="635">
        <f t="shared" si="152"/>
        <v>0</v>
      </c>
      <c r="BH375" s="636"/>
      <c r="BI375" s="636"/>
      <c r="BJ375" s="637">
        <f t="shared" si="153"/>
        <v>0</v>
      </c>
      <c r="BK375" s="638"/>
      <c r="BL375" s="638"/>
      <c r="BM375" s="635">
        <f t="shared" si="154"/>
        <v>0</v>
      </c>
      <c r="BN375" s="636"/>
      <c r="BO375" s="636"/>
      <c r="BP375" s="637">
        <f t="shared" si="155"/>
        <v>0</v>
      </c>
      <c r="BQ375" s="638"/>
      <c r="BR375" s="638"/>
      <c r="BS375" s="635">
        <f t="shared" si="156"/>
        <v>0</v>
      </c>
      <c r="BT375" s="636"/>
      <c r="BU375" s="636"/>
      <c r="BV375" s="637">
        <f t="shared" si="157"/>
        <v>0</v>
      </c>
      <c r="BW375" s="638">
        <v>0</v>
      </c>
      <c r="BX375" s="638">
        <v>0</v>
      </c>
      <c r="BY375" s="641">
        <f t="shared" si="158"/>
        <v>0</v>
      </c>
    </row>
    <row r="376" spans="1:77" x14ac:dyDescent="0.2">
      <c r="A376" s="369" t="s">
        <v>79</v>
      </c>
      <c r="B376" s="247" t="s">
        <v>605</v>
      </c>
      <c r="C376" s="248"/>
      <c r="D376" s="372">
        <v>207449</v>
      </c>
      <c r="E376" s="243">
        <v>8</v>
      </c>
      <c r="F376" s="631"/>
      <c r="G376" s="632"/>
      <c r="H376" s="633">
        <f t="shared" si="135"/>
        <v>0</v>
      </c>
      <c r="I376" s="634"/>
      <c r="J376" s="634"/>
      <c r="K376" s="635">
        <f t="shared" si="136"/>
        <v>0</v>
      </c>
      <c r="L376" s="636"/>
      <c r="M376" s="636"/>
      <c r="N376" s="637">
        <f t="shared" si="137"/>
        <v>0</v>
      </c>
      <c r="O376" s="638"/>
      <c r="P376" s="638"/>
      <c r="Q376" s="635">
        <f t="shared" si="138"/>
        <v>0</v>
      </c>
      <c r="R376" s="636"/>
      <c r="S376" s="636"/>
      <c r="T376" s="637">
        <f t="shared" si="139"/>
        <v>0</v>
      </c>
      <c r="U376" s="638"/>
      <c r="V376" s="638"/>
      <c r="W376" s="635">
        <f t="shared" si="140"/>
        <v>0</v>
      </c>
      <c r="X376" s="636"/>
      <c r="Y376" s="636"/>
      <c r="Z376" s="637">
        <f t="shared" si="141"/>
        <v>0</v>
      </c>
      <c r="AA376" s="638"/>
      <c r="AB376" s="638"/>
      <c r="AC376" s="635">
        <f t="shared" si="142"/>
        <v>0</v>
      </c>
      <c r="AD376" s="636"/>
      <c r="AE376" s="636"/>
      <c r="AF376" s="637">
        <f t="shared" si="143"/>
        <v>0</v>
      </c>
      <c r="AG376" s="638"/>
      <c r="AH376" s="638"/>
      <c r="AI376" s="635">
        <f t="shared" si="144"/>
        <v>0</v>
      </c>
      <c r="AJ376" s="636">
        <v>146</v>
      </c>
      <c r="AK376" s="636">
        <v>48335</v>
      </c>
      <c r="AL376" s="637">
        <f t="shared" si="145"/>
        <v>7056910</v>
      </c>
      <c r="AM376" s="638">
        <v>144</v>
      </c>
      <c r="AN376" s="638">
        <v>48381</v>
      </c>
      <c r="AO376" s="640">
        <f t="shared" si="146"/>
        <v>6966864</v>
      </c>
      <c r="AP376" s="636"/>
      <c r="AQ376" s="636"/>
      <c r="AR376" s="637">
        <f t="shared" si="147"/>
        <v>0</v>
      </c>
      <c r="AS376" s="638"/>
      <c r="AT376" s="638"/>
      <c r="AU376" s="635">
        <f t="shared" si="148"/>
        <v>0</v>
      </c>
      <c r="AV376" s="636"/>
      <c r="AW376" s="636"/>
      <c r="AX376" s="637">
        <f t="shared" si="149"/>
        <v>0</v>
      </c>
      <c r="AY376" s="638"/>
      <c r="AZ376" s="638"/>
      <c r="BA376" s="635">
        <f t="shared" si="150"/>
        <v>0</v>
      </c>
      <c r="BB376" s="636"/>
      <c r="BC376" s="636"/>
      <c r="BD376" s="637">
        <f t="shared" si="151"/>
        <v>0</v>
      </c>
      <c r="BE376" s="638"/>
      <c r="BF376" s="638"/>
      <c r="BG376" s="635">
        <f t="shared" si="152"/>
        <v>0</v>
      </c>
      <c r="BH376" s="636"/>
      <c r="BI376" s="636"/>
      <c r="BJ376" s="637">
        <f t="shared" si="153"/>
        <v>0</v>
      </c>
      <c r="BK376" s="638"/>
      <c r="BL376" s="638"/>
      <c r="BM376" s="635">
        <f t="shared" si="154"/>
        <v>0</v>
      </c>
      <c r="BN376" s="636"/>
      <c r="BO376" s="636"/>
      <c r="BP376" s="637">
        <f t="shared" si="155"/>
        <v>0</v>
      </c>
      <c r="BQ376" s="638"/>
      <c r="BR376" s="638"/>
      <c r="BS376" s="635">
        <f t="shared" si="156"/>
        <v>0</v>
      </c>
      <c r="BT376" s="636"/>
      <c r="BU376" s="636"/>
      <c r="BV376" s="637">
        <f t="shared" si="157"/>
        <v>0</v>
      </c>
      <c r="BW376" s="638">
        <v>1</v>
      </c>
      <c r="BX376" s="638">
        <v>89824</v>
      </c>
      <c r="BY376" s="641">
        <f t="shared" si="158"/>
        <v>73493.996800000008</v>
      </c>
    </row>
    <row r="377" spans="1:77" x14ac:dyDescent="0.2">
      <c r="A377" s="369" t="s">
        <v>79</v>
      </c>
      <c r="B377" s="287" t="s">
        <v>609</v>
      </c>
      <c r="C377" s="477" t="s">
        <v>1029</v>
      </c>
      <c r="D377" s="372">
        <v>207670</v>
      </c>
      <c r="E377" s="479">
        <v>8</v>
      </c>
      <c r="F377" s="631"/>
      <c r="G377" s="632"/>
      <c r="H377" s="633">
        <f t="shared" si="135"/>
        <v>0</v>
      </c>
      <c r="I377" s="634"/>
      <c r="J377" s="634"/>
      <c r="K377" s="635">
        <f t="shared" si="136"/>
        <v>0</v>
      </c>
      <c r="L377" s="636"/>
      <c r="M377" s="636"/>
      <c r="N377" s="637">
        <f t="shared" si="137"/>
        <v>0</v>
      </c>
      <c r="O377" s="638"/>
      <c r="P377" s="638"/>
      <c r="Q377" s="635">
        <f t="shared" si="138"/>
        <v>0</v>
      </c>
      <c r="R377" s="636"/>
      <c r="S377" s="636"/>
      <c r="T377" s="637">
        <f t="shared" si="139"/>
        <v>0</v>
      </c>
      <c r="U377" s="638"/>
      <c r="V377" s="638"/>
      <c r="W377" s="635">
        <f t="shared" si="140"/>
        <v>0</v>
      </c>
      <c r="X377" s="636"/>
      <c r="Y377" s="636"/>
      <c r="Z377" s="637">
        <f t="shared" si="141"/>
        <v>0</v>
      </c>
      <c r="AA377" s="638"/>
      <c r="AB377" s="638"/>
      <c r="AC377" s="635">
        <f t="shared" si="142"/>
        <v>0</v>
      </c>
      <c r="AD377" s="636"/>
      <c r="AE377" s="636"/>
      <c r="AF377" s="637">
        <f t="shared" si="143"/>
        <v>0</v>
      </c>
      <c r="AG377" s="638"/>
      <c r="AH377" s="638"/>
      <c r="AI377" s="635">
        <f t="shared" si="144"/>
        <v>0</v>
      </c>
      <c r="AJ377" s="636">
        <v>100</v>
      </c>
      <c r="AK377" s="636">
        <v>46254</v>
      </c>
      <c r="AL377" s="637">
        <f t="shared" si="145"/>
        <v>4625400</v>
      </c>
      <c r="AM377" s="638">
        <v>102</v>
      </c>
      <c r="AN377" s="638">
        <v>46028</v>
      </c>
      <c r="AO377" s="640">
        <f t="shared" si="146"/>
        <v>4694856</v>
      </c>
      <c r="AP377" s="636"/>
      <c r="AQ377" s="636"/>
      <c r="AR377" s="637">
        <f t="shared" si="147"/>
        <v>0</v>
      </c>
      <c r="AS377" s="638"/>
      <c r="AT377" s="638"/>
      <c r="AU377" s="635">
        <f t="shared" si="148"/>
        <v>0</v>
      </c>
      <c r="AV377" s="636"/>
      <c r="AW377" s="636"/>
      <c r="AX377" s="637">
        <f t="shared" si="149"/>
        <v>0</v>
      </c>
      <c r="AY377" s="638"/>
      <c r="AZ377" s="638"/>
      <c r="BA377" s="635">
        <f t="shared" si="150"/>
        <v>0</v>
      </c>
      <c r="BB377" s="636"/>
      <c r="BC377" s="636"/>
      <c r="BD377" s="637">
        <f t="shared" si="151"/>
        <v>0</v>
      </c>
      <c r="BE377" s="638"/>
      <c r="BF377" s="638"/>
      <c r="BG377" s="635">
        <f t="shared" si="152"/>
        <v>0</v>
      </c>
      <c r="BH377" s="636"/>
      <c r="BI377" s="636"/>
      <c r="BJ377" s="637">
        <f t="shared" si="153"/>
        <v>0</v>
      </c>
      <c r="BK377" s="638"/>
      <c r="BL377" s="638"/>
      <c r="BM377" s="635">
        <f t="shared" si="154"/>
        <v>0</v>
      </c>
      <c r="BN377" s="636"/>
      <c r="BO377" s="636"/>
      <c r="BP377" s="637">
        <f t="shared" si="155"/>
        <v>0</v>
      </c>
      <c r="BQ377" s="638"/>
      <c r="BR377" s="638"/>
      <c r="BS377" s="635">
        <f t="shared" si="156"/>
        <v>0</v>
      </c>
      <c r="BT377" s="636">
        <v>17</v>
      </c>
      <c r="BU377" s="636">
        <v>60655</v>
      </c>
      <c r="BV377" s="637">
        <f t="shared" si="157"/>
        <v>843674.65700000001</v>
      </c>
      <c r="BW377" s="638">
        <v>16</v>
      </c>
      <c r="BX377" s="638">
        <v>59244</v>
      </c>
      <c r="BY377" s="641">
        <f t="shared" si="158"/>
        <v>775575.05280000006</v>
      </c>
    </row>
    <row r="378" spans="1:77" x14ac:dyDescent="0.2">
      <c r="A378" s="369" t="s">
        <v>79</v>
      </c>
      <c r="B378" s="370" t="s">
        <v>606</v>
      </c>
      <c r="C378" s="371"/>
      <c r="D378" s="372">
        <v>207935</v>
      </c>
      <c r="E378" s="243">
        <v>8</v>
      </c>
      <c r="F378" s="631"/>
      <c r="G378" s="632"/>
      <c r="H378" s="633">
        <f t="shared" si="135"/>
        <v>0</v>
      </c>
      <c r="I378" s="634"/>
      <c r="J378" s="634"/>
      <c r="K378" s="635">
        <f t="shared" si="136"/>
        <v>0</v>
      </c>
      <c r="L378" s="636"/>
      <c r="M378" s="636"/>
      <c r="N378" s="637">
        <f t="shared" si="137"/>
        <v>0</v>
      </c>
      <c r="O378" s="638"/>
      <c r="P378" s="638"/>
      <c r="Q378" s="635">
        <f t="shared" si="138"/>
        <v>0</v>
      </c>
      <c r="R378" s="636"/>
      <c r="S378" s="636"/>
      <c r="T378" s="637">
        <f t="shared" si="139"/>
        <v>0</v>
      </c>
      <c r="U378" s="638"/>
      <c r="V378" s="638"/>
      <c r="W378" s="635">
        <f t="shared" si="140"/>
        <v>0</v>
      </c>
      <c r="X378" s="636"/>
      <c r="Y378" s="636"/>
      <c r="Z378" s="637">
        <f t="shared" si="141"/>
        <v>0</v>
      </c>
      <c r="AA378" s="638"/>
      <c r="AB378" s="638"/>
      <c r="AC378" s="635">
        <f t="shared" si="142"/>
        <v>0</v>
      </c>
      <c r="AD378" s="636"/>
      <c r="AE378" s="636"/>
      <c r="AF378" s="637">
        <f t="shared" si="143"/>
        <v>0</v>
      </c>
      <c r="AG378" s="638"/>
      <c r="AH378" s="638"/>
      <c r="AI378" s="635">
        <f t="shared" si="144"/>
        <v>0</v>
      </c>
      <c r="AJ378" s="636">
        <v>256</v>
      </c>
      <c r="AK378" s="636">
        <v>55806</v>
      </c>
      <c r="AL378" s="637">
        <f t="shared" si="145"/>
        <v>14286336</v>
      </c>
      <c r="AM378" s="638">
        <v>262</v>
      </c>
      <c r="AN378" s="638">
        <v>55065</v>
      </c>
      <c r="AO378" s="640">
        <f t="shared" si="146"/>
        <v>14427030</v>
      </c>
      <c r="AP378" s="636"/>
      <c r="AQ378" s="636"/>
      <c r="AR378" s="637">
        <f t="shared" si="147"/>
        <v>0</v>
      </c>
      <c r="AS378" s="638"/>
      <c r="AT378" s="638"/>
      <c r="AU378" s="635">
        <f t="shared" si="148"/>
        <v>0</v>
      </c>
      <c r="AV378" s="636"/>
      <c r="AW378" s="636"/>
      <c r="AX378" s="637">
        <f t="shared" si="149"/>
        <v>0</v>
      </c>
      <c r="AY378" s="638"/>
      <c r="AZ378" s="638"/>
      <c r="BA378" s="635">
        <f t="shared" si="150"/>
        <v>0</v>
      </c>
      <c r="BB378" s="636"/>
      <c r="BC378" s="636"/>
      <c r="BD378" s="637">
        <f t="shared" si="151"/>
        <v>0</v>
      </c>
      <c r="BE378" s="638"/>
      <c r="BF378" s="638"/>
      <c r="BG378" s="635">
        <f t="shared" si="152"/>
        <v>0</v>
      </c>
      <c r="BH378" s="636"/>
      <c r="BI378" s="636"/>
      <c r="BJ378" s="637">
        <f t="shared" si="153"/>
        <v>0</v>
      </c>
      <c r="BK378" s="638"/>
      <c r="BL378" s="638"/>
      <c r="BM378" s="635">
        <f t="shared" si="154"/>
        <v>0</v>
      </c>
      <c r="BN378" s="636"/>
      <c r="BO378" s="636"/>
      <c r="BP378" s="637">
        <f t="shared" si="155"/>
        <v>0</v>
      </c>
      <c r="BQ378" s="638"/>
      <c r="BR378" s="638"/>
      <c r="BS378" s="635">
        <f t="shared" si="156"/>
        <v>0</v>
      </c>
      <c r="BT378" s="636">
        <v>42</v>
      </c>
      <c r="BU378" s="636">
        <v>62679</v>
      </c>
      <c r="BV378" s="637">
        <f t="shared" si="157"/>
        <v>2153926.2276000003</v>
      </c>
      <c r="BW378" s="638">
        <v>45</v>
      </c>
      <c r="BX378" s="638">
        <v>62293</v>
      </c>
      <c r="BY378" s="641">
        <f t="shared" si="158"/>
        <v>2293565.9670000002</v>
      </c>
    </row>
    <row r="379" spans="1:77" x14ac:dyDescent="0.2">
      <c r="A379" s="369" t="s">
        <v>79</v>
      </c>
      <c r="B379" s="247" t="s">
        <v>607</v>
      </c>
      <c r="C379" s="248"/>
      <c r="D379" s="372">
        <v>207281</v>
      </c>
      <c r="E379" s="243">
        <v>9</v>
      </c>
      <c r="F379" s="631"/>
      <c r="G379" s="632"/>
      <c r="H379" s="633">
        <f t="shared" si="135"/>
        <v>0</v>
      </c>
      <c r="I379" s="634"/>
      <c r="J379" s="634"/>
      <c r="K379" s="635">
        <f t="shared" si="136"/>
        <v>0</v>
      </c>
      <c r="L379" s="636"/>
      <c r="M379" s="636"/>
      <c r="N379" s="637">
        <f t="shared" si="137"/>
        <v>0</v>
      </c>
      <c r="O379" s="638"/>
      <c r="P379" s="638"/>
      <c r="Q379" s="635">
        <f t="shared" si="138"/>
        <v>0</v>
      </c>
      <c r="R379" s="636"/>
      <c r="S379" s="636"/>
      <c r="T379" s="637">
        <f t="shared" si="139"/>
        <v>0</v>
      </c>
      <c r="U379" s="638"/>
      <c r="V379" s="638"/>
      <c r="W379" s="635">
        <f t="shared" si="140"/>
        <v>0</v>
      </c>
      <c r="X379" s="636"/>
      <c r="Y379" s="636"/>
      <c r="Z379" s="637">
        <f t="shared" si="141"/>
        <v>0</v>
      </c>
      <c r="AA379" s="638"/>
      <c r="AB379" s="638"/>
      <c r="AC379" s="635">
        <f t="shared" si="142"/>
        <v>0</v>
      </c>
      <c r="AD379" s="636"/>
      <c r="AE379" s="636"/>
      <c r="AF379" s="637">
        <f t="shared" si="143"/>
        <v>0</v>
      </c>
      <c r="AG379" s="638"/>
      <c r="AH379" s="638"/>
      <c r="AI379" s="635">
        <f t="shared" si="144"/>
        <v>0</v>
      </c>
      <c r="AJ379" s="636">
        <v>92</v>
      </c>
      <c r="AK379" s="636">
        <v>46234</v>
      </c>
      <c r="AL379" s="637">
        <f t="shared" si="145"/>
        <v>4253528</v>
      </c>
      <c r="AM379" s="638">
        <v>92</v>
      </c>
      <c r="AN379" s="638">
        <v>45631</v>
      </c>
      <c r="AO379" s="640">
        <f t="shared" si="146"/>
        <v>4198052</v>
      </c>
      <c r="AP379" s="636"/>
      <c r="AQ379" s="636"/>
      <c r="AR379" s="637">
        <f t="shared" si="147"/>
        <v>0</v>
      </c>
      <c r="AS379" s="638"/>
      <c r="AT379" s="638"/>
      <c r="AU379" s="635">
        <f t="shared" si="148"/>
        <v>0</v>
      </c>
      <c r="AV379" s="636"/>
      <c r="AW379" s="636"/>
      <c r="AX379" s="637">
        <f t="shared" si="149"/>
        <v>0</v>
      </c>
      <c r="AY379" s="638"/>
      <c r="AZ379" s="638"/>
      <c r="BA379" s="635">
        <f t="shared" si="150"/>
        <v>0</v>
      </c>
      <c r="BB379" s="636"/>
      <c r="BC379" s="636"/>
      <c r="BD379" s="637">
        <f t="shared" si="151"/>
        <v>0</v>
      </c>
      <c r="BE379" s="638"/>
      <c r="BF379" s="638"/>
      <c r="BG379" s="635">
        <f t="shared" si="152"/>
        <v>0</v>
      </c>
      <c r="BH379" s="636"/>
      <c r="BI379" s="636"/>
      <c r="BJ379" s="637">
        <f t="shared" si="153"/>
        <v>0</v>
      </c>
      <c r="BK379" s="638"/>
      <c r="BL379" s="638"/>
      <c r="BM379" s="635">
        <f t="shared" si="154"/>
        <v>0</v>
      </c>
      <c r="BN379" s="636"/>
      <c r="BO379" s="636"/>
      <c r="BP379" s="637">
        <f t="shared" si="155"/>
        <v>0</v>
      </c>
      <c r="BQ379" s="638"/>
      <c r="BR379" s="638"/>
      <c r="BS379" s="635">
        <f t="shared" si="156"/>
        <v>0</v>
      </c>
      <c r="BT379" s="636">
        <v>3</v>
      </c>
      <c r="BU379" s="636">
        <v>53887</v>
      </c>
      <c r="BV379" s="637">
        <f t="shared" si="157"/>
        <v>132271.03020000001</v>
      </c>
      <c r="BW379" s="638">
        <v>3</v>
      </c>
      <c r="BX379" s="638">
        <v>53887</v>
      </c>
      <c r="BY379" s="641">
        <f t="shared" si="158"/>
        <v>132271.03020000001</v>
      </c>
    </row>
    <row r="380" spans="1:77" x14ac:dyDescent="0.2">
      <c r="A380" s="369" t="s">
        <v>79</v>
      </c>
      <c r="B380" s="287" t="s">
        <v>610</v>
      </c>
      <c r="C380" s="476" t="s">
        <v>1030</v>
      </c>
      <c r="D380" s="372">
        <v>206923</v>
      </c>
      <c r="E380" s="478">
        <v>10</v>
      </c>
      <c r="F380" s="631"/>
      <c r="G380" s="632"/>
      <c r="H380" s="633">
        <f t="shared" si="135"/>
        <v>0</v>
      </c>
      <c r="I380" s="634"/>
      <c r="J380" s="634"/>
      <c r="K380" s="635">
        <f t="shared" si="136"/>
        <v>0</v>
      </c>
      <c r="L380" s="636"/>
      <c r="M380" s="636"/>
      <c r="N380" s="637">
        <f t="shared" si="137"/>
        <v>0</v>
      </c>
      <c r="O380" s="638"/>
      <c r="P380" s="638"/>
      <c r="Q380" s="635">
        <f t="shared" si="138"/>
        <v>0</v>
      </c>
      <c r="R380" s="636"/>
      <c r="S380" s="636"/>
      <c r="T380" s="637">
        <f t="shared" si="139"/>
        <v>0</v>
      </c>
      <c r="U380" s="638"/>
      <c r="V380" s="638"/>
      <c r="W380" s="635">
        <f t="shared" si="140"/>
        <v>0</v>
      </c>
      <c r="X380" s="636"/>
      <c r="Y380" s="636"/>
      <c r="Z380" s="637">
        <f t="shared" si="141"/>
        <v>0</v>
      </c>
      <c r="AA380" s="638"/>
      <c r="AB380" s="638"/>
      <c r="AC380" s="635">
        <f t="shared" si="142"/>
        <v>0</v>
      </c>
      <c r="AD380" s="636"/>
      <c r="AE380" s="636"/>
      <c r="AF380" s="637">
        <f t="shared" si="143"/>
        <v>0</v>
      </c>
      <c r="AG380" s="638"/>
      <c r="AH380" s="638"/>
      <c r="AI380" s="635">
        <f t="shared" si="144"/>
        <v>0</v>
      </c>
      <c r="AJ380" s="636">
        <v>47</v>
      </c>
      <c r="AK380" s="636">
        <v>47166</v>
      </c>
      <c r="AL380" s="637">
        <f t="shared" si="145"/>
        <v>2216802</v>
      </c>
      <c r="AM380" s="638">
        <v>51</v>
      </c>
      <c r="AN380" s="638">
        <v>40885</v>
      </c>
      <c r="AO380" s="640">
        <f t="shared" si="146"/>
        <v>2085135</v>
      </c>
      <c r="AP380" s="636"/>
      <c r="AQ380" s="636"/>
      <c r="AR380" s="637">
        <f t="shared" si="147"/>
        <v>0</v>
      </c>
      <c r="AS380" s="638"/>
      <c r="AT380" s="638"/>
      <c r="AU380" s="635">
        <f t="shared" si="148"/>
        <v>0</v>
      </c>
      <c r="AV380" s="636"/>
      <c r="AW380" s="636"/>
      <c r="AX380" s="637">
        <f t="shared" si="149"/>
        <v>0</v>
      </c>
      <c r="AY380" s="638"/>
      <c r="AZ380" s="638"/>
      <c r="BA380" s="635">
        <f t="shared" si="150"/>
        <v>0</v>
      </c>
      <c r="BB380" s="636"/>
      <c r="BC380" s="636"/>
      <c r="BD380" s="637">
        <f t="shared" si="151"/>
        <v>0</v>
      </c>
      <c r="BE380" s="638"/>
      <c r="BF380" s="638"/>
      <c r="BG380" s="635">
        <f t="shared" si="152"/>
        <v>0</v>
      </c>
      <c r="BH380" s="636"/>
      <c r="BI380" s="636"/>
      <c r="BJ380" s="637">
        <f t="shared" si="153"/>
        <v>0</v>
      </c>
      <c r="BK380" s="638"/>
      <c r="BL380" s="638"/>
      <c r="BM380" s="635">
        <f t="shared" si="154"/>
        <v>0</v>
      </c>
      <c r="BN380" s="636"/>
      <c r="BO380" s="636"/>
      <c r="BP380" s="637">
        <f t="shared" si="155"/>
        <v>0</v>
      </c>
      <c r="BQ380" s="638"/>
      <c r="BR380" s="638"/>
      <c r="BS380" s="635">
        <f t="shared" si="156"/>
        <v>0</v>
      </c>
      <c r="BT380" s="636">
        <v>6</v>
      </c>
      <c r="BU380" s="636">
        <v>36910</v>
      </c>
      <c r="BV380" s="637">
        <f t="shared" si="157"/>
        <v>181198.57200000001</v>
      </c>
      <c r="BW380" s="638">
        <v>5</v>
      </c>
      <c r="BX380" s="638">
        <v>56933</v>
      </c>
      <c r="BY380" s="641">
        <f t="shared" si="158"/>
        <v>232912.90300000002</v>
      </c>
    </row>
    <row r="381" spans="1:77" x14ac:dyDescent="0.2">
      <c r="A381" s="369" t="s">
        <v>79</v>
      </c>
      <c r="B381" s="370" t="s">
        <v>611</v>
      </c>
      <c r="C381" s="476"/>
      <c r="D381" s="372">
        <v>206996</v>
      </c>
      <c r="E381" s="478">
        <v>10</v>
      </c>
      <c r="F381" s="631"/>
      <c r="G381" s="632"/>
      <c r="H381" s="633">
        <f t="shared" si="135"/>
        <v>0</v>
      </c>
      <c r="I381" s="634"/>
      <c r="J381" s="634"/>
      <c r="K381" s="635">
        <f t="shared" si="136"/>
        <v>0</v>
      </c>
      <c r="L381" s="636"/>
      <c r="M381" s="636"/>
      <c r="N381" s="637">
        <f t="shared" si="137"/>
        <v>0</v>
      </c>
      <c r="O381" s="638"/>
      <c r="P381" s="638"/>
      <c r="Q381" s="635">
        <f t="shared" si="138"/>
        <v>0</v>
      </c>
      <c r="R381" s="636"/>
      <c r="S381" s="636"/>
      <c r="T381" s="637">
        <f t="shared" si="139"/>
        <v>0</v>
      </c>
      <c r="U381" s="638"/>
      <c r="V381" s="638"/>
      <c r="W381" s="635">
        <f t="shared" si="140"/>
        <v>0</v>
      </c>
      <c r="X381" s="636"/>
      <c r="Y381" s="636"/>
      <c r="Z381" s="637">
        <f t="shared" si="141"/>
        <v>0</v>
      </c>
      <c r="AA381" s="638"/>
      <c r="AB381" s="638"/>
      <c r="AC381" s="635">
        <f t="shared" si="142"/>
        <v>0</v>
      </c>
      <c r="AD381" s="636"/>
      <c r="AE381" s="636"/>
      <c r="AF381" s="637">
        <f t="shared" si="143"/>
        <v>0</v>
      </c>
      <c r="AG381" s="638"/>
      <c r="AH381" s="638"/>
      <c r="AI381" s="635">
        <f t="shared" si="144"/>
        <v>0</v>
      </c>
      <c r="AJ381" s="636">
        <v>46</v>
      </c>
      <c r="AK381" s="636">
        <v>43853</v>
      </c>
      <c r="AL381" s="637">
        <f t="shared" si="145"/>
        <v>2017238</v>
      </c>
      <c r="AM381" s="638">
        <v>47</v>
      </c>
      <c r="AN381" s="638">
        <v>46024</v>
      </c>
      <c r="AO381" s="640">
        <f t="shared" si="146"/>
        <v>2163128</v>
      </c>
      <c r="AP381" s="636"/>
      <c r="AQ381" s="636"/>
      <c r="AR381" s="637">
        <f t="shared" si="147"/>
        <v>0</v>
      </c>
      <c r="AS381" s="638"/>
      <c r="AT381" s="638"/>
      <c r="AU381" s="635">
        <f t="shared" si="148"/>
        <v>0</v>
      </c>
      <c r="AV381" s="636"/>
      <c r="AW381" s="636"/>
      <c r="AX381" s="637">
        <f t="shared" si="149"/>
        <v>0</v>
      </c>
      <c r="AY381" s="638"/>
      <c r="AZ381" s="638"/>
      <c r="BA381" s="635">
        <f t="shared" si="150"/>
        <v>0</v>
      </c>
      <c r="BB381" s="636"/>
      <c r="BC381" s="636"/>
      <c r="BD381" s="637">
        <f t="shared" si="151"/>
        <v>0</v>
      </c>
      <c r="BE381" s="638"/>
      <c r="BF381" s="638"/>
      <c r="BG381" s="635">
        <f t="shared" si="152"/>
        <v>0</v>
      </c>
      <c r="BH381" s="636"/>
      <c r="BI381" s="636"/>
      <c r="BJ381" s="637">
        <f t="shared" si="153"/>
        <v>0</v>
      </c>
      <c r="BK381" s="638"/>
      <c r="BL381" s="638"/>
      <c r="BM381" s="635">
        <f t="shared" si="154"/>
        <v>0</v>
      </c>
      <c r="BN381" s="636"/>
      <c r="BO381" s="636"/>
      <c r="BP381" s="637">
        <f t="shared" si="155"/>
        <v>0</v>
      </c>
      <c r="BQ381" s="638"/>
      <c r="BR381" s="638"/>
      <c r="BS381" s="635">
        <f t="shared" si="156"/>
        <v>0</v>
      </c>
      <c r="BT381" s="636">
        <v>3</v>
      </c>
      <c r="BU381" s="636">
        <v>51465</v>
      </c>
      <c r="BV381" s="637">
        <f t="shared" si="157"/>
        <v>126325.989</v>
      </c>
      <c r="BW381" s="638">
        <v>3</v>
      </c>
      <c r="BX381" s="638">
        <v>54328</v>
      </c>
      <c r="BY381" s="641">
        <f t="shared" si="158"/>
        <v>133353.50880000001</v>
      </c>
    </row>
    <row r="382" spans="1:77" x14ac:dyDescent="0.2">
      <c r="A382" s="369" t="s">
        <v>79</v>
      </c>
      <c r="B382" s="370" t="s">
        <v>612</v>
      </c>
      <c r="C382" s="476"/>
      <c r="D382" s="372">
        <v>207050</v>
      </c>
      <c r="E382" s="478">
        <v>10</v>
      </c>
      <c r="F382" s="631"/>
      <c r="G382" s="632"/>
      <c r="H382" s="633">
        <f t="shared" si="135"/>
        <v>0</v>
      </c>
      <c r="I382" s="634"/>
      <c r="J382" s="634"/>
      <c r="K382" s="635">
        <f t="shared" si="136"/>
        <v>0</v>
      </c>
      <c r="L382" s="636"/>
      <c r="M382" s="636"/>
      <c r="N382" s="637">
        <f t="shared" si="137"/>
        <v>0</v>
      </c>
      <c r="O382" s="638"/>
      <c r="P382" s="638"/>
      <c r="Q382" s="635">
        <f t="shared" si="138"/>
        <v>0</v>
      </c>
      <c r="R382" s="636"/>
      <c r="S382" s="636"/>
      <c r="T382" s="637">
        <f t="shared" si="139"/>
        <v>0</v>
      </c>
      <c r="U382" s="638"/>
      <c r="V382" s="638"/>
      <c r="W382" s="635">
        <f t="shared" si="140"/>
        <v>0</v>
      </c>
      <c r="X382" s="636"/>
      <c r="Y382" s="636"/>
      <c r="Z382" s="637">
        <f t="shared" si="141"/>
        <v>0</v>
      </c>
      <c r="AA382" s="638"/>
      <c r="AB382" s="638"/>
      <c r="AC382" s="635">
        <f t="shared" si="142"/>
        <v>0</v>
      </c>
      <c r="AD382" s="636"/>
      <c r="AE382" s="636"/>
      <c r="AF382" s="637">
        <f t="shared" si="143"/>
        <v>0</v>
      </c>
      <c r="AG382" s="638"/>
      <c r="AH382" s="638"/>
      <c r="AI382" s="635">
        <f t="shared" si="144"/>
        <v>0</v>
      </c>
      <c r="AJ382" s="636">
        <v>46</v>
      </c>
      <c r="AK382" s="636">
        <v>45356</v>
      </c>
      <c r="AL382" s="637">
        <f t="shared" si="145"/>
        <v>2086376</v>
      </c>
      <c r="AM382" s="638">
        <v>44</v>
      </c>
      <c r="AN382" s="638">
        <v>50633</v>
      </c>
      <c r="AO382" s="640">
        <f t="shared" si="146"/>
        <v>2227852</v>
      </c>
      <c r="AP382" s="636"/>
      <c r="AQ382" s="636"/>
      <c r="AR382" s="637">
        <f t="shared" si="147"/>
        <v>0</v>
      </c>
      <c r="AS382" s="638"/>
      <c r="AT382" s="638"/>
      <c r="AU382" s="635">
        <f t="shared" si="148"/>
        <v>0</v>
      </c>
      <c r="AV382" s="636"/>
      <c r="AW382" s="636"/>
      <c r="AX382" s="637">
        <f t="shared" si="149"/>
        <v>0</v>
      </c>
      <c r="AY382" s="638"/>
      <c r="AZ382" s="638"/>
      <c r="BA382" s="635">
        <f t="shared" si="150"/>
        <v>0</v>
      </c>
      <c r="BB382" s="636"/>
      <c r="BC382" s="636"/>
      <c r="BD382" s="637">
        <f t="shared" si="151"/>
        <v>0</v>
      </c>
      <c r="BE382" s="638"/>
      <c r="BF382" s="638"/>
      <c r="BG382" s="635">
        <f t="shared" si="152"/>
        <v>0</v>
      </c>
      <c r="BH382" s="636"/>
      <c r="BI382" s="636"/>
      <c r="BJ382" s="637">
        <f t="shared" si="153"/>
        <v>0</v>
      </c>
      <c r="BK382" s="638"/>
      <c r="BL382" s="638"/>
      <c r="BM382" s="635">
        <f t="shared" si="154"/>
        <v>0</v>
      </c>
      <c r="BN382" s="636"/>
      <c r="BO382" s="636"/>
      <c r="BP382" s="637">
        <f t="shared" si="155"/>
        <v>0</v>
      </c>
      <c r="BQ382" s="638"/>
      <c r="BR382" s="638"/>
      <c r="BS382" s="635">
        <f t="shared" si="156"/>
        <v>0</v>
      </c>
      <c r="BT382" s="636"/>
      <c r="BU382" s="636"/>
      <c r="BV382" s="637">
        <f t="shared" si="157"/>
        <v>0</v>
      </c>
      <c r="BW382" s="638">
        <v>3</v>
      </c>
      <c r="BX382" s="638">
        <v>56175</v>
      </c>
      <c r="BY382" s="641">
        <f t="shared" si="158"/>
        <v>137887.155</v>
      </c>
    </row>
    <row r="383" spans="1:77" x14ac:dyDescent="0.2">
      <c r="A383" s="369" t="s">
        <v>79</v>
      </c>
      <c r="B383" s="287" t="s">
        <v>613</v>
      </c>
      <c r="C383" s="476"/>
      <c r="D383" s="372">
        <v>207236</v>
      </c>
      <c r="E383" s="478">
        <v>10</v>
      </c>
      <c r="F383" s="631"/>
      <c r="G383" s="632"/>
      <c r="H383" s="633">
        <f t="shared" si="135"/>
        <v>0</v>
      </c>
      <c r="I383" s="634"/>
      <c r="J383" s="634"/>
      <c r="K383" s="635">
        <f t="shared" si="136"/>
        <v>0</v>
      </c>
      <c r="L383" s="636"/>
      <c r="M383" s="636"/>
      <c r="N383" s="637">
        <f t="shared" si="137"/>
        <v>0</v>
      </c>
      <c r="O383" s="638"/>
      <c r="P383" s="638"/>
      <c r="Q383" s="635">
        <f t="shared" si="138"/>
        <v>0</v>
      </c>
      <c r="R383" s="636"/>
      <c r="S383" s="636"/>
      <c r="T383" s="637">
        <f t="shared" si="139"/>
        <v>0</v>
      </c>
      <c r="U383" s="638"/>
      <c r="V383" s="638"/>
      <c r="W383" s="635">
        <f t="shared" si="140"/>
        <v>0</v>
      </c>
      <c r="X383" s="636"/>
      <c r="Y383" s="636"/>
      <c r="Z383" s="637">
        <f t="shared" si="141"/>
        <v>0</v>
      </c>
      <c r="AA383" s="638"/>
      <c r="AB383" s="638"/>
      <c r="AC383" s="635">
        <f t="shared" si="142"/>
        <v>0</v>
      </c>
      <c r="AD383" s="636"/>
      <c r="AE383" s="636"/>
      <c r="AF383" s="637">
        <f t="shared" si="143"/>
        <v>0</v>
      </c>
      <c r="AG383" s="638"/>
      <c r="AH383" s="638"/>
      <c r="AI383" s="635">
        <f t="shared" si="144"/>
        <v>0</v>
      </c>
      <c r="AJ383" s="636">
        <v>36</v>
      </c>
      <c r="AK383" s="636">
        <v>40596</v>
      </c>
      <c r="AL383" s="637">
        <f t="shared" si="145"/>
        <v>1461456</v>
      </c>
      <c r="AM383" s="638">
        <v>33</v>
      </c>
      <c r="AN383" s="638">
        <v>41150</v>
      </c>
      <c r="AO383" s="640">
        <f t="shared" si="146"/>
        <v>1357950</v>
      </c>
      <c r="AP383" s="636"/>
      <c r="AQ383" s="636"/>
      <c r="AR383" s="637">
        <f t="shared" si="147"/>
        <v>0</v>
      </c>
      <c r="AS383" s="638"/>
      <c r="AT383" s="638"/>
      <c r="AU383" s="635">
        <f t="shared" si="148"/>
        <v>0</v>
      </c>
      <c r="AV383" s="636"/>
      <c r="AW383" s="636"/>
      <c r="AX383" s="637">
        <f t="shared" si="149"/>
        <v>0</v>
      </c>
      <c r="AY383" s="638"/>
      <c r="AZ383" s="638"/>
      <c r="BA383" s="635">
        <f t="shared" si="150"/>
        <v>0</v>
      </c>
      <c r="BB383" s="636"/>
      <c r="BC383" s="636"/>
      <c r="BD383" s="637">
        <f t="shared" si="151"/>
        <v>0</v>
      </c>
      <c r="BE383" s="638"/>
      <c r="BF383" s="638"/>
      <c r="BG383" s="635">
        <f t="shared" si="152"/>
        <v>0</v>
      </c>
      <c r="BH383" s="636"/>
      <c r="BI383" s="636"/>
      <c r="BJ383" s="637">
        <f t="shared" si="153"/>
        <v>0</v>
      </c>
      <c r="BK383" s="638"/>
      <c r="BL383" s="638"/>
      <c r="BM383" s="635">
        <f t="shared" si="154"/>
        <v>0</v>
      </c>
      <c r="BN383" s="636"/>
      <c r="BO383" s="636"/>
      <c r="BP383" s="637">
        <f t="shared" si="155"/>
        <v>0</v>
      </c>
      <c r="BQ383" s="638"/>
      <c r="BR383" s="638"/>
      <c r="BS383" s="635">
        <f t="shared" si="156"/>
        <v>0</v>
      </c>
      <c r="BT383" s="636">
        <v>9</v>
      </c>
      <c r="BU383" s="636">
        <v>56013</v>
      </c>
      <c r="BV383" s="637">
        <f t="shared" si="157"/>
        <v>412468.5294</v>
      </c>
      <c r="BW383" s="638">
        <v>12</v>
      </c>
      <c r="BX383" s="638">
        <v>54825</v>
      </c>
      <c r="BY383" s="641">
        <f t="shared" si="158"/>
        <v>538293.78</v>
      </c>
    </row>
    <row r="384" spans="1:77" x14ac:dyDescent="0.2">
      <c r="A384" s="369" t="s">
        <v>79</v>
      </c>
      <c r="B384" s="370" t="s">
        <v>614</v>
      </c>
      <c r="C384" s="476" t="s">
        <v>1030</v>
      </c>
      <c r="D384" s="372">
        <v>207290</v>
      </c>
      <c r="E384" s="478">
        <v>10</v>
      </c>
      <c r="F384" s="631"/>
      <c r="G384" s="632"/>
      <c r="H384" s="633">
        <f t="shared" si="135"/>
        <v>0</v>
      </c>
      <c r="I384" s="634"/>
      <c r="J384" s="634"/>
      <c r="K384" s="635">
        <f t="shared" si="136"/>
        <v>0</v>
      </c>
      <c r="L384" s="636"/>
      <c r="M384" s="636"/>
      <c r="N384" s="637">
        <f t="shared" si="137"/>
        <v>0</v>
      </c>
      <c r="O384" s="638"/>
      <c r="P384" s="638"/>
      <c r="Q384" s="635">
        <f t="shared" si="138"/>
        <v>0</v>
      </c>
      <c r="R384" s="636"/>
      <c r="S384" s="636"/>
      <c r="T384" s="637">
        <f t="shared" si="139"/>
        <v>0</v>
      </c>
      <c r="U384" s="638"/>
      <c r="V384" s="638"/>
      <c r="W384" s="635">
        <f t="shared" si="140"/>
        <v>0</v>
      </c>
      <c r="X384" s="636"/>
      <c r="Y384" s="636"/>
      <c r="Z384" s="637">
        <f t="shared" si="141"/>
        <v>0</v>
      </c>
      <c r="AA384" s="638"/>
      <c r="AB384" s="638"/>
      <c r="AC384" s="635">
        <f t="shared" si="142"/>
        <v>0</v>
      </c>
      <c r="AD384" s="636"/>
      <c r="AE384" s="636"/>
      <c r="AF384" s="637">
        <f t="shared" si="143"/>
        <v>0</v>
      </c>
      <c r="AG384" s="638"/>
      <c r="AH384" s="638"/>
      <c r="AI384" s="635">
        <f t="shared" si="144"/>
        <v>0</v>
      </c>
      <c r="AJ384" s="636">
        <v>56</v>
      </c>
      <c r="AK384" s="636">
        <v>40971</v>
      </c>
      <c r="AL384" s="637">
        <f t="shared" si="145"/>
        <v>2294376</v>
      </c>
      <c r="AM384" s="638">
        <v>59</v>
      </c>
      <c r="AN384" s="638">
        <v>42935</v>
      </c>
      <c r="AO384" s="640">
        <f t="shared" si="146"/>
        <v>2533165</v>
      </c>
      <c r="AP384" s="636"/>
      <c r="AQ384" s="636"/>
      <c r="AR384" s="637">
        <f t="shared" si="147"/>
        <v>0</v>
      </c>
      <c r="AS384" s="638"/>
      <c r="AT384" s="638"/>
      <c r="AU384" s="635">
        <f t="shared" si="148"/>
        <v>0</v>
      </c>
      <c r="AV384" s="636"/>
      <c r="AW384" s="636"/>
      <c r="AX384" s="637">
        <f t="shared" si="149"/>
        <v>0</v>
      </c>
      <c r="AY384" s="638"/>
      <c r="AZ384" s="638"/>
      <c r="BA384" s="635">
        <f t="shared" si="150"/>
        <v>0</v>
      </c>
      <c r="BB384" s="636"/>
      <c r="BC384" s="636"/>
      <c r="BD384" s="637">
        <f t="shared" si="151"/>
        <v>0</v>
      </c>
      <c r="BE384" s="638"/>
      <c r="BF384" s="638"/>
      <c r="BG384" s="635">
        <f t="shared" si="152"/>
        <v>0</v>
      </c>
      <c r="BH384" s="636"/>
      <c r="BI384" s="636"/>
      <c r="BJ384" s="637">
        <f t="shared" si="153"/>
        <v>0</v>
      </c>
      <c r="BK384" s="638"/>
      <c r="BL384" s="638"/>
      <c r="BM384" s="635">
        <f t="shared" si="154"/>
        <v>0</v>
      </c>
      <c r="BN384" s="636"/>
      <c r="BO384" s="636"/>
      <c r="BP384" s="637">
        <f t="shared" si="155"/>
        <v>0</v>
      </c>
      <c r="BQ384" s="638"/>
      <c r="BR384" s="638"/>
      <c r="BS384" s="635">
        <f t="shared" si="156"/>
        <v>0</v>
      </c>
      <c r="BT384" s="636">
        <v>10</v>
      </c>
      <c r="BU384" s="636">
        <v>55776</v>
      </c>
      <c r="BV384" s="637">
        <f t="shared" si="157"/>
        <v>456359.23200000002</v>
      </c>
      <c r="BW384" s="638">
        <v>2</v>
      </c>
      <c r="BX384" s="638">
        <v>60086</v>
      </c>
      <c r="BY384" s="641">
        <f t="shared" si="158"/>
        <v>98324.7304</v>
      </c>
    </row>
    <row r="385" spans="1:77" x14ac:dyDescent="0.2">
      <c r="A385" s="369" t="s">
        <v>79</v>
      </c>
      <c r="B385" s="370" t="s">
        <v>615</v>
      </c>
      <c r="C385" s="476"/>
      <c r="D385" s="372">
        <v>207069</v>
      </c>
      <c r="E385" s="478">
        <v>10</v>
      </c>
      <c r="F385" s="631"/>
      <c r="G385" s="632"/>
      <c r="H385" s="633">
        <f t="shared" si="135"/>
        <v>0</v>
      </c>
      <c r="I385" s="634"/>
      <c r="J385" s="634"/>
      <c r="K385" s="635">
        <f t="shared" si="136"/>
        <v>0</v>
      </c>
      <c r="L385" s="636"/>
      <c r="M385" s="636"/>
      <c r="N385" s="637">
        <f t="shared" si="137"/>
        <v>0</v>
      </c>
      <c r="O385" s="638"/>
      <c r="P385" s="638"/>
      <c r="Q385" s="635">
        <f t="shared" si="138"/>
        <v>0</v>
      </c>
      <c r="R385" s="636"/>
      <c r="S385" s="636"/>
      <c r="T385" s="637">
        <f t="shared" si="139"/>
        <v>0</v>
      </c>
      <c r="U385" s="638"/>
      <c r="V385" s="638"/>
      <c r="W385" s="635">
        <f t="shared" si="140"/>
        <v>0</v>
      </c>
      <c r="X385" s="636"/>
      <c r="Y385" s="636"/>
      <c r="Z385" s="637">
        <f t="shared" si="141"/>
        <v>0</v>
      </c>
      <c r="AA385" s="638"/>
      <c r="AB385" s="638"/>
      <c r="AC385" s="635">
        <f t="shared" si="142"/>
        <v>0</v>
      </c>
      <c r="AD385" s="636"/>
      <c r="AE385" s="636"/>
      <c r="AF385" s="637">
        <f t="shared" si="143"/>
        <v>0</v>
      </c>
      <c r="AG385" s="638"/>
      <c r="AH385" s="638"/>
      <c r="AI385" s="635">
        <f t="shared" si="144"/>
        <v>0</v>
      </c>
      <c r="AJ385" s="636">
        <v>23</v>
      </c>
      <c r="AK385" s="636">
        <v>39478</v>
      </c>
      <c r="AL385" s="637">
        <f t="shared" si="145"/>
        <v>907994</v>
      </c>
      <c r="AM385" s="638">
        <v>26</v>
      </c>
      <c r="AN385" s="638">
        <v>40236</v>
      </c>
      <c r="AO385" s="640">
        <f t="shared" si="146"/>
        <v>1046136</v>
      </c>
      <c r="AP385" s="636"/>
      <c r="AQ385" s="636"/>
      <c r="AR385" s="637">
        <f t="shared" si="147"/>
        <v>0</v>
      </c>
      <c r="AS385" s="638"/>
      <c r="AT385" s="638"/>
      <c r="AU385" s="635">
        <f t="shared" si="148"/>
        <v>0</v>
      </c>
      <c r="AV385" s="636"/>
      <c r="AW385" s="636"/>
      <c r="AX385" s="637">
        <f t="shared" si="149"/>
        <v>0</v>
      </c>
      <c r="AY385" s="638"/>
      <c r="AZ385" s="638"/>
      <c r="BA385" s="635">
        <f t="shared" si="150"/>
        <v>0</v>
      </c>
      <c r="BB385" s="636"/>
      <c r="BC385" s="636"/>
      <c r="BD385" s="637">
        <f t="shared" si="151"/>
        <v>0</v>
      </c>
      <c r="BE385" s="638"/>
      <c r="BF385" s="638"/>
      <c r="BG385" s="635">
        <f t="shared" si="152"/>
        <v>0</v>
      </c>
      <c r="BH385" s="636"/>
      <c r="BI385" s="636"/>
      <c r="BJ385" s="637">
        <f t="shared" si="153"/>
        <v>0</v>
      </c>
      <c r="BK385" s="638"/>
      <c r="BL385" s="638"/>
      <c r="BM385" s="635">
        <f t="shared" si="154"/>
        <v>0</v>
      </c>
      <c r="BN385" s="636"/>
      <c r="BO385" s="636"/>
      <c r="BP385" s="637">
        <f t="shared" si="155"/>
        <v>0</v>
      </c>
      <c r="BQ385" s="638"/>
      <c r="BR385" s="638"/>
      <c r="BS385" s="635">
        <f t="shared" si="156"/>
        <v>0</v>
      </c>
      <c r="BT385" s="636">
        <v>6</v>
      </c>
      <c r="BU385" s="636">
        <v>47299</v>
      </c>
      <c r="BV385" s="637">
        <f t="shared" si="157"/>
        <v>232200.25080000001</v>
      </c>
      <c r="BW385" s="638">
        <v>10</v>
      </c>
      <c r="BX385" s="638">
        <v>44704</v>
      </c>
      <c r="BY385" s="641">
        <f t="shared" si="158"/>
        <v>365768.12800000003</v>
      </c>
    </row>
    <row r="386" spans="1:77" x14ac:dyDescent="0.2">
      <c r="A386" s="369" t="s">
        <v>79</v>
      </c>
      <c r="B386" s="370" t="s">
        <v>616</v>
      </c>
      <c r="C386" s="476"/>
      <c r="D386" s="372">
        <v>207740</v>
      </c>
      <c r="E386" s="478">
        <v>10</v>
      </c>
      <c r="F386" s="631"/>
      <c r="G386" s="632"/>
      <c r="H386" s="633">
        <f t="shared" si="135"/>
        <v>0</v>
      </c>
      <c r="I386" s="634"/>
      <c r="J386" s="634"/>
      <c r="K386" s="635">
        <f t="shared" si="136"/>
        <v>0</v>
      </c>
      <c r="L386" s="636"/>
      <c r="M386" s="636"/>
      <c r="N386" s="637">
        <f t="shared" si="137"/>
        <v>0</v>
      </c>
      <c r="O386" s="638"/>
      <c r="P386" s="638"/>
      <c r="Q386" s="635">
        <f t="shared" si="138"/>
        <v>0</v>
      </c>
      <c r="R386" s="636"/>
      <c r="S386" s="636"/>
      <c r="T386" s="637">
        <f t="shared" si="139"/>
        <v>0</v>
      </c>
      <c r="U386" s="638"/>
      <c r="V386" s="638"/>
      <c r="W386" s="635">
        <f t="shared" si="140"/>
        <v>0</v>
      </c>
      <c r="X386" s="636"/>
      <c r="Y386" s="636"/>
      <c r="Z386" s="637">
        <f t="shared" si="141"/>
        <v>0</v>
      </c>
      <c r="AA386" s="638"/>
      <c r="AB386" s="638"/>
      <c r="AC386" s="635">
        <f t="shared" si="142"/>
        <v>0</v>
      </c>
      <c r="AD386" s="636"/>
      <c r="AE386" s="636"/>
      <c r="AF386" s="637">
        <f t="shared" si="143"/>
        <v>0</v>
      </c>
      <c r="AG386" s="638"/>
      <c r="AH386" s="638"/>
      <c r="AI386" s="635">
        <f t="shared" si="144"/>
        <v>0</v>
      </c>
      <c r="AJ386" s="636">
        <v>40</v>
      </c>
      <c r="AK386" s="636">
        <v>42515</v>
      </c>
      <c r="AL386" s="637">
        <f t="shared" si="145"/>
        <v>1700600</v>
      </c>
      <c r="AM386" s="638">
        <v>39</v>
      </c>
      <c r="AN386" s="638">
        <v>44025</v>
      </c>
      <c r="AO386" s="640">
        <f t="shared" si="146"/>
        <v>1716975</v>
      </c>
      <c r="AP386" s="636"/>
      <c r="AQ386" s="636"/>
      <c r="AR386" s="637">
        <f t="shared" si="147"/>
        <v>0</v>
      </c>
      <c r="AS386" s="638"/>
      <c r="AT386" s="638"/>
      <c r="AU386" s="635">
        <f t="shared" si="148"/>
        <v>0</v>
      </c>
      <c r="AV386" s="636"/>
      <c r="AW386" s="636"/>
      <c r="AX386" s="637">
        <f t="shared" si="149"/>
        <v>0</v>
      </c>
      <c r="AY386" s="638"/>
      <c r="AZ386" s="638"/>
      <c r="BA386" s="635">
        <f t="shared" si="150"/>
        <v>0</v>
      </c>
      <c r="BB386" s="636"/>
      <c r="BC386" s="636"/>
      <c r="BD386" s="637">
        <f t="shared" si="151"/>
        <v>0</v>
      </c>
      <c r="BE386" s="638"/>
      <c r="BF386" s="638"/>
      <c r="BG386" s="635">
        <f t="shared" si="152"/>
        <v>0</v>
      </c>
      <c r="BH386" s="636"/>
      <c r="BI386" s="636"/>
      <c r="BJ386" s="637">
        <f t="shared" si="153"/>
        <v>0</v>
      </c>
      <c r="BK386" s="638"/>
      <c r="BL386" s="638"/>
      <c r="BM386" s="635">
        <f t="shared" si="154"/>
        <v>0</v>
      </c>
      <c r="BN386" s="636"/>
      <c r="BO386" s="636"/>
      <c r="BP386" s="637">
        <f t="shared" si="155"/>
        <v>0</v>
      </c>
      <c r="BQ386" s="638"/>
      <c r="BR386" s="638"/>
      <c r="BS386" s="635">
        <f t="shared" si="156"/>
        <v>0</v>
      </c>
      <c r="BT386" s="636">
        <v>7</v>
      </c>
      <c r="BU386" s="636">
        <v>45916</v>
      </c>
      <c r="BV386" s="637">
        <f t="shared" si="157"/>
        <v>262979.29840000003</v>
      </c>
      <c r="BW386" s="638">
        <v>10</v>
      </c>
      <c r="BX386" s="638">
        <v>47335</v>
      </c>
      <c r="BY386" s="641">
        <f t="shared" si="158"/>
        <v>387294.97000000003</v>
      </c>
    </row>
    <row r="387" spans="1:77" x14ac:dyDescent="0.2">
      <c r="A387" s="369" t="s">
        <v>79</v>
      </c>
      <c r="B387" s="370" t="s">
        <v>617</v>
      </c>
      <c r="C387" s="476" t="s">
        <v>1031</v>
      </c>
      <c r="D387" s="372">
        <v>208035</v>
      </c>
      <c r="E387" s="478">
        <v>10</v>
      </c>
      <c r="F387" s="631"/>
      <c r="G387" s="632"/>
      <c r="H387" s="633">
        <f t="shared" si="135"/>
        <v>0</v>
      </c>
      <c r="I387" s="634"/>
      <c r="J387" s="634"/>
      <c r="K387" s="635">
        <f t="shared" si="136"/>
        <v>0</v>
      </c>
      <c r="L387" s="636"/>
      <c r="M387" s="636"/>
      <c r="N387" s="637">
        <f t="shared" si="137"/>
        <v>0</v>
      </c>
      <c r="O387" s="638"/>
      <c r="P387" s="638"/>
      <c r="Q387" s="635">
        <f t="shared" si="138"/>
        <v>0</v>
      </c>
      <c r="R387" s="636"/>
      <c r="S387" s="636"/>
      <c r="T387" s="637">
        <f t="shared" si="139"/>
        <v>0</v>
      </c>
      <c r="U387" s="638"/>
      <c r="V387" s="638"/>
      <c r="W387" s="635">
        <f t="shared" si="140"/>
        <v>0</v>
      </c>
      <c r="X387" s="636"/>
      <c r="Y387" s="636"/>
      <c r="Z387" s="637">
        <f t="shared" si="141"/>
        <v>0</v>
      </c>
      <c r="AA387" s="638"/>
      <c r="AB387" s="638"/>
      <c r="AC387" s="635">
        <f t="shared" si="142"/>
        <v>0</v>
      </c>
      <c r="AD387" s="636"/>
      <c r="AE387" s="636"/>
      <c r="AF387" s="637">
        <f t="shared" si="143"/>
        <v>0</v>
      </c>
      <c r="AG387" s="638"/>
      <c r="AH387" s="638"/>
      <c r="AI387" s="635">
        <f t="shared" si="144"/>
        <v>0</v>
      </c>
      <c r="AJ387" s="636">
        <v>37</v>
      </c>
      <c r="AK387" s="636">
        <v>44564</v>
      </c>
      <c r="AL387" s="637">
        <f t="shared" si="145"/>
        <v>1648868</v>
      </c>
      <c r="AM387" s="638">
        <v>37</v>
      </c>
      <c r="AN387" s="638">
        <v>43864</v>
      </c>
      <c r="AO387" s="640">
        <f t="shared" si="146"/>
        <v>1622968</v>
      </c>
      <c r="AP387" s="636"/>
      <c r="AQ387" s="636"/>
      <c r="AR387" s="637">
        <f t="shared" si="147"/>
        <v>0</v>
      </c>
      <c r="AS387" s="638"/>
      <c r="AT387" s="638"/>
      <c r="AU387" s="635">
        <f t="shared" si="148"/>
        <v>0</v>
      </c>
      <c r="AV387" s="636"/>
      <c r="AW387" s="636"/>
      <c r="AX387" s="637">
        <f t="shared" si="149"/>
        <v>0</v>
      </c>
      <c r="AY387" s="638"/>
      <c r="AZ387" s="638"/>
      <c r="BA387" s="635">
        <f t="shared" si="150"/>
        <v>0</v>
      </c>
      <c r="BB387" s="636"/>
      <c r="BC387" s="636"/>
      <c r="BD387" s="637">
        <f t="shared" si="151"/>
        <v>0</v>
      </c>
      <c r="BE387" s="638"/>
      <c r="BF387" s="638"/>
      <c r="BG387" s="635">
        <f t="shared" si="152"/>
        <v>0</v>
      </c>
      <c r="BH387" s="636"/>
      <c r="BI387" s="636"/>
      <c r="BJ387" s="637">
        <f t="shared" si="153"/>
        <v>0</v>
      </c>
      <c r="BK387" s="638"/>
      <c r="BL387" s="638"/>
      <c r="BM387" s="635">
        <f t="shared" si="154"/>
        <v>0</v>
      </c>
      <c r="BN387" s="636"/>
      <c r="BO387" s="636"/>
      <c r="BP387" s="637">
        <f t="shared" si="155"/>
        <v>0</v>
      </c>
      <c r="BQ387" s="638"/>
      <c r="BR387" s="638"/>
      <c r="BS387" s="635">
        <f t="shared" si="156"/>
        <v>0</v>
      </c>
      <c r="BT387" s="636">
        <v>4</v>
      </c>
      <c r="BU387" s="636">
        <v>53814</v>
      </c>
      <c r="BV387" s="637">
        <f t="shared" si="157"/>
        <v>176122.45920000001</v>
      </c>
      <c r="BW387" s="638">
        <v>3</v>
      </c>
      <c r="BX387" s="638">
        <v>54119</v>
      </c>
      <c r="BY387" s="641">
        <f t="shared" si="158"/>
        <v>132840.49739999999</v>
      </c>
    </row>
    <row r="388" spans="1:77" x14ac:dyDescent="0.2">
      <c r="A388" s="359" t="s">
        <v>79</v>
      </c>
      <c r="B388" s="360" t="s">
        <v>544</v>
      </c>
      <c r="C388" s="361"/>
      <c r="D388" s="301">
        <v>365374</v>
      </c>
      <c r="E388" s="199">
        <v>12</v>
      </c>
      <c r="F388" s="631"/>
      <c r="G388" s="632"/>
      <c r="H388" s="633">
        <f t="shared" si="135"/>
        <v>0</v>
      </c>
      <c r="I388" s="634"/>
      <c r="J388" s="634"/>
      <c r="K388" s="635">
        <f t="shared" si="136"/>
        <v>0</v>
      </c>
      <c r="L388" s="636"/>
      <c r="M388" s="636"/>
      <c r="N388" s="637">
        <f t="shared" si="137"/>
        <v>0</v>
      </c>
      <c r="O388" s="638"/>
      <c r="P388" s="638"/>
      <c r="Q388" s="635">
        <f t="shared" si="138"/>
        <v>0</v>
      </c>
      <c r="R388" s="636"/>
      <c r="S388" s="636"/>
      <c r="T388" s="637">
        <f t="shared" si="139"/>
        <v>0</v>
      </c>
      <c r="U388" s="638"/>
      <c r="V388" s="638"/>
      <c r="W388" s="635">
        <f t="shared" si="140"/>
        <v>0</v>
      </c>
      <c r="X388" s="636"/>
      <c r="Y388" s="636"/>
      <c r="Z388" s="637">
        <f t="shared" si="141"/>
        <v>0</v>
      </c>
      <c r="AA388" s="638"/>
      <c r="AB388" s="638"/>
      <c r="AC388" s="635">
        <f t="shared" si="142"/>
        <v>0</v>
      </c>
      <c r="AD388" s="636"/>
      <c r="AE388" s="636"/>
      <c r="AF388" s="637">
        <f t="shared" si="143"/>
        <v>0</v>
      </c>
      <c r="AG388" s="638"/>
      <c r="AH388" s="638"/>
      <c r="AI388" s="635">
        <f t="shared" si="144"/>
        <v>0</v>
      </c>
      <c r="AJ388" s="636">
        <v>39</v>
      </c>
      <c r="AK388" s="636">
        <v>51344</v>
      </c>
      <c r="AL388" s="637">
        <f t="shared" si="145"/>
        <v>2002416</v>
      </c>
      <c r="AM388" s="638">
        <v>40</v>
      </c>
      <c r="AN388" s="638">
        <v>56704</v>
      </c>
      <c r="AO388" s="640">
        <f t="shared" si="146"/>
        <v>2268160</v>
      </c>
      <c r="AP388" s="636"/>
      <c r="AQ388" s="636"/>
      <c r="AR388" s="637">
        <f t="shared" si="147"/>
        <v>0</v>
      </c>
      <c r="AS388" s="638"/>
      <c r="AT388" s="638"/>
      <c r="AU388" s="635">
        <f t="shared" si="148"/>
        <v>0</v>
      </c>
      <c r="AV388" s="636"/>
      <c r="AW388" s="636"/>
      <c r="AX388" s="637">
        <f t="shared" si="149"/>
        <v>0</v>
      </c>
      <c r="AY388" s="638"/>
      <c r="AZ388" s="638"/>
      <c r="BA388" s="635">
        <f t="shared" si="150"/>
        <v>0</v>
      </c>
      <c r="BB388" s="636"/>
      <c r="BC388" s="636"/>
      <c r="BD388" s="637">
        <f t="shared" si="151"/>
        <v>0</v>
      </c>
      <c r="BE388" s="638"/>
      <c r="BF388" s="638"/>
      <c r="BG388" s="635">
        <f t="shared" si="152"/>
        <v>0</v>
      </c>
      <c r="BH388" s="636"/>
      <c r="BI388" s="636"/>
      <c r="BJ388" s="637">
        <f t="shared" si="153"/>
        <v>0</v>
      </c>
      <c r="BK388" s="638"/>
      <c r="BL388" s="638"/>
      <c r="BM388" s="635">
        <f t="shared" si="154"/>
        <v>0</v>
      </c>
      <c r="BN388" s="636"/>
      <c r="BO388" s="636"/>
      <c r="BP388" s="637">
        <f t="shared" si="155"/>
        <v>0</v>
      </c>
      <c r="BQ388" s="638"/>
      <c r="BR388" s="638"/>
      <c r="BS388" s="635">
        <f t="shared" si="156"/>
        <v>0</v>
      </c>
      <c r="BT388" s="636">
        <v>15</v>
      </c>
      <c r="BU388" s="636">
        <v>63029</v>
      </c>
      <c r="BV388" s="637">
        <f t="shared" si="157"/>
        <v>773554.91700000002</v>
      </c>
      <c r="BW388" s="638">
        <v>15</v>
      </c>
      <c r="BX388" s="638">
        <v>68318</v>
      </c>
      <c r="BY388" s="641">
        <f t="shared" si="158"/>
        <v>838466.81400000001</v>
      </c>
    </row>
    <row r="389" spans="1:77" x14ac:dyDescent="0.2">
      <c r="A389" s="359" t="s">
        <v>79</v>
      </c>
      <c r="B389" s="302" t="s">
        <v>545</v>
      </c>
      <c r="C389" s="303"/>
      <c r="D389" s="301">
        <v>245999</v>
      </c>
      <c r="E389" s="199">
        <v>12</v>
      </c>
      <c r="F389" s="631"/>
      <c r="G389" s="632"/>
      <c r="H389" s="633">
        <f t="shared" si="135"/>
        <v>0</v>
      </c>
      <c r="I389" s="634"/>
      <c r="J389" s="634"/>
      <c r="K389" s="635">
        <f t="shared" si="136"/>
        <v>0</v>
      </c>
      <c r="L389" s="636"/>
      <c r="M389" s="636"/>
      <c r="N389" s="637">
        <f t="shared" si="137"/>
        <v>0</v>
      </c>
      <c r="O389" s="638"/>
      <c r="P389" s="638"/>
      <c r="Q389" s="635">
        <f t="shared" si="138"/>
        <v>0</v>
      </c>
      <c r="R389" s="636"/>
      <c r="S389" s="636"/>
      <c r="T389" s="637">
        <f t="shared" si="139"/>
        <v>0</v>
      </c>
      <c r="U389" s="638"/>
      <c r="V389" s="638"/>
      <c r="W389" s="635">
        <f t="shared" si="140"/>
        <v>0</v>
      </c>
      <c r="X389" s="636"/>
      <c r="Y389" s="636"/>
      <c r="Z389" s="637">
        <f t="shared" si="141"/>
        <v>0</v>
      </c>
      <c r="AA389" s="638"/>
      <c r="AB389" s="638"/>
      <c r="AC389" s="635">
        <f t="shared" si="142"/>
        <v>0</v>
      </c>
      <c r="AD389" s="636"/>
      <c r="AE389" s="636"/>
      <c r="AF389" s="637">
        <f t="shared" si="143"/>
        <v>0</v>
      </c>
      <c r="AG389" s="638"/>
      <c r="AH389" s="638"/>
      <c r="AI389" s="635">
        <f t="shared" si="144"/>
        <v>0</v>
      </c>
      <c r="AJ389" s="636">
        <v>76</v>
      </c>
      <c r="AK389" s="636">
        <v>59866</v>
      </c>
      <c r="AL389" s="637">
        <f t="shared" si="145"/>
        <v>4549816</v>
      </c>
      <c r="AM389" s="638">
        <v>77</v>
      </c>
      <c r="AN389" s="638">
        <v>60948</v>
      </c>
      <c r="AO389" s="640">
        <f t="shared" si="146"/>
        <v>4692996</v>
      </c>
      <c r="AP389" s="636"/>
      <c r="AQ389" s="636"/>
      <c r="AR389" s="637">
        <f t="shared" si="147"/>
        <v>0</v>
      </c>
      <c r="AS389" s="638"/>
      <c r="AT389" s="638"/>
      <c r="AU389" s="635">
        <f t="shared" si="148"/>
        <v>0</v>
      </c>
      <c r="AV389" s="636"/>
      <c r="AW389" s="636"/>
      <c r="AX389" s="637">
        <f t="shared" si="149"/>
        <v>0</v>
      </c>
      <c r="AY389" s="638"/>
      <c r="AZ389" s="638"/>
      <c r="BA389" s="635">
        <f t="shared" si="150"/>
        <v>0</v>
      </c>
      <c r="BB389" s="636"/>
      <c r="BC389" s="636"/>
      <c r="BD389" s="637">
        <f t="shared" si="151"/>
        <v>0</v>
      </c>
      <c r="BE389" s="638"/>
      <c r="BF389" s="638"/>
      <c r="BG389" s="635">
        <f t="shared" si="152"/>
        <v>0</v>
      </c>
      <c r="BH389" s="636"/>
      <c r="BI389" s="636"/>
      <c r="BJ389" s="637">
        <f t="shared" si="153"/>
        <v>0</v>
      </c>
      <c r="BK389" s="638"/>
      <c r="BL389" s="638"/>
      <c r="BM389" s="635">
        <f t="shared" si="154"/>
        <v>0</v>
      </c>
      <c r="BN389" s="636"/>
      <c r="BO389" s="636"/>
      <c r="BP389" s="637">
        <f t="shared" si="155"/>
        <v>0</v>
      </c>
      <c r="BQ389" s="638"/>
      <c r="BR389" s="638"/>
      <c r="BS389" s="635">
        <f t="shared" si="156"/>
        <v>0</v>
      </c>
      <c r="BT389" s="636">
        <v>22</v>
      </c>
      <c r="BU389" s="636">
        <v>67732</v>
      </c>
      <c r="BV389" s="637">
        <f t="shared" si="157"/>
        <v>1219203.0928</v>
      </c>
      <c r="BW389" s="638">
        <v>21</v>
      </c>
      <c r="BX389" s="638">
        <v>69489</v>
      </c>
      <c r="BY389" s="641">
        <f t="shared" si="158"/>
        <v>1193973.8958000001</v>
      </c>
    </row>
    <row r="390" spans="1:77" x14ac:dyDescent="0.2">
      <c r="A390" s="359" t="s">
        <v>79</v>
      </c>
      <c r="B390" s="302" t="s">
        <v>547</v>
      </c>
      <c r="C390" s="303"/>
      <c r="D390" s="301">
        <v>363165</v>
      </c>
      <c r="E390" s="199">
        <v>12</v>
      </c>
      <c r="F390" s="631"/>
      <c r="G390" s="632"/>
      <c r="H390" s="633">
        <f t="shared" si="135"/>
        <v>0</v>
      </c>
      <c r="I390" s="634"/>
      <c r="J390" s="634"/>
      <c r="K390" s="635">
        <f t="shared" si="136"/>
        <v>0</v>
      </c>
      <c r="L390" s="636"/>
      <c r="M390" s="636"/>
      <c r="N390" s="637">
        <f t="shared" si="137"/>
        <v>0</v>
      </c>
      <c r="O390" s="638"/>
      <c r="P390" s="638"/>
      <c r="Q390" s="635">
        <f t="shared" si="138"/>
        <v>0</v>
      </c>
      <c r="R390" s="636"/>
      <c r="S390" s="636"/>
      <c r="T390" s="637">
        <f t="shared" si="139"/>
        <v>0</v>
      </c>
      <c r="U390" s="638"/>
      <c r="V390" s="638"/>
      <c r="W390" s="635">
        <f t="shared" si="140"/>
        <v>0</v>
      </c>
      <c r="X390" s="636"/>
      <c r="Y390" s="636"/>
      <c r="Z390" s="637">
        <f t="shared" si="141"/>
        <v>0</v>
      </c>
      <c r="AA390" s="638"/>
      <c r="AB390" s="638"/>
      <c r="AC390" s="635">
        <f t="shared" si="142"/>
        <v>0</v>
      </c>
      <c r="AD390" s="636"/>
      <c r="AE390" s="636"/>
      <c r="AF390" s="637">
        <f t="shared" si="143"/>
        <v>0</v>
      </c>
      <c r="AG390" s="638"/>
      <c r="AH390" s="638"/>
      <c r="AI390" s="635">
        <f t="shared" si="144"/>
        <v>0</v>
      </c>
      <c r="AJ390" s="636">
        <v>32</v>
      </c>
      <c r="AK390" s="636">
        <v>50085</v>
      </c>
      <c r="AL390" s="637">
        <f t="shared" si="145"/>
        <v>1602720</v>
      </c>
      <c r="AM390" s="638">
        <v>31</v>
      </c>
      <c r="AN390" s="638">
        <v>51832</v>
      </c>
      <c r="AO390" s="640">
        <f t="shared" si="146"/>
        <v>1606792</v>
      </c>
      <c r="AP390" s="636"/>
      <c r="AQ390" s="636"/>
      <c r="AR390" s="637">
        <f t="shared" si="147"/>
        <v>0</v>
      </c>
      <c r="AS390" s="638"/>
      <c r="AT390" s="638"/>
      <c r="AU390" s="635">
        <f t="shared" si="148"/>
        <v>0</v>
      </c>
      <c r="AV390" s="636"/>
      <c r="AW390" s="636"/>
      <c r="AX390" s="637">
        <f t="shared" si="149"/>
        <v>0</v>
      </c>
      <c r="AY390" s="638"/>
      <c r="AZ390" s="638"/>
      <c r="BA390" s="635">
        <f t="shared" si="150"/>
        <v>0</v>
      </c>
      <c r="BB390" s="636"/>
      <c r="BC390" s="636"/>
      <c r="BD390" s="637">
        <f t="shared" si="151"/>
        <v>0</v>
      </c>
      <c r="BE390" s="638"/>
      <c r="BF390" s="638"/>
      <c r="BG390" s="635">
        <f t="shared" si="152"/>
        <v>0</v>
      </c>
      <c r="BH390" s="636"/>
      <c r="BI390" s="636"/>
      <c r="BJ390" s="637">
        <f t="shared" si="153"/>
        <v>0</v>
      </c>
      <c r="BK390" s="638"/>
      <c r="BL390" s="638"/>
      <c r="BM390" s="635">
        <f t="shared" si="154"/>
        <v>0</v>
      </c>
      <c r="BN390" s="636"/>
      <c r="BO390" s="636"/>
      <c r="BP390" s="637">
        <f t="shared" si="155"/>
        <v>0</v>
      </c>
      <c r="BQ390" s="638"/>
      <c r="BR390" s="638"/>
      <c r="BS390" s="635">
        <f t="shared" si="156"/>
        <v>0</v>
      </c>
      <c r="BT390" s="636">
        <v>34</v>
      </c>
      <c r="BU390" s="636">
        <v>55525</v>
      </c>
      <c r="BV390" s="637">
        <f t="shared" si="157"/>
        <v>1544638.87</v>
      </c>
      <c r="BW390" s="638">
        <v>31</v>
      </c>
      <c r="BX390" s="638">
        <v>55901</v>
      </c>
      <c r="BY390" s="641">
        <f t="shared" si="158"/>
        <v>1417884.1442</v>
      </c>
    </row>
    <row r="391" spans="1:77" x14ac:dyDescent="0.2">
      <c r="A391" s="359" t="s">
        <v>79</v>
      </c>
      <c r="B391" s="302" t="s">
        <v>549</v>
      </c>
      <c r="C391" s="303"/>
      <c r="D391" s="301">
        <v>365213</v>
      </c>
      <c r="E391" s="199">
        <v>13</v>
      </c>
      <c r="F391" s="631"/>
      <c r="G391" s="632"/>
      <c r="H391" s="633">
        <f t="shared" si="135"/>
        <v>0</v>
      </c>
      <c r="I391" s="634"/>
      <c r="J391" s="634"/>
      <c r="K391" s="635">
        <f t="shared" si="136"/>
        <v>0</v>
      </c>
      <c r="L391" s="636"/>
      <c r="M391" s="636"/>
      <c r="N391" s="637">
        <f t="shared" si="137"/>
        <v>0</v>
      </c>
      <c r="O391" s="638"/>
      <c r="P391" s="638"/>
      <c r="Q391" s="635">
        <f t="shared" si="138"/>
        <v>0</v>
      </c>
      <c r="R391" s="636"/>
      <c r="S391" s="636"/>
      <c r="T391" s="637">
        <f t="shared" si="139"/>
        <v>0</v>
      </c>
      <c r="U391" s="638"/>
      <c r="V391" s="638"/>
      <c r="W391" s="635">
        <f t="shared" si="140"/>
        <v>0</v>
      </c>
      <c r="X391" s="636"/>
      <c r="Y391" s="636"/>
      <c r="Z391" s="637">
        <f t="shared" si="141"/>
        <v>0</v>
      </c>
      <c r="AA391" s="638"/>
      <c r="AB391" s="638"/>
      <c r="AC391" s="635">
        <f t="shared" si="142"/>
        <v>0</v>
      </c>
      <c r="AD391" s="636"/>
      <c r="AE391" s="636"/>
      <c r="AF391" s="637">
        <f t="shared" si="143"/>
        <v>0</v>
      </c>
      <c r="AG391" s="638"/>
      <c r="AH391" s="638"/>
      <c r="AI391" s="635">
        <f t="shared" si="144"/>
        <v>0</v>
      </c>
      <c r="AJ391" s="636">
        <v>18</v>
      </c>
      <c r="AK391" s="636">
        <v>49369</v>
      </c>
      <c r="AL391" s="637">
        <f t="shared" si="145"/>
        <v>888642</v>
      </c>
      <c r="AM391" s="638">
        <v>19</v>
      </c>
      <c r="AN391" s="638">
        <v>50662</v>
      </c>
      <c r="AO391" s="640">
        <f t="shared" si="146"/>
        <v>962578</v>
      </c>
      <c r="AP391" s="636"/>
      <c r="AQ391" s="636"/>
      <c r="AR391" s="637">
        <f t="shared" si="147"/>
        <v>0</v>
      </c>
      <c r="AS391" s="638"/>
      <c r="AT391" s="638"/>
      <c r="AU391" s="635">
        <f t="shared" si="148"/>
        <v>0</v>
      </c>
      <c r="AV391" s="636"/>
      <c r="AW391" s="636"/>
      <c r="AX391" s="637">
        <f t="shared" si="149"/>
        <v>0</v>
      </c>
      <c r="AY391" s="638"/>
      <c r="AZ391" s="638"/>
      <c r="BA391" s="635">
        <f t="shared" si="150"/>
        <v>0</v>
      </c>
      <c r="BB391" s="636"/>
      <c r="BC391" s="636"/>
      <c r="BD391" s="637">
        <f t="shared" si="151"/>
        <v>0</v>
      </c>
      <c r="BE391" s="638"/>
      <c r="BF391" s="638"/>
      <c r="BG391" s="635">
        <f t="shared" si="152"/>
        <v>0</v>
      </c>
      <c r="BH391" s="636"/>
      <c r="BI391" s="636"/>
      <c r="BJ391" s="637">
        <f t="shared" si="153"/>
        <v>0</v>
      </c>
      <c r="BK391" s="638"/>
      <c r="BL391" s="638"/>
      <c r="BM391" s="635">
        <f t="shared" si="154"/>
        <v>0</v>
      </c>
      <c r="BN391" s="636"/>
      <c r="BO391" s="636"/>
      <c r="BP391" s="637">
        <f t="shared" si="155"/>
        <v>0</v>
      </c>
      <c r="BQ391" s="638"/>
      <c r="BR391" s="638"/>
      <c r="BS391" s="635">
        <f t="shared" si="156"/>
        <v>0</v>
      </c>
      <c r="BT391" s="636">
        <v>13</v>
      </c>
      <c r="BU391" s="636">
        <v>62054</v>
      </c>
      <c r="BV391" s="637">
        <f t="shared" si="157"/>
        <v>660043.57640000002</v>
      </c>
      <c r="BW391" s="638">
        <v>13</v>
      </c>
      <c r="BX391" s="638">
        <v>64464</v>
      </c>
      <c r="BY391" s="641">
        <f t="shared" si="158"/>
        <v>685677.78240000003</v>
      </c>
    </row>
    <row r="392" spans="1:77" x14ac:dyDescent="0.2">
      <c r="A392" s="359" t="s">
        <v>79</v>
      </c>
      <c r="B392" s="302" t="s">
        <v>550</v>
      </c>
      <c r="C392" s="303"/>
      <c r="D392" s="301">
        <v>364946</v>
      </c>
      <c r="E392" s="199">
        <v>13</v>
      </c>
      <c r="F392" s="631"/>
      <c r="G392" s="632"/>
      <c r="H392" s="633">
        <f t="shared" ref="H392:H455" si="159">F392*G392</f>
        <v>0</v>
      </c>
      <c r="I392" s="634"/>
      <c r="J392" s="634"/>
      <c r="K392" s="635">
        <f t="shared" ref="K392:K455" si="160">I392*J392</f>
        <v>0</v>
      </c>
      <c r="L392" s="636"/>
      <c r="M392" s="636"/>
      <c r="N392" s="637">
        <f t="shared" ref="N392:N455" si="161">L392*M392</f>
        <v>0</v>
      </c>
      <c r="O392" s="638"/>
      <c r="P392" s="638"/>
      <c r="Q392" s="635">
        <f t="shared" ref="Q392:Q455" si="162">O392*P392</f>
        <v>0</v>
      </c>
      <c r="R392" s="636"/>
      <c r="S392" s="636"/>
      <c r="T392" s="637">
        <f t="shared" ref="T392:T455" si="163">R392*S392</f>
        <v>0</v>
      </c>
      <c r="U392" s="638"/>
      <c r="V392" s="638"/>
      <c r="W392" s="635">
        <f t="shared" ref="W392:W455" si="164">U392*V392</f>
        <v>0</v>
      </c>
      <c r="X392" s="636"/>
      <c r="Y392" s="636"/>
      <c r="Z392" s="637">
        <f t="shared" ref="Z392:Z455" si="165">X392*Y392</f>
        <v>0</v>
      </c>
      <c r="AA392" s="638"/>
      <c r="AB392" s="638"/>
      <c r="AC392" s="635">
        <f t="shared" ref="AC392:AC455" si="166">AA392*AB392</f>
        <v>0</v>
      </c>
      <c r="AD392" s="636"/>
      <c r="AE392" s="636"/>
      <c r="AF392" s="637">
        <f t="shared" ref="AF392:AF455" si="167">AD392*AE392</f>
        <v>0</v>
      </c>
      <c r="AG392" s="638"/>
      <c r="AH392" s="638"/>
      <c r="AI392" s="635">
        <f t="shared" ref="AI392:AI455" si="168">AG392*AH392</f>
        <v>0</v>
      </c>
      <c r="AJ392" s="636">
        <v>22</v>
      </c>
      <c r="AK392" s="636">
        <v>47201</v>
      </c>
      <c r="AL392" s="637">
        <f t="shared" ref="AL392:AL455" si="169">AJ392*AK392</f>
        <v>1038422</v>
      </c>
      <c r="AM392" s="638">
        <v>22</v>
      </c>
      <c r="AN392" s="638">
        <v>46998</v>
      </c>
      <c r="AO392" s="640">
        <f t="shared" ref="AO392:AO455" si="170">AM392*AN392</f>
        <v>1033956</v>
      </c>
      <c r="AP392" s="636"/>
      <c r="AQ392" s="636"/>
      <c r="AR392" s="637">
        <f t="shared" ref="AR392:AR455" si="171">(AP392*AQ392)*0.8182</f>
        <v>0</v>
      </c>
      <c r="AS392" s="638"/>
      <c r="AT392" s="638"/>
      <c r="AU392" s="635">
        <f t="shared" ref="AU392:AU455" si="172">(AS392*AT392)*0.8182</f>
        <v>0</v>
      </c>
      <c r="AV392" s="636"/>
      <c r="AW392" s="636"/>
      <c r="AX392" s="637">
        <f t="shared" ref="AX392:AX455" si="173">(AV392*AW392)*0.8182</f>
        <v>0</v>
      </c>
      <c r="AY392" s="638"/>
      <c r="AZ392" s="638"/>
      <c r="BA392" s="635">
        <f t="shared" ref="BA392:BA455" si="174">(AY392*AZ392)*0.8182</f>
        <v>0</v>
      </c>
      <c r="BB392" s="636"/>
      <c r="BC392" s="636"/>
      <c r="BD392" s="637">
        <f t="shared" ref="BD392:BD455" si="175">(BB392*BC392)*0.8182</f>
        <v>0</v>
      </c>
      <c r="BE392" s="638"/>
      <c r="BF392" s="638"/>
      <c r="BG392" s="635">
        <f t="shared" ref="BG392:BG455" si="176">(BE392*BF392)*0.8182</f>
        <v>0</v>
      </c>
      <c r="BH392" s="636"/>
      <c r="BI392" s="636"/>
      <c r="BJ392" s="637">
        <f t="shared" ref="BJ392:BJ455" si="177">(BH392*BI392)*0.8182</f>
        <v>0</v>
      </c>
      <c r="BK392" s="638"/>
      <c r="BL392" s="638"/>
      <c r="BM392" s="635">
        <f t="shared" ref="BM392:BM455" si="178">(BK392*BL392)*0.8182</f>
        <v>0</v>
      </c>
      <c r="BN392" s="636"/>
      <c r="BO392" s="636"/>
      <c r="BP392" s="637">
        <f t="shared" ref="BP392:BP455" si="179">(BN392*BO392)*0.8182</f>
        <v>0</v>
      </c>
      <c r="BQ392" s="638"/>
      <c r="BR392" s="638"/>
      <c r="BS392" s="635">
        <f t="shared" ref="BS392:BS455" si="180">(BQ392*BR392)*0.8182</f>
        <v>0</v>
      </c>
      <c r="BT392" s="636">
        <v>12</v>
      </c>
      <c r="BU392" s="636">
        <v>52061</v>
      </c>
      <c r="BV392" s="637">
        <f t="shared" ref="BV392:BV455" si="181">(BT392*BU392)*0.8182</f>
        <v>511155.72240000003</v>
      </c>
      <c r="BW392" s="638">
        <v>9</v>
      </c>
      <c r="BX392" s="638">
        <v>53366</v>
      </c>
      <c r="BY392" s="641">
        <f t="shared" ref="BY392:BY455" si="182">(BW392*BX392)*0.8182</f>
        <v>392976.55080000003</v>
      </c>
    </row>
    <row r="393" spans="1:77" x14ac:dyDescent="0.2">
      <c r="A393" s="359" t="s">
        <v>79</v>
      </c>
      <c r="B393" s="302" t="s">
        <v>551</v>
      </c>
      <c r="C393" s="303"/>
      <c r="D393" s="301">
        <v>246017</v>
      </c>
      <c r="E393" s="199">
        <v>13</v>
      </c>
      <c r="F393" s="631"/>
      <c r="G393" s="632"/>
      <c r="H393" s="633">
        <f t="shared" si="159"/>
        <v>0</v>
      </c>
      <c r="I393" s="634"/>
      <c r="J393" s="634"/>
      <c r="K393" s="635">
        <f t="shared" si="160"/>
        <v>0</v>
      </c>
      <c r="L393" s="636"/>
      <c r="M393" s="636"/>
      <c r="N393" s="637">
        <f t="shared" si="161"/>
        <v>0</v>
      </c>
      <c r="O393" s="638"/>
      <c r="P393" s="638"/>
      <c r="Q393" s="635">
        <f t="shared" si="162"/>
        <v>0</v>
      </c>
      <c r="R393" s="636"/>
      <c r="S393" s="636"/>
      <c r="T393" s="637">
        <f t="shared" si="163"/>
        <v>0</v>
      </c>
      <c r="U393" s="638"/>
      <c r="V393" s="638"/>
      <c r="W393" s="635">
        <f t="shared" si="164"/>
        <v>0</v>
      </c>
      <c r="X393" s="636"/>
      <c r="Y393" s="636"/>
      <c r="Z393" s="637">
        <f t="shared" si="165"/>
        <v>0</v>
      </c>
      <c r="AA393" s="638"/>
      <c r="AB393" s="638"/>
      <c r="AC393" s="635">
        <f t="shared" si="166"/>
        <v>0</v>
      </c>
      <c r="AD393" s="636"/>
      <c r="AE393" s="636"/>
      <c r="AF393" s="637">
        <f t="shared" si="167"/>
        <v>0</v>
      </c>
      <c r="AG393" s="638"/>
      <c r="AH393" s="638"/>
      <c r="AI393" s="635">
        <f t="shared" si="168"/>
        <v>0</v>
      </c>
      <c r="AJ393" s="636">
        <v>30</v>
      </c>
      <c r="AK393" s="636">
        <v>46964</v>
      </c>
      <c r="AL393" s="637">
        <f t="shared" si="169"/>
        <v>1408920</v>
      </c>
      <c r="AM393" s="638">
        <v>30</v>
      </c>
      <c r="AN393" s="638">
        <v>49535</v>
      </c>
      <c r="AO393" s="640">
        <f t="shared" si="170"/>
        <v>1486050</v>
      </c>
      <c r="AP393" s="636"/>
      <c r="AQ393" s="636"/>
      <c r="AR393" s="637">
        <f t="shared" si="171"/>
        <v>0</v>
      </c>
      <c r="AS393" s="638"/>
      <c r="AT393" s="638"/>
      <c r="AU393" s="635">
        <f t="shared" si="172"/>
        <v>0</v>
      </c>
      <c r="AV393" s="636"/>
      <c r="AW393" s="636"/>
      <c r="AX393" s="637">
        <f t="shared" si="173"/>
        <v>0</v>
      </c>
      <c r="AY393" s="638"/>
      <c r="AZ393" s="638"/>
      <c r="BA393" s="635">
        <f t="shared" si="174"/>
        <v>0</v>
      </c>
      <c r="BB393" s="636"/>
      <c r="BC393" s="636"/>
      <c r="BD393" s="637">
        <f t="shared" si="175"/>
        <v>0</v>
      </c>
      <c r="BE393" s="638"/>
      <c r="BF393" s="638"/>
      <c r="BG393" s="635">
        <f t="shared" si="176"/>
        <v>0</v>
      </c>
      <c r="BH393" s="636"/>
      <c r="BI393" s="636"/>
      <c r="BJ393" s="637">
        <f t="shared" si="177"/>
        <v>0</v>
      </c>
      <c r="BK393" s="638"/>
      <c r="BL393" s="638"/>
      <c r="BM393" s="635">
        <f t="shared" si="178"/>
        <v>0</v>
      </c>
      <c r="BN393" s="636"/>
      <c r="BO393" s="636"/>
      <c r="BP393" s="637">
        <f t="shared" si="179"/>
        <v>0</v>
      </c>
      <c r="BQ393" s="638"/>
      <c r="BR393" s="638"/>
      <c r="BS393" s="635">
        <f t="shared" si="180"/>
        <v>0</v>
      </c>
      <c r="BT393" s="636">
        <v>17</v>
      </c>
      <c r="BU393" s="636">
        <v>59084</v>
      </c>
      <c r="BV393" s="637">
        <f t="shared" si="181"/>
        <v>821822.98960000009</v>
      </c>
      <c r="BW393" s="638">
        <v>19</v>
      </c>
      <c r="BX393" s="638">
        <v>59689</v>
      </c>
      <c r="BY393" s="641">
        <f t="shared" si="182"/>
        <v>927913.25620000006</v>
      </c>
    </row>
    <row r="394" spans="1:77" x14ac:dyDescent="0.2">
      <c r="A394" s="359" t="s">
        <v>79</v>
      </c>
      <c r="B394" s="302" t="s">
        <v>552</v>
      </c>
      <c r="C394" s="303"/>
      <c r="D394" s="301">
        <v>375656</v>
      </c>
      <c r="E394" s="199">
        <v>13</v>
      </c>
      <c r="F394" s="631"/>
      <c r="G394" s="632"/>
      <c r="H394" s="633">
        <f t="shared" si="159"/>
        <v>0</v>
      </c>
      <c r="I394" s="634"/>
      <c r="J394" s="634"/>
      <c r="K394" s="635">
        <f t="shared" si="160"/>
        <v>0</v>
      </c>
      <c r="L394" s="636"/>
      <c r="M394" s="636"/>
      <c r="N394" s="637">
        <f t="shared" si="161"/>
        <v>0</v>
      </c>
      <c r="O394" s="638"/>
      <c r="P394" s="638"/>
      <c r="Q394" s="635">
        <f t="shared" si="162"/>
        <v>0</v>
      </c>
      <c r="R394" s="636"/>
      <c r="S394" s="636"/>
      <c r="T394" s="637">
        <f t="shared" si="163"/>
        <v>0</v>
      </c>
      <c r="U394" s="638"/>
      <c r="V394" s="638"/>
      <c r="W394" s="635">
        <f t="shared" si="164"/>
        <v>0</v>
      </c>
      <c r="X394" s="636"/>
      <c r="Y394" s="636"/>
      <c r="Z394" s="637">
        <f t="shared" si="165"/>
        <v>0</v>
      </c>
      <c r="AA394" s="638"/>
      <c r="AB394" s="638"/>
      <c r="AC394" s="635">
        <f t="shared" si="166"/>
        <v>0</v>
      </c>
      <c r="AD394" s="636"/>
      <c r="AE394" s="636"/>
      <c r="AF394" s="637">
        <f t="shared" si="167"/>
        <v>0</v>
      </c>
      <c r="AG394" s="638"/>
      <c r="AH394" s="638"/>
      <c r="AI394" s="635">
        <f t="shared" si="168"/>
        <v>0</v>
      </c>
      <c r="AJ394" s="636">
        <v>5</v>
      </c>
      <c r="AK394" s="636">
        <v>43970</v>
      </c>
      <c r="AL394" s="637">
        <f t="shared" si="169"/>
        <v>219850</v>
      </c>
      <c r="AM394" s="638">
        <v>5</v>
      </c>
      <c r="AN394" s="638">
        <v>43070</v>
      </c>
      <c r="AO394" s="640">
        <f t="shared" si="170"/>
        <v>215350</v>
      </c>
      <c r="AP394" s="636"/>
      <c r="AQ394" s="636"/>
      <c r="AR394" s="637">
        <f t="shared" si="171"/>
        <v>0</v>
      </c>
      <c r="AS394" s="638"/>
      <c r="AT394" s="638"/>
      <c r="AU394" s="635">
        <f t="shared" si="172"/>
        <v>0</v>
      </c>
      <c r="AV394" s="636"/>
      <c r="AW394" s="636"/>
      <c r="AX394" s="637">
        <f t="shared" si="173"/>
        <v>0</v>
      </c>
      <c r="AY394" s="638"/>
      <c r="AZ394" s="638"/>
      <c r="BA394" s="635">
        <f t="shared" si="174"/>
        <v>0</v>
      </c>
      <c r="BB394" s="636"/>
      <c r="BC394" s="636"/>
      <c r="BD394" s="637">
        <f t="shared" si="175"/>
        <v>0</v>
      </c>
      <c r="BE394" s="638"/>
      <c r="BF394" s="638"/>
      <c r="BG394" s="635">
        <f t="shared" si="176"/>
        <v>0</v>
      </c>
      <c r="BH394" s="636"/>
      <c r="BI394" s="636"/>
      <c r="BJ394" s="637">
        <f t="shared" si="177"/>
        <v>0</v>
      </c>
      <c r="BK394" s="638"/>
      <c r="BL394" s="638"/>
      <c r="BM394" s="635">
        <f t="shared" si="178"/>
        <v>0</v>
      </c>
      <c r="BN394" s="636"/>
      <c r="BO394" s="636"/>
      <c r="BP394" s="637">
        <f t="shared" si="179"/>
        <v>0</v>
      </c>
      <c r="BQ394" s="638"/>
      <c r="BR394" s="638"/>
      <c r="BS394" s="635">
        <f t="shared" si="180"/>
        <v>0</v>
      </c>
      <c r="BT394" s="636">
        <v>2</v>
      </c>
      <c r="BU394" s="636">
        <v>54215</v>
      </c>
      <c r="BV394" s="637">
        <f t="shared" si="181"/>
        <v>88717.426000000007</v>
      </c>
      <c r="BW394" s="638">
        <v>2</v>
      </c>
      <c r="BX394" s="638">
        <v>51700</v>
      </c>
      <c r="BY394" s="641">
        <f t="shared" si="182"/>
        <v>84601.88</v>
      </c>
    </row>
    <row r="395" spans="1:77" x14ac:dyDescent="0.2">
      <c r="A395" s="359" t="s">
        <v>79</v>
      </c>
      <c r="B395" s="302" t="s">
        <v>553</v>
      </c>
      <c r="C395" s="303"/>
      <c r="D395" s="301">
        <v>418348</v>
      </c>
      <c r="E395" s="199">
        <v>13</v>
      </c>
      <c r="F395" s="631"/>
      <c r="G395" s="632"/>
      <c r="H395" s="633">
        <f t="shared" si="159"/>
        <v>0</v>
      </c>
      <c r="I395" s="634"/>
      <c r="J395" s="634"/>
      <c r="K395" s="635">
        <f t="shared" si="160"/>
        <v>0</v>
      </c>
      <c r="L395" s="636"/>
      <c r="M395" s="636"/>
      <c r="N395" s="637">
        <f t="shared" si="161"/>
        <v>0</v>
      </c>
      <c r="O395" s="638"/>
      <c r="P395" s="638"/>
      <c r="Q395" s="635">
        <f t="shared" si="162"/>
        <v>0</v>
      </c>
      <c r="R395" s="636"/>
      <c r="S395" s="636"/>
      <c r="T395" s="637">
        <f t="shared" si="163"/>
        <v>0</v>
      </c>
      <c r="U395" s="638"/>
      <c r="V395" s="638"/>
      <c r="W395" s="635">
        <f t="shared" si="164"/>
        <v>0</v>
      </c>
      <c r="X395" s="636"/>
      <c r="Y395" s="636"/>
      <c r="Z395" s="637">
        <f t="shared" si="165"/>
        <v>0</v>
      </c>
      <c r="AA395" s="638"/>
      <c r="AB395" s="638"/>
      <c r="AC395" s="635">
        <f t="shared" si="166"/>
        <v>0</v>
      </c>
      <c r="AD395" s="636"/>
      <c r="AE395" s="636"/>
      <c r="AF395" s="637">
        <f t="shared" si="167"/>
        <v>0</v>
      </c>
      <c r="AG395" s="638"/>
      <c r="AH395" s="638"/>
      <c r="AI395" s="635">
        <f t="shared" si="168"/>
        <v>0</v>
      </c>
      <c r="AJ395" s="636">
        <v>17</v>
      </c>
      <c r="AK395" s="636">
        <v>49314</v>
      </c>
      <c r="AL395" s="637">
        <f t="shared" si="169"/>
        <v>838338</v>
      </c>
      <c r="AM395" s="638">
        <v>17</v>
      </c>
      <c r="AN395" s="638">
        <v>49314</v>
      </c>
      <c r="AO395" s="640">
        <f t="shared" si="170"/>
        <v>838338</v>
      </c>
      <c r="AP395" s="636"/>
      <c r="AQ395" s="636"/>
      <c r="AR395" s="637">
        <f t="shared" si="171"/>
        <v>0</v>
      </c>
      <c r="AS395" s="638"/>
      <c r="AT395" s="638"/>
      <c r="AU395" s="635">
        <f t="shared" si="172"/>
        <v>0</v>
      </c>
      <c r="AV395" s="636"/>
      <c r="AW395" s="636"/>
      <c r="AX395" s="637">
        <f t="shared" si="173"/>
        <v>0</v>
      </c>
      <c r="AY395" s="638"/>
      <c r="AZ395" s="638"/>
      <c r="BA395" s="635">
        <f t="shared" si="174"/>
        <v>0</v>
      </c>
      <c r="BB395" s="636"/>
      <c r="BC395" s="636"/>
      <c r="BD395" s="637">
        <f t="shared" si="175"/>
        <v>0</v>
      </c>
      <c r="BE395" s="638"/>
      <c r="BF395" s="638"/>
      <c r="BG395" s="635">
        <f t="shared" si="176"/>
        <v>0</v>
      </c>
      <c r="BH395" s="636"/>
      <c r="BI395" s="636"/>
      <c r="BJ395" s="637">
        <f t="shared" si="177"/>
        <v>0</v>
      </c>
      <c r="BK395" s="638"/>
      <c r="BL395" s="638"/>
      <c r="BM395" s="635">
        <f t="shared" si="178"/>
        <v>0</v>
      </c>
      <c r="BN395" s="636"/>
      <c r="BO395" s="636"/>
      <c r="BP395" s="637">
        <f t="shared" si="179"/>
        <v>0</v>
      </c>
      <c r="BQ395" s="638"/>
      <c r="BR395" s="638"/>
      <c r="BS395" s="635">
        <f t="shared" si="180"/>
        <v>0</v>
      </c>
      <c r="BT395" s="636">
        <v>2</v>
      </c>
      <c r="BU395" s="636">
        <v>62253</v>
      </c>
      <c r="BV395" s="637">
        <f t="shared" si="181"/>
        <v>101870.8092</v>
      </c>
      <c r="BW395" s="638">
        <v>2</v>
      </c>
      <c r="BX395" s="638">
        <v>62253</v>
      </c>
      <c r="BY395" s="641">
        <f t="shared" si="182"/>
        <v>101870.8092</v>
      </c>
    </row>
    <row r="396" spans="1:77" x14ac:dyDescent="0.2">
      <c r="A396" s="359" t="s">
        <v>79</v>
      </c>
      <c r="B396" s="302" t="s">
        <v>554</v>
      </c>
      <c r="C396" s="303"/>
      <c r="D396" s="301">
        <v>375683</v>
      </c>
      <c r="E396" s="199">
        <v>13</v>
      </c>
      <c r="F396" s="631"/>
      <c r="G396" s="632"/>
      <c r="H396" s="633">
        <f t="shared" si="159"/>
        <v>0</v>
      </c>
      <c r="I396" s="634"/>
      <c r="J396" s="634"/>
      <c r="K396" s="635">
        <f t="shared" si="160"/>
        <v>0</v>
      </c>
      <c r="L396" s="636"/>
      <c r="M396" s="636"/>
      <c r="N396" s="637">
        <f t="shared" si="161"/>
        <v>0</v>
      </c>
      <c r="O396" s="638"/>
      <c r="P396" s="638"/>
      <c r="Q396" s="635">
        <f t="shared" si="162"/>
        <v>0</v>
      </c>
      <c r="R396" s="636"/>
      <c r="S396" s="636"/>
      <c r="T396" s="637">
        <f t="shared" si="163"/>
        <v>0</v>
      </c>
      <c r="U396" s="638"/>
      <c r="V396" s="638"/>
      <c r="W396" s="635">
        <f t="shared" si="164"/>
        <v>0</v>
      </c>
      <c r="X396" s="636"/>
      <c r="Y396" s="636"/>
      <c r="Z396" s="637">
        <f t="shared" si="165"/>
        <v>0</v>
      </c>
      <c r="AA396" s="638"/>
      <c r="AB396" s="638"/>
      <c r="AC396" s="635">
        <f t="shared" si="166"/>
        <v>0</v>
      </c>
      <c r="AD396" s="636"/>
      <c r="AE396" s="636"/>
      <c r="AF396" s="637">
        <f t="shared" si="167"/>
        <v>0</v>
      </c>
      <c r="AG396" s="638"/>
      <c r="AH396" s="638"/>
      <c r="AI396" s="635">
        <f t="shared" si="168"/>
        <v>0</v>
      </c>
      <c r="AJ396" s="636">
        <v>32</v>
      </c>
      <c r="AK396" s="636">
        <v>50032</v>
      </c>
      <c r="AL396" s="637">
        <f t="shared" si="169"/>
        <v>1601024</v>
      </c>
      <c r="AM396" s="638">
        <v>32</v>
      </c>
      <c r="AN396" s="638">
        <v>51348</v>
      </c>
      <c r="AO396" s="640">
        <f t="shared" si="170"/>
        <v>1643136</v>
      </c>
      <c r="AP396" s="636"/>
      <c r="AQ396" s="636"/>
      <c r="AR396" s="637">
        <f t="shared" si="171"/>
        <v>0</v>
      </c>
      <c r="AS396" s="638"/>
      <c r="AT396" s="638"/>
      <c r="AU396" s="635">
        <f t="shared" si="172"/>
        <v>0</v>
      </c>
      <c r="AV396" s="636"/>
      <c r="AW396" s="636"/>
      <c r="AX396" s="637">
        <f t="shared" si="173"/>
        <v>0</v>
      </c>
      <c r="AY396" s="638"/>
      <c r="AZ396" s="638"/>
      <c r="BA396" s="635">
        <f t="shared" si="174"/>
        <v>0</v>
      </c>
      <c r="BB396" s="636"/>
      <c r="BC396" s="636"/>
      <c r="BD396" s="637">
        <f t="shared" si="175"/>
        <v>0</v>
      </c>
      <c r="BE396" s="638"/>
      <c r="BF396" s="638"/>
      <c r="BG396" s="635">
        <f t="shared" si="176"/>
        <v>0</v>
      </c>
      <c r="BH396" s="636"/>
      <c r="BI396" s="636"/>
      <c r="BJ396" s="637">
        <f t="shared" si="177"/>
        <v>0</v>
      </c>
      <c r="BK396" s="638"/>
      <c r="BL396" s="638"/>
      <c r="BM396" s="635">
        <f t="shared" si="178"/>
        <v>0</v>
      </c>
      <c r="BN396" s="636"/>
      <c r="BO396" s="636"/>
      <c r="BP396" s="637">
        <f t="shared" si="179"/>
        <v>0</v>
      </c>
      <c r="BQ396" s="638"/>
      <c r="BR396" s="638"/>
      <c r="BS396" s="635">
        <f t="shared" si="180"/>
        <v>0</v>
      </c>
      <c r="BT396" s="636">
        <v>7</v>
      </c>
      <c r="BU396" s="636">
        <v>57122</v>
      </c>
      <c r="BV396" s="637">
        <f t="shared" si="181"/>
        <v>327160.5428</v>
      </c>
      <c r="BW396" s="638">
        <v>7</v>
      </c>
      <c r="BX396" s="638">
        <v>58525</v>
      </c>
      <c r="BY396" s="641">
        <f t="shared" si="182"/>
        <v>335196.08500000002</v>
      </c>
    </row>
    <row r="397" spans="1:77" x14ac:dyDescent="0.2">
      <c r="A397" s="359" t="s">
        <v>79</v>
      </c>
      <c r="B397" s="423" t="s">
        <v>546</v>
      </c>
      <c r="C397" s="341" t="s">
        <v>876</v>
      </c>
      <c r="D397" s="301">
        <v>364548</v>
      </c>
      <c r="E397" s="239">
        <v>13</v>
      </c>
      <c r="F397" s="631"/>
      <c r="G397" s="632"/>
      <c r="H397" s="633">
        <f t="shared" si="159"/>
        <v>0</v>
      </c>
      <c r="I397" s="634"/>
      <c r="J397" s="634"/>
      <c r="K397" s="635">
        <f t="shared" si="160"/>
        <v>0</v>
      </c>
      <c r="L397" s="636"/>
      <c r="M397" s="636"/>
      <c r="N397" s="637">
        <f t="shared" si="161"/>
        <v>0</v>
      </c>
      <c r="O397" s="638"/>
      <c r="P397" s="638"/>
      <c r="Q397" s="635">
        <f t="shared" si="162"/>
        <v>0</v>
      </c>
      <c r="R397" s="636"/>
      <c r="S397" s="636"/>
      <c r="T397" s="637">
        <f t="shared" si="163"/>
        <v>0</v>
      </c>
      <c r="U397" s="638"/>
      <c r="V397" s="638"/>
      <c r="W397" s="635">
        <f t="shared" si="164"/>
        <v>0</v>
      </c>
      <c r="X397" s="636"/>
      <c r="Y397" s="636"/>
      <c r="Z397" s="637">
        <f t="shared" si="165"/>
        <v>0</v>
      </c>
      <c r="AA397" s="638"/>
      <c r="AB397" s="638"/>
      <c r="AC397" s="635">
        <f t="shared" si="166"/>
        <v>0</v>
      </c>
      <c r="AD397" s="636"/>
      <c r="AE397" s="636"/>
      <c r="AF397" s="637">
        <f t="shared" si="167"/>
        <v>0</v>
      </c>
      <c r="AG397" s="638"/>
      <c r="AH397" s="638"/>
      <c r="AI397" s="635">
        <f t="shared" si="168"/>
        <v>0</v>
      </c>
      <c r="AJ397" s="636">
        <v>31</v>
      </c>
      <c r="AK397" s="636">
        <v>45866</v>
      </c>
      <c r="AL397" s="637">
        <f t="shared" si="169"/>
        <v>1421846</v>
      </c>
      <c r="AM397" s="638">
        <v>30</v>
      </c>
      <c r="AN397" s="638">
        <v>46376</v>
      </c>
      <c r="AO397" s="640">
        <f t="shared" si="170"/>
        <v>1391280</v>
      </c>
      <c r="AP397" s="636"/>
      <c r="AQ397" s="636"/>
      <c r="AR397" s="637">
        <f t="shared" si="171"/>
        <v>0</v>
      </c>
      <c r="AS397" s="638"/>
      <c r="AT397" s="638"/>
      <c r="AU397" s="635">
        <f t="shared" si="172"/>
        <v>0</v>
      </c>
      <c r="AV397" s="636"/>
      <c r="AW397" s="636"/>
      <c r="AX397" s="637">
        <f t="shared" si="173"/>
        <v>0</v>
      </c>
      <c r="AY397" s="638"/>
      <c r="AZ397" s="638"/>
      <c r="BA397" s="635">
        <f t="shared" si="174"/>
        <v>0</v>
      </c>
      <c r="BB397" s="636"/>
      <c r="BC397" s="636"/>
      <c r="BD397" s="637">
        <f t="shared" si="175"/>
        <v>0</v>
      </c>
      <c r="BE397" s="638"/>
      <c r="BF397" s="638"/>
      <c r="BG397" s="635">
        <f t="shared" si="176"/>
        <v>0</v>
      </c>
      <c r="BH397" s="636"/>
      <c r="BI397" s="636"/>
      <c r="BJ397" s="637">
        <f t="shared" si="177"/>
        <v>0</v>
      </c>
      <c r="BK397" s="638"/>
      <c r="BL397" s="638"/>
      <c r="BM397" s="635">
        <f t="shared" si="178"/>
        <v>0</v>
      </c>
      <c r="BN397" s="636"/>
      <c r="BO397" s="636"/>
      <c r="BP397" s="637">
        <f t="shared" si="179"/>
        <v>0</v>
      </c>
      <c r="BQ397" s="638"/>
      <c r="BR397" s="638"/>
      <c r="BS397" s="635">
        <f t="shared" si="180"/>
        <v>0</v>
      </c>
      <c r="BT397" s="636">
        <v>23</v>
      </c>
      <c r="BU397" s="636">
        <v>51583</v>
      </c>
      <c r="BV397" s="637">
        <f t="shared" si="181"/>
        <v>970719.84380000003</v>
      </c>
      <c r="BW397" s="638">
        <v>24</v>
      </c>
      <c r="BX397" s="638">
        <v>50303</v>
      </c>
      <c r="BY397" s="641">
        <f t="shared" si="182"/>
        <v>987789.95040000009</v>
      </c>
    </row>
    <row r="398" spans="1:77" x14ac:dyDescent="0.2">
      <c r="A398" s="359" t="s">
        <v>79</v>
      </c>
      <c r="B398" s="302" t="s">
        <v>555</v>
      </c>
      <c r="C398" s="303"/>
      <c r="D398" s="301">
        <v>428019</v>
      </c>
      <c r="E398" s="199">
        <v>13</v>
      </c>
      <c r="F398" s="631"/>
      <c r="G398" s="632"/>
      <c r="H398" s="633">
        <f t="shared" si="159"/>
        <v>0</v>
      </c>
      <c r="I398" s="634"/>
      <c r="J398" s="634"/>
      <c r="K398" s="635">
        <f t="shared" si="160"/>
        <v>0</v>
      </c>
      <c r="L398" s="636"/>
      <c r="M398" s="636"/>
      <c r="N398" s="637">
        <f t="shared" si="161"/>
        <v>0</v>
      </c>
      <c r="O398" s="638"/>
      <c r="P398" s="638"/>
      <c r="Q398" s="635">
        <f t="shared" si="162"/>
        <v>0</v>
      </c>
      <c r="R398" s="636"/>
      <c r="S398" s="636"/>
      <c r="T398" s="637">
        <f t="shared" si="163"/>
        <v>0</v>
      </c>
      <c r="U398" s="638"/>
      <c r="V398" s="638"/>
      <c r="W398" s="635">
        <f t="shared" si="164"/>
        <v>0</v>
      </c>
      <c r="X398" s="636"/>
      <c r="Y398" s="636"/>
      <c r="Z398" s="637">
        <f t="shared" si="165"/>
        <v>0</v>
      </c>
      <c r="AA398" s="638"/>
      <c r="AB398" s="638"/>
      <c r="AC398" s="635">
        <f t="shared" si="166"/>
        <v>0</v>
      </c>
      <c r="AD398" s="636"/>
      <c r="AE398" s="636"/>
      <c r="AF398" s="637">
        <f t="shared" si="167"/>
        <v>0</v>
      </c>
      <c r="AG398" s="638"/>
      <c r="AH398" s="638"/>
      <c r="AI398" s="635">
        <f t="shared" si="168"/>
        <v>0</v>
      </c>
      <c r="AJ398" s="636">
        <v>6</v>
      </c>
      <c r="AK398" s="636">
        <v>45724</v>
      </c>
      <c r="AL398" s="637">
        <f t="shared" si="169"/>
        <v>274344</v>
      </c>
      <c r="AM398" s="638">
        <v>7</v>
      </c>
      <c r="AN398" s="638">
        <v>45132</v>
      </c>
      <c r="AO398" s="640">
        <f t="shared" si="170"/>
        <v>315924</v>
      </c>
      <c r="AP398" s="636"/>
      <c r="AQ398" s="636"/>
      <c r="AR398" s="637">
        <f t="shared" si="171"/>
        <v>0</v>
      </c>
      <c r="AS398" s="638"/>
      <c r="AT398" s="638"/>
      <c r="AU398" s="635">
        <f t="shared" si="172"/>
        <v>0</v>
      </c>
      <c r="AV398" s="636"/>
      <c r="AW398" s="636"/>
      <c r="AX398" s="637">
        <f t="shared" si="173"/>
        <v>0</v>
      </c>
      <c r="AY398" s="638"/>
      <c r="AZ398" s="638"/>
      <c r="BA398" s="635">
        <f t="shared" si="174"/>
        <v>0</v>
      </c>
      <c r="BB398" s="636"/>
      <c r="BC398" s="636"/>
      <c r="BD398" s="637">
        <f t="shared" si="175"/>
        <v>0</v>
      </c>
      <c r="BE398" s="638"/>
      <c r="BF398" s="638"/>
      <c r="BG398" s="635">
        <f t="shared" si="176"/>
        <v>0</v>
      </c>
      <c r="BH398" s="636"/>
      <c r="BI398" s="636"/>
      <c r="BJ398" s="637">
        <f t="shared" si="177"/>
        <v>0</v>
      </c>
      <c r="BK398" s="638"/>
      <c r="BL398" s="638"/>
      <c r="BM398" s="635">
        <f t="shared" si="178"/>
        <v>0</v>
      </c>
      <c r="BN398" s="636"/>
      <c r="BO398" s="636"/>
      <c r="BP398" s="637">
        <f t="shared" si="179"/>
        <v>0</v>
      </c>
      <c r="BQ398" s="638"/>
      <c r="BR398" s="638"/>
      <c r="BS398" s="635">
        <f t="shared" si="180"/>
        <v>0</v>
      </c>
      <c r="BT398" s="636">
        <v>6</v>
      </c>
      <c r="BU398" s="636">
        <v>54068</v>
      </c>
      <c r="BV398" s="637">
        <f t="shared" si="181"/>
        <v>265430.62560000003</v>
      </c>
      <c r="BW398" s="638">
        <v>5</v>
      </c>
      <c r="BX398" s="638">
        <v>56348</v>
      </c>
      <c r="BY398" s="641">
        <f t="shared" si="182"/>
        <v>230519.66800000001</v>
      </c>
    </row>
    <row r="399" spans="1:77" x14ac:dyDescent="0.2">
      <c r="A399" s="359" t="s">
        <v>79</v>
      </c>
      <c r="B399" s="302" t="s">
        <v>556</v>
      </c>
      <c r="C399" s="303"/>
      <c r="D399" s="301">
        <v>208053</v>
      </c>
      <c r="E399" s="199">
        <v>13</v>
      </c>
      <c r="F399" s="631"/>
      <c r="G399" s="632"/>
      <c r="H399" s="633">
        <f t="shared" si="159"/>
        <v>0</v>
      </c>
      <c r="I399" s="634"/>
      <c r="J399" s="634"/>
      <c r="K399" s="635">
        <f t="shared" si="160"/>
        <v>0</v>
      </c>
      <c r="L399" s="636"/>
      <c r="M399" s="636"/>
      <c r="N399" s="637">
        <f t="shared" si="161"/>
        <v>0</v>
      </c>
      <c r="O399" s="638"/>
      <c r="P399" s="638"/>
      <c r="Q399" s="635">
        <f t="shared" si="162"/>
        <v>0</v>
      </c>
      <c r="R399" s="636"/>
      <c r="S399" s="636"/>
      <c r="T399" s="637">
        <f t="shared" si="163"/>
        <v>0</v>
      </c>
      <c r="U399" s="638"/>
      <c r="V399" s="638"/>
      <c r="W399" s="635">
        <f t="shared" si="164"/>
        <v>0</v>
      </c>
      <c r="X399" s="636"/>
      <c r="Y399" s="636"/>
      <c r="Z399" s="637">
        <f t="shared" si="165"/>
        <v>0</v>
      </c>
      <c r="AA399" s="638"/>
      <c r="AB399" s="638"/>
      <c r="AC399" s="635">
        <f t="shared" si="166"/>
        <v>0</v>
      </c>
      <c r="AD399" s="636"/>
      <c r="AE399" s="636"/>
      <c r="AF399" s="637">
        <f t="shared" si="167"/>
        <v>0</v>
      </c>
      <c r="AG399" s="638"/>
      <c r="AH399" s="638"/>
      <c r="AI399" s="635">
        <f t="shared" si="168"/>
        <v>0</v>
      </c>
      <c r="AJ399" s="636">
        <v>9</v>
      </c>
      <c r="AK399" s="636">
        <v>51022</v>
      </c>
      <c r="AL399" s="637">
        <f t="shared" si="169"/>
        <v>459198</v>
      </c>
      <c r="AM399" s="638">
        <v>9</v>
      </c>
      <c r="AN399" s="638">
        <v>52298</v>
      </c>
      <c r="AO399" s="640">
        <f t="shared" si="170"/>
        <v>470682</v>
      </c>
      <c r="AP399" s="636"/>
      <c r="AQ399" s="636"/>
      <c r="AR399" s="637">
        <f t="shared" si="171"/>
        <v>0</v>
      </c>
      <c r="AS399" s="638"/>
      <c r="AT399" s="638"/>
      <c r="AU399" s="635">
        <f t="shared" si="172"/>
        <v>0</v>
      </c>
      <c r="AV399" s="636"/>
      <c r="AW399" s="636"/>
      <c r="AX399" s="637">
        <f t="shared" si="173"/>
        <v>0</v>
      </c>
      <c r="AY399" s="638"/>
      <c r="AZ399" s="638"/>
      <c r="BA399" s="635">
        <f t="shared" si="174"/>
        <v>0</v>
      </c>
      <c r="BB399" s="636"/>
      <c r="BC399" s="636"/>
      <c r="BD399" s="637">
        <f t="shared" si="175"/>
        <v>0</v>
      </c>
      <c r="BE399" s="638"/>
      <c r="BF399" s="638"/>
      <c r="BG399" s="635">
        <f t="shared" si="176"/>
        <v>0</v>
      </c>
      <c r="BH399" s="636"/>
      <c r="BI399" s="636"/>
      <c r="BJ399" s="637">
        <f t="shared" si="177"/>
        <v>0</v>
      </c>
      <c r="BK399" s="638"/>
      <c r="BL399" s="638"/>
      <c r="BM399" s="635">
        <f t="shared" si="178"/>
        <v>0</v>
      </c>
      <c r="BN399" s="636"/>
      <c r="BO399" s="636"/>
      <c r="BP399" s="637">
        <f t="shared" si="179"/>
        <v>0</v>
      </c>
      <c r="BQ399" s="638"/>
      <c r="BR399" s="638"/>
      <c r="BS399" s="635">
        <f t="shared" si="180"/>
        <v>0</v>
      </c>
      <c r="BT399" s="636">
        <v>5</v>
      </c>
      <c r="BU399" s="636">
        <v>54525</v>
      </c>
      <c r="BV399" s="637">
        <f t="shared" si="181"/>
        <v>223061.77500000002</v>
      </c>
      <c r="BW399" s="638">
        <v>5</v>
      </c>
      <c r="BX399" s="638">
        <v>55888</v>
      </c>
      <c r="BY399" s="641">
        <f t="shared" si="182"/>
        <v>228637.80800000002</v>
      </c>
    </row>
    <row r="400" spans="1:77" x14ac:dyDescent="0.2">
      <c r="A400" s="359" t="s">
        <v>79</v>
      </c>
      <c r="B400" s="302" t="s">
        <v>557</v>
      </c>
      <c r="C400" s="303"/>
      <c r="D400" s="301">
        <v>418296</v>
      </c>
      <c r="E400" s="199">
        <v>13</v>
      </c>
      <c r="F400" s="631"/>
      <c r="G400" s="632"/>
      <c r="H400" s="633">
        <f t="shared" si="159"/>
        <v>0</v>
      </c>
      <c r="I400" s="634"/>
      <c r="J400" s="634"/>
      <c r="K400" s="635">
        <f t="shared" si="160"/>
        <v>0</v>
      </c>
      <c r="L400" s="636"/>
      <c r="M400" s="636"/>
      <c r="N400" s="637">
        <f t="shared" si="161"/>
        <v>0</v>
      </c>
      <c r="O400" s="638"/>
      <c r="P400" s="638"/>
      <c r="Q400" s="635">
        <f t="shared" si="162"/>
        <v>0</v>
      </c>
      <c r="R400" s="636"/>
      <c r="S400" s="636"/>
      <c r="T400" s="637">
        <f t="shared" si="163"/>
        <v>0</v>
      </c>
      <c r="U400" s="638"/>
      <c r="V400" s="638"/>
      <c r="W400" s="635">
        <f t="shared" si="164"/>
        <v>0</v>
      </c>
      <c r="X400" s="636"/>
      <c r="Y400" s="636"/>
      <c r="Z400" s="637">
        <f t="shared" si="165"/>
        <v>0</v>
      </c>
      <c r="AA400" s="638"/>
      <c r="AB400" s="638"/>
      <c r="AC400" s="635">
        <f t="shared" si="166"/>
        <v>0</v>
      </c>
      <c r="AD400" s="636"/>
      <c r="AE400" s="636"/>
      <c r="AF400" s="637">
        <f t="shared" si="167"/>
        <v>0</v>
      </c>
      <c r="AG400" s="638"/>
      <c r="AH400" s="638"/>
      <c r="AI400" s="635">
        <f t="shared" si="168"/>
        <v>0</v>
      </c>
      <c r="AJ400" s="636">
        <v>19</v>
      </c>
      <c r="AK400" s="636">
        <v>49963</v>
      </c>
      <c r="AL400" s="637">
        <f t="shared" si="169"/>
        <v>949297</v>
      </c>
      <c r="AM400" s="638">
        <v>20</v>
      </c>
      <c r="AN400" s="638">
        <v>49288</v>
      </c>
      <c r="AO400" s="640">
        <f t="shared" si="170"/>
        <v>985760</v>
      </c>
      <c r="AP400" s="636"/>
      <c r="AQ400" s="636"/>
      <c r="AR400" s="637">
        <f t="shared" si="171"/>
        <v>0</v>
      </c>
      <c r="AS400" s="638"/>
      <c r="AT400" s="638"/>
      <c r="AU400" s="635">
        <f t="shared" si="172"/>
        <v>0</v>
      </c>
      <c r="AV400" s="636"/>
      <c r="AW400" s="636"/>
      <c r="AX400" s="637">
        <f t="shared" si="173"/>
        <v>0</v>
      </c>
      <c r="AY400" s="638"/>
      <c r="AZ400" s="638"/>
      <c r="BA400" s="635">
        <f t="shared" si="174"/>
        <v>0</v>
      </c>
      <c r="BB400" s="636"/>
      <c r="BC400" s="636"/>
      <c r="BD400" s="637">
        <f t="shared" si="175"/>
        <v>0</v>
      </c>
      <c r="BE400" s="638"/>
      <c r="BF400" s="638"/>
      <c r="BG400" s="635">
        <f t="shared" si="176"/>
        <v>0</v>
      </c>
      <c r="BH400" s="636"/>
      <c r="BI400" s="636"/>
      <c r="BJ400" s="637">
        <f t="shared" si="177"/>
        <v>0</v>
      </c>
      <c r="BK400" s="638"/>
      <c r="BL400" s="638"/>
      <c r="BM400" s="635">
        <f t="shared" si="178"/>
        <v>0</v>
      </c>
      <c r="BN400" s="636"/>
      <c r="BO400" s="636"/>
      <c r="BP400" s="637">
        <f t="shared" si="179"/>
        <v>0</v>
      </c>
      <c r="BQ400" s="638"/>
      <c r="BR400" s="638"/>
      <c r="BS400" s="635">
        <f t="shared" si="180"/>
        <v>0</v>
      </c>
      <c r="BT400" s="636">
        <v>6</v>
      </c>
      <c r="BU400" s="636">
        <v>59180</v>
      </c>
      <c r="BV400" s="637">
        <f t="shared" si="181"/>
        <v>290526.45600000001</v>
      </c>
      <c r="BW400" s="638">
        <v>7</v>
      </c>
      <c r="BX400" s="638">
        <v>59920</v>
      </c>
      <c r="BY400" s="641">
        <f t="shared" si="182"/>
        <v>343185.80800000002</v>
      </c>
    </row>
    <row r="401" spans="1:77" x14ac:dyDescent="0.2">
      <c r="A401" s="359" t="s">
        <v>79</v>
      </c>
      <c r="B401" s="302" t="s">
        <v>558</v>
      </c>
      <c r="C401" s="303"/>
      <c r="D401" s="301">
        <v>421540</v>
      </c>
      <c r="E401" s="199">
        <v>13</v>
      </c>
      <c r="F401" s="631"/>
      <c r="G401" s="632"/>
      <c r="H401" s="633">
        <f t="shared" si="159"/>
        <v>0</v>
      </c>
      <c r="I401" s="634"/>
      <c r="J401" s="634"/>
      <c r="K401" s="635">
        <f t="shared" si="160"/>
        <v>0</v>
      </c>
      <c r="L401" s="636"/>
      <c r="M401" s="636"/>
      <c r="N401" s="637">
        <f t="shared" si="161"/>
        <v>0</v>
      </c>
      <c r="O401" s="638"/>
      <c r="P401" s="638"/>
      <c r="Q401" s="635">
        <f t="shared" si="162"/>
        <v>0</v>
      </c>
      <c r="R401" s="636"/>
      <c r="S401" s="636"/>
      <c r="T401" s="637">
        <f t="shared" si="163"/>
        <v>0</v>
      </c>
      <c r="U401" s="638"/>
      <c r="V401" s="638"/>
      <c r="W401" s="635">
        <f t="shared" si="164"/>
        <v>0</v>
      </c>
      <c r="X401" s="636"/>
      <c r="Y401" s="636"/>
      <c r="Z401" s="637">
        <f t="shared" si="165"/>
        <v>0</v>
      </c>
      <c r="AA401" s="638"/>
      <c r="AB401" s="638"/>
      <c r="AC401" s="635">
        <f t="shared" si="166"/>
        <v>0</v>
      </c>
      <c r="AD401" s="636"/>
      <c r="AE401" s="636"/>
      <c r="AF401" s="637">
        <f t="shared" si="167"/>
        <v>0</v>
      </c>
      <c r="AG401" s="638"/>
      <c r="AH401" s="638"/>
      <c r="AI401" s="635">
        <f t="shared" si="168"/>
        <v>0</v>
      </c>
      <c r="AJ401" s="636">
        <v>9</v>
      </c>
      <c r="AK401" s="636">
        <v>49998</v>
      </c>
      <c r="AL401" s="637">
        <f t="shared" si="169"/>
        <v>449982</v>
      </c>
      <c r="AM401" s="638">
        <v>9</v>
      </c>
      <c r="AN401" s="638">
        <v>50498</v>
      </c>
      <c r="AO401" s="640">
        <f t="shared" si="170"/>
        <v>454482</v>
      </c>
      <c r="AP401" s="636"/>
      <c r="AQ401" s="636"/>
      <c r="AR401" s="637">
        <f t="shared" si="171"/>
        <v>0</v>
      </c>
      <c r="AS401" s="638"/>
      <c r="AT401" s="638"/>
      <c r="AU401" s="635">
        <f t="shared" si="172"/>
        <v>0</v>
      </c>
      <c r="AV401" s="636"/>
      <c r="AW401" s="636"/>
      <c r="AX401" s="637">
        <f t="shared" si="173"/>
        <v>0</v>
      </c>
      <c r="AY401" s="638"/>
      <c r="AZ401" s="638"/>
      <c r="BA401" s="635">
        <f t="shared" si="174"/>
        <v>0</v>
      </c>
      <c r="BB401" s="636"/>
      <c r="BC401" s="636"/>
      <c r="BD401" s="637">
        <f t="shared" si="175"/>
        <v>0</v>
      </c>
      <c r="BE401" s="638"/>
      <c r="BF401" s="638"/>
      <c r="BG401" s="635">
        <f t="shared" si="176"/>
        <v>0</v>
      </c>
      <c r="BH401" s="636"/>
      <c r="BI401" s="636"/>
      <c r="BJ401" s="637">
        <f t="shared" si="177"/>
        <v>0</v>
      </c>
      <c r="BK401" s="638"/>
      <c r="BL401" s="638"/>
      <c r="BM401" s="635">
        <f t="shared" si="178"/>
        <v>0</v>
      </c>
      <c r="BN401" s="636"/>
      <c r="BO401" s="636"/>
      <c r="BP401" s="637">
        <f t="shared" si="179"/>
        <v>0</v>
      </c>
      <c r="BQ401" s="638"/>
      <c r="BR401" s="638"/>
      <c r="BS401" s="635">
        <f t="shared" si="180"/>
        <v>0</v>
      </c>
      <c r="BT401" s="636">
        <v>2</v>
      </c>
      <c r="BU401" s="636">
        <v>52657</v>
      </c>
      <c r="BV401" s="637">
        <f t="shared" si="181"/>
        <v>86167.914799999999</v>
      </c>
      <c r="BW401" s="638">
        <v>2</v>
      </c>
      <c r="BX401" s="638">
        <v>53196</v>
      </c>
      <c r="BY401" s="641">
        <f t="shared" si="182"/>
        <v>87049.934399999998</v>
      </c>
    </row>
    <row r="402" spans="1:77" x14ac:dyDescent="0.2">
      <c r="A402" s="359" t="s">
        <v>79</v>
      </c>
      <c r="B402" s="302" t="s">
        <v>559</v>
      </c>
      <c r="C402" s="303"/>
      <c r="D402" s="301">
        <v>421559</v>
      </c>
      <c r="E402" s="199">
        <v>13</v>
      </c>
      <c r="F402" s="631"/>
      <c r="G402" s="632"/>
      <c r="H402" s="633">
        <f t="shared" si="159"/>
        <v>0</v>
      </c>
      <c r="I402" s="634"/>
      <c r="J402" s="634"/>
      <c r="K402" s="635">
        <f t="shared" si="160"/>
        <v>0</v>
      </c>
      <c r="L402" s="636"/>
      <c r="M402" s="636"/>
      <c r="N402" s="637">
        <f t="shared" si="161"/>
        <v>0</v>
      </c>
      <c r="O402" s="638"/>
      <c r="P402" s="638"/>
      <c r="Q402" s="635">
        <f t="shared" si="162"/>
        <v>0</v>
      </c>
      <c r="R402" s="636"/>
      <c r="S402" s="636"/>
      <c r="T402" s="637">
        <f t="shared" si="163"/>
        <v>0</v>
      </c>
      <c r="U402" s="638"/>
      <c r="V402" s="638"/>
      <c r="W402" s="635">
        <f t="shared" si="164"/>
        <v>0</v>
      </c>
      <c r="X402" s="636"/>
      <c r="Y402" s="636"/>
      <c r="Z402" s="637">
        <f t="shared" si="165"/>
        <v>0</v>
      </c>
      <c r="AA402" s="638"/>
      <c r="AB402" s="638"/>
      <c r="AC402" s="635">
        <f t="shared" si="166"/>
        <v>0</v>
      </c>
      <c r="AD402" s="636"/>
      <c r="AE402" s="636"/>
      <c r="AF402" s="637">
        <f t="shared" si="167"/>
        <v>0</v>
      </c>
      <c r="AG402" s="638"/>
      <c r="AH402" s="638"/>
      <c r="AI402" s="635">
        <f t="shared" si="168"/>
        <v>0</v>
      </c>
      <c r="AJ402" s="636">
        <v>6</v>
      </c>
      <c r="AK402" s="636">
        <v>50718</v>
      </c>
      <c r="AL402" s="637">
        <f t="shared" si="169"/>
        <v>304308</v>
      </c>
      <c r="AM402" s="638">
        <v>6</v>
      </c>
      <c r="AN402" s="638">
        <v>48653</v>
      </c>
      <c r="AO402" s="640">
        <f t="shared" si="170"/>
        <v>291918</v>
      </c>
      <c r="AP402" s="636"/>
      <c r="AQ402" s="636"/>
      <c r="AR402" s="637">
        <f t="shared" si="171"/>
        <v>0</v>
      </c>
      <c r="AS402" s="638"/>
      <c r="AT402" s="638"/>
      <c r="AU402" s="635">
        <f t="shared" si="172"/>
        <v>0</v>
      </c>
      <c r="AV402" s="636"/>
      <c r="AW402" s="636"/>
      <c r="AX402" s="637">
        <f t="shared" si="173"/>
        <v>0</v>
      </c>
      <c r="AY402" s="638"/>
      <c r="AZ402" s="638"/>
      <c r="BA402" s="635">
        <f t="shared" si="174"/>
        <v>0</v>
      </c>
      <c r="BB402" s="636"/>
      <c r="BC402" s="636"/>
      <c r="BD402" s="637">
        <f t="shared" si="175"/>
        <v>0</v>
      </c>
      <c r="BE402" s="638"/>
      <c r="BF402" s="638"/>
      <c r="BG402" s="635">
        <f t="shared" si="176"/>
        <v>0</v>
      </c>
      <c r="BH402" s="636"/>
      <c r="BI402" s="636"/>
      <c r="BJ402" s="637">
        <f t="shared" si="177"/>
        <v>0</v>
      </c>
      <c r="BK402" s="638"/>
      <c r="BL402" s="638"/>
      <c r="BM402" s="635">
        <f t="shared" si="178"/>
        <v>0</v>
      </c>
      <c r="BN402" s="636"/>
      <c r="BO402" s="636"/>
      <c r="BP402" s="637">
        <f t="shared" si="179"/>
        <v>0</v>
      </c>
      <c r="BQ402" s="638"/>
      <c r="BR402" s="638"/>
      <c r="BS402" s="635">
        <f t="shared" si="180"/>
        <v>0</v>
      </c>
      <c r="BT402" s="636">
        <v>2</v>
      </c>
      <c r="BU402" s="636">
        <v>57464</v>
      </c>
      <c r="BV402" s="637">
        <f t="shared" si="181"/>
        <v>94034.089600000007</v>
      </c>
      <c r="BW402" s="638">
        <v>2</v>
      </c>
      <c r="BX402" s="638">
        <v>58054</v>
      </c>
      <c r="BY402" s="641">
        <f t="shared" si="182"/>
        <v>94999.565600000002</v>
      </c>
    </row>
    <row r="403" spans="1:77" x14ac:dyDescent="0.2">
      <c r="A403" s="359" t="s">
        <v>79</v>
      </c>
      <c r="B403" s="302" t="s">
        <v>560</v>
      </c>
      <c r="C403" s="303"/>
      <c r="D403" s="301">
        <v>208026</v>
      </c>
      <c r="E403" s="199">
        <v>13</v>
      </c>
      <c r="F403" s="631"/>
      <c r="G403" s="632"/>
      <c r="H403" s="633">
        <f t="shared" si="159"/>
        <v>0</v>
      </c>
      <c r="I403" s="634"/>
      <c r="J403" s="634"/>
      <c r="K403" s="635">
        <f t="shared" si="160"/>
        <v>0</v>
      </c>
      <c r="L403" s="636"/>
      <c r="M403" s="636"/>
      <c r="N403" s="637">
        <f t="shared" si="161"/>
        <v>0</v>
      </c>
      <c r="O403" s="638"/>
      <c r="P403" s="638"/>
      <c r="Q403" s="635">
        <f t="shared" si="162"/>
        <v>0</v>
      </c>
      <c r="R403" s="636"/>
      <c r="S403" s="636"/>
      <c r="T403" s="637">
        <f t="shared" si="163"/>
        <v>0</v>
      </c>
      <c r="U403" s="638"/>
      <c r="V403" s="638"/>
      <c r="W403" s="635">
        <f t="shared" si="164"/>
        <v>0</v>
      </c>
      <c r="X403" s="636"/>
      <c r="Y403" s="636"/>
      <c r="Z403" s="637">
        <f t="shared" si="165"/>
        <v>0</v>
      </c>
      <c r="AA403" s="638"/>
      <c r="AB403" s="638"/>
      <c r="AC403" s="635">
        <f t="shared" si="166"/>
        <v>0</v>
      </c>
      <c r="AD403" s="636"/>
      <c r="AE403" s="636"/>
      <c r="AF403" s="637">
        <f t="shared" si="167"/>
        <v>0</v>
      </c>
      <c r="AG403" s="638"/>
      <c r="AH403" s="638"/>
      <c r="AI403" s="635">
        <f t="shared" si="168"/>
        <v>0</v>
      </c>
      <c r="AJ403" s="636">
        <v>12</v>
      </c>
      <c r="AK403" s="636">
        <v>49247</v>
      </c>
      <c r="AL403" s="637">
        <f t="shared" si="169"/>
        <v>590964</v>
      </c>
      <c r="AM403" s="638">
        <v>11</v>
      </c>
      <c r="AN403" s="638">
        <v>49432</v>
      </c>
      <c r="AO403" s="640">
        <f t="shared" si="170"/>
        <v>543752</v>
      </c>
      <c r="AP403" s="636"/>
      <c r="AQ403" s="636"/>
      <c r="AR403" s="637">
        <f t="shared" si="171"/>
        <v>0</v>
      </c>
      <c r="AS403" s="638"/>
      <c r="AT403" s="638"/>
      <c r="AU403" s="635">
        <f t="shared" si="172"/>
        <v>0</v>
      </c>
      <c r="AV403" s="636"/>
      <c r="AW403" s="636"/>
      <c r="AX403" s="637">
        <f t="shared" si="173"/>
        <v>0</v>
      </c>
      <c r="AY403" s="638"/>
      <c r="AZ403" s="638"/>
      <c r="BA403" s="635">
        <f t="shared" si="174"/>
        <v>0</v>
      </c>
      <c r="BB403" s="636"/>
      <c r="BC403" s="636"/>
      <c r="BD403" s="637">
        <f t="shared" si="175"/>
        <v>0</v>
      </c>
      <c r="BE403" s="638"/>
      <c r="BF403" s="638"/>
      <c r="BG403" s="635">
        <f t="shared" si="176"/>
        <v>0</v>
      </c>
      <c r="BH403" s="636"/>
      <c r="BI403" s="636"/>
      <c r="BJ403" s="637">
        <f t="shared" si="177"/>
        <v>0</v>
      </c>
      <c r="BK403" s="638"/>
      <c r="BL403" s="638"/>
      <c r="BM403" s="635">
        <f t="shared" si="178"/>
        <v>0</v>
      </c>
      <c r="BN403" s="636"/>
      <c r="BO403" s="636"/>
      <c r="BP403" s="637">
        <f t="shared" si="179"/>
        <v>0</v>
      </c>
      <c r="BQ403" s="638"/>
      <c r="BR403" s="638"/>
      <c r="BS403" s="635">
        <f t="shared" si="180"/>
        <v>0</v>
      </c>
      <c r="BT403" s="636">
        <v>3</v>
      </c>
      <c r="BU403" s="636">
        <v>55193</v>
      </c>
      <c r="BV403" s="637">
        <f t="shared" si="181"/>
        <v>135476.7378</v>
      </c>
      <c r="BW403" s="638">
        <v>3</v>
      </c>
      <c r="BX403" s="638">
        <v>53183</v>
      </c>
      <c r="BY403" s="641">
        <f t="shared" si="182"/>
        <v>130542.9918</v>
      </c>
    </row>
    <row r="404" spans="1:77" x14ac:dyDescent="0.2">
      <c r="A404" s="359" t="s">
        <v>79</v>
      </c>
      <c r="B404" s="302" t="s">
        <v>561</v>
      </c>
      <c r="C404" s="303"/>
      <c r="D404" s="301">
        <v>375692</v>
      </c>
      <c r="E404" s="199">
        <v>13</v>
      </c>
      <c r="F404" s="631"/>
      <c r="G404" s="632"/>
      <c r="H404" s="633">
        <f t="shared" si="159"/>
        <v>0</v>
      </c>
      <c r="I404" s="634"/>
      <c r="J404" s="634"/>
      <c r="K404" s="635">
        <f t="shared" si="160"/>
        <v>0</v>
      </c>
      <c r="L404" s="636"/>
      <c r="M404" s="636"/>
      <c r="N404" s="637">
        <f t="shared" si="161"/>
        <v>0</v>
      </c>
      <c r="O404" s="638"/>
      <c r="P404" s="638"/>
      <c r="Q404" s="635">
        <f t="shared" si="162"/>
        <v>0</v>
      </c>
      <c r="R404" s="636"/>
      <c r="S404" s="636"/>
      <c r="T404" s="637">
        <f t="shared" si="163"/>
        <v>0</v>
      </c>
      <c r="U404" s="638"/>
      <c r="V404" s="638"/>
      <c r="W404" s="635">
        <f t="shared" si="164"/>
        <v>0</v>
      </c>
      <c r="X404" s="636"/>
      <c r="Y404" s="636"/>
      <c r="Z404" s="637">
        <f t="shared" si="165"/>
        <v>0</v>
      </c>
      <c r="AA404" s="638"/>
      <c r="AB404" s="638"/>
      <c r="AC404" s="635">
        <f t="shared" si="166"/>
        <v>0</v>
      </c>
      <c r="AD404" s="636"/>
      <c r="AE404" s="636"/>
      <c r="AF404" s="637">
        <f t="shared" si="167"/>
        <v>0</v>
      </c>
      <c r="AG404" s="638"/>
      <c r="AH404" s="638"/>
      <c r="AI404" s="635">
        <f t="shared" si="168"/>
        <v>0</v>
      </c>
      <c r="AJ404" s="636">
        <v>7</v>
      </c>
      <c r="AK404" s="636">
        <v>48601</v>
      </c>
      <c r="AL404" s="637">
        <f t="shared" si="169"/>
        <v>340207</v>
      </c>
      <c r="AM404" s="638">
        <v>6</v>
      </c>
      <c r="AN404" s="638">
        <v>51823</v>
      </c>
      <c r="AO404" s="640">
        <f t="shared" si="170"/>
        <v>310938</v>
      </c>
      <c r="AP404" s="636"/>
      <c r="AQ404" s="636"/>
      <c r="AR404" s="637">
        <f t="shared" si="171"/>
        <v>0</v>
      </c>
      <c r="AS404" s="638"/>
      <c r="AT404" s="638"/>
      <c r="AU404" s="635">
        <f t="shared" si="172"/>
        <v>0</v>
      </c>
      <c r="AV404" s="636"/>
      <c r="AW404" s="636"/>
      <c r="AX404" s="637">
        <f t="shared" si="173"/>
        <v>0</v>
      </c>
      <c r="AY404" s="638"/>
      <c r="AZ404" s="638"/>
      <c r="BA404" s="635">
        <f t="shared" si="174"/>
        <v>0</v>
      </c>
      <c r="BB404" s="636"/>
      <c r="BC404" s="636"/>
      <c r="BD404" s="637">
        <f t="shared" si="175"/>
        <v>0</v>
      </c>
      <c r="BE404" s="638"/>
      <c r="BF404" s="638"/>
      <c r="BG404" s="635">
        <f t="shared" si="176"/>
        <v>0</v>
      </c>
      <c r="BH404" s="636"/>
      <c r="BI404" s="636"/>
      <c r="BJ404" s="637">
        <f t="shared" si="177"/>
        <v>0</v>
      </c>
      <c r="BK404" s="638"/>
      <c r="BL404" s="638"/>
      <c r="BM404" s="635">
        <f t="shared" si="178"/>
        <v>0</v>
      </c>
      <c r="BN404" s="636"/>
      <c r="BO404" s="636"/>
      <c r="BP404" s="637">
        <f t="shared" si="179"/>
        <v>0</v>
      </c>
      <c r="BQ404" s="638"/>
      <c r="BR404" s="638"/>
      <c r="BS404" s="635">
        <f t="shared" si="180"/>
        <v>0</v>
      </c>
      <c r="BT404" s="636">
        <v>1</v>
      </c>
      <c r="BU404" s="636">
        <v>46465</v>
      </c>
      <c r="BV404" s="637">
        <f t="shared" si="181"/>
        <v>38017.663</v>
      </c>
      <c r="BW404" s="638">
        <v>1</v>
      </c>
      <c r="BX404" s="638">
        <v>49890</v>
      </c>
      <c r="BY404" s="641">
        <f t="shared" si="182"/>
        <v>40819.998</v>
      </c>
    </row>
    <row r="405" spans="1:77" x14ac:dyDescent="0.2">
      <c r="A405" s="359" t="s">
        <v>79</v>
      </c>
      <c r="B405" s="302" t="s">
        <v>562</v>
      </c>
      <c r="C405" s="303"/>
      <c r="D405" s="301">
        <v>375708</v>
      </c>
      <c r="E405" s="199">
        <v>13</v>
      </c>
      <c r="F405" s="631"/>
      <c r="G405" s="632"/>
      <c r="H405" s="633">
        <f t="shared" si="159"/>
        <v>0</v>
      </c>
      <c r="I405" s="634"/>
      <c r="J405" s="634"/>
      <c r="K405" s="635">
        <f t="shared" si="160"/>
        <v>0</v>
      </c>
      <c r="L405" s="636"/>
      <c r="M405" s="636"/>
      <c r="N405" s="637">
        <f t="shared" si="161"/>
        <v>0</v>
      </c>
      <c r="O405" s="638"/>
      <c r="P405" s="638"/>
      <c r="Q405" s="635">
        <f t="shared" si="162"/>
        <v>0</v>
      </c>
      <c r="R405" s="636"/>
      <c r="S405" s="636"/>
      <c r="T405" s="637">
        <f t="shared" si="163"/>
        <v>0</v>
      </c>
      <c r="U405" s="638"/>
      <c r="V405" s="638"/>
      <c r="W405" s="635">
        <f t="shared" si="164"/>
        <v>0</v>
      </c>
      <c r="X405" s="636"/>
      <c r="Y405" s="636"/>
      <c r="Z405" s="637">
        <f t="shared" si="165"/>
        <v>0</v>
      </c>
      <c r="AA405" s="638"/>
      <c r="AB405" s="638"/>
      <c r="AC405" s="635">
        <f t="shared" si="166"/>
        <v>0</v>
      </c>
      <c r="AD405" s="636"/>
      <c r="AE405" s="636"/>
      <c r="AF405" s="637">
        <f t="shared" si="167"/>
        <v>0</v>
      </c>
      <c r="AG405" s="638"/>
      <c r="AH405" s="638"/>
      <c r="AI405" s="635">
        <f t="shared" si="168"/>
        <v>0</v>
      </c>
      <c r="AJ405" s="636">
        <v>7</v>
      </c>
      <c r="AK405" s="636">
        <v>53023</v>
      </c>
      <c r="AL405" s="637">
        <f t="shared" si="169"/>
        <v>371161</v>
      </c>
      <c r="AM405" s="638">
        <v>7</v>
      </c>
      <c r="AN405" s="638">
        <v>54723</v>
      </c>
      <c r="AO405" s="640">
        <f t="shared" si="170"/>
        <v>383061</v>
      </c>
      <c r="AP405" s="636"/>
      <c r="AQ405" s="636"/>
      <c r="AR405" s="637">
        <f t="shared" si="171"/>
        <v>0</v>
      </c>
      <c r="AS405" s="638"/>
      <c r="AT405" s="638"/>
      <c r="AU405" s="635">
        <f t="shared" si="172"/>
        <v>0</v>
      </c>
      <c r="AV405" s="636"/>
      <c r="AW405" s="636"/>
      <c r="AX405" s="637">
        <f t="shared" si="173"/>
        <v>0</v>
      </c>
      <c r="AY405" s="638"/>
      <c r="AZ405" s="638"/>
      <c r="BA405" s="635">
        <f t="shared" si="174"/>
        <v>0</v>
      </c>
      <c r="BB405" s="636"/>
      <c r="BC405" s="636"/>
      <c r="BD405" s="637">
        <f t="shared" si="175"/>
        <v>0</v>
      </c>
      <c r="BE405" s="638"/>
      <c r="BF405" s="638"/>
      <c r="BG405" s="635">
        <f t="shared" si="176"/>
        <v>0</v>
      </c>
      <c r="BH405" s="636"/>
      <c r="BI405" s="636"/>
      <c r="BJ405" s="637">
        <f t="shared" si="177"/>
        <v>0</v>
      </c>
      <c r="BK405" s="638"/>
      <c r="BL405" s="638"/>
      <c r="BM405" s="635">
        <f t="shared" si="178"/>
        <v>0</v>
      </c>
      <c r="BN405" s="636"/>
      <c r="BO405" s="636"/>
      <c r="BP405" s="637">
        <f t="shared" si="179"/>
        <v>0</v>
      </c>
      <c r="BQ405" s="638"/>
      <c r="BR405" s="638"/>
      <c r="BS405" s="635">
        <f t="shared" si="180"/>
        <v>0</v>
      </c>
      <c r="BT405" s="636">
        <v>2</v>
      </c>
      <c r="BU405" s="636">
        <v>56718</v>
      </c>
      <c r="BV405" s="637">
        <f t="shared" si="181"/>
        <v>92813.335200000001</v>
      </c>
      <c r="BW405" s="638">
        <v>2</v>
      </c>
      <c r="BX405" s="638">
        <v>58968</v>
      </c>
      <c r="BY405" s="641">
        <f t="shared" si="182"/>
        <v>96495.23520000001</v>
      </c>
    </row>
    <row r="406" spans="1:77" x14ac:dyDescent="0.2">
      <c r="A406" s="359" t="s">
        <v>79</v>
      </c>
      <c r="B406" s="302" t="s">
        <v>563</v>
      </c>
      <c r="C406" s="303"/>
      <c r="D406" s="301">
        <v>375717</v>
      </c>
      <c r="E406" s="199">
        <v>13</v>
      </c>
      <c r="F406" s="631"/>
      <c r="G406" s="632"/>
      <c r="H406" s="633">
        <f t="shared" si="159"/>
        <v>0</v>
      </c>
      <c r="I406" s="634"/>
      <c r="J406" s="634"/>
      <c r="K406" s="635">
        <f t="shared" si="160"/>
        <v>0</v>
      </c>
      <c r="L406" s="636"/>
      <c r="M406" s="636"/>
      <c r="N406" s="637">
        <f t="shared" si="161"/>
        <v>0</v>
      </c>
      <c r="O406" s="638"/>
      <c r="P406" s="638"/>
      <c r="Q406" s="635">
        <f t="shared" si="162"/>
        <v>0</v>
      </c>
      <c r="R406" s="636"/>
      <c r="S406" s="636"/>
      <c r="T406" s="637">
        <f t="shared" si="163"/>
        <v>0</v>
      </c>
      <c r="U406" s="638"/>
      <c r="V406" s="638"/>
      <c r="W406" s="635">
        <f t="shared" si="164"/>
        <v>0</v>
      </c>
      <c r="X406" s="636"/>
      <c r="Y406" s="636"/>
      <c r="Z406" s="637">
        <f t="shared" si="165"/>
        <v>0</v>
      </c>
      <c r="AA406" s="638"/>
      <c r="AB406" s="638"/>
      <c r="AC406" s="635">
        <f t="shared" si="166"/>
        <v>0</v>
      </c>
      <c r="AD406" s="636"/>
      <c r="AE406" s="636"/>
      <c r="AF406" s="637">
        <f t="shared" si="167"/>
        <v>0</v>
      </c>
      <c r="AG406" s="638"/>
      <c r="AH406" s="638"/>
      <c r="AI406" s="635">
        <f t="shared" si="168"/>
        <v>0</v>
      </c>
      <c r="AJ406" s="636">
        <v>9</v>
      </c>
      <c r="AK406" s="636">
        <v>53032</v>
      </c>
      <c r="AL406" s="637">
        <f t="shared" si="169"/>
        <v>477288</v>
      </c>
      <c r="AM406" s="638">
        <v>9</v>
      </c>
      <c r="AN406" s="638">
        <v>54677</v>
      </c>
      <c r="AO406" s="640">
        <f t="shared" si="170"/>
        <v>492093</v>
      </c>
      <c r="AP406" s="636"/>
      <c r="AQ406" s="636"/>
      <c r="AR406" s="637">
        <f t="shared" si="171"/>
        <v>0</v>
      </c>
      <c r="AS406" s="638"/>
      <c r="AT406" s="638"/>
      <c r="AU406" s="635">
        <f t="shared" si="172"/>
        <v>0</v>
      </c>
      <c r="AV406" s="636"/>
      <c r="AW406" s="636"/>
      <c r="AX406" s="637">
        <f t="shared" si="173"/>
        <v>0</v>
      </c>
      <c r="AY406" s="638"/>
      <c r="AZ406" s="638"/>
      <c r="BA406" s="635">
        <f t="shared" si="174"/>
        <v>0</v>
      </c>
      <c r="BB406" s="636"/>
      <c r="BC406" s="636"/>
      <c r="BD406" s="637">
        <f t="shared" si="175"/>
        <v>0</v>
      </c>
      <c r="BE406" s="638"/>
      <c r="BF406" s="638"/>
      <c r="BG406" s="635">
        <f t="shared" si="176"/>
        <v>0</v>
      </c>
      <c r="BH406" s="636"/>
      <c r="BI406" s="636"/>
      <c r="BJ406" s="637">
        <f t="shared" si="177"/>
        <v>0</v>
      </c>
      <c r="BK406" s="638"/>
      <c r="BL406" s="638"/>
      <c r="BM406" s="635">
        <f t="shared" si="178"/>
        <v>0</v>
      </c>
      <c r="BN406" s="636"/>
      <c r="BO406" s="636"/>
      <c r="BP406" s="637">
        <f t="shared" si="179"/>
        <v>0</v>
      </c>
      <c r="BQ406" s="638"/>
      <c r="BR406" s="638"/>
      <c r="BS406" s="635">
        <f t="shared" si="180"/>
        <v>0</v>
      </c>
      <c r="BT406" s="636">
        <v>3</v>
      </c>
      <c r="BU406" s="636">
        <v>53990</v>
      </c>
      <c r="BV406" s="637">
        <f t="shared" si="181"/>
        <v>132523.85399999999</v>
      </c>
      <c r="BW406" s="638">
        <v>2</v>
      </c>
      <c r="BX406" s="638">
        <v>61593</v>
      </c>
      <c r="BY406" s="641">
        <f t="shared" si="182"/>
        <v>100790.7852</v>
      </c>
    </row>
    <row r="407" spans="1:77" x14ac:dyDescent="0.2">
      <c r="A407" s="359" t="s">
        <v>79</v>
      </c>
      <c r="B407" s="302" t="s">
        <v>564</v>
      </c>
      <c r="C407" s="303"/>
      <c r="D407" s="301">
        <v>375735</v>
      </c>
      <c r="E407" s="199">
        <v>13</v>
      </c>
      <c r="F407" s="631"/>
      <c r="G407" s="632"/>
      <c r="H407" s="633">
        <f t="shared" si="159"/>
        <v>0</v>
      </c>
      <c r="I407" s="634"/>
      <c r="J407" s="634"/>
      <c r="K407" s="635">
        <f t="shared" si="160"/>
        <v>0</v>
      </c>
      <c r="L407" s="636"/>
      <c r="M407" s="636"/>
      <c r="N407" s="637">
        <f t="shared" si="161"/>
        <v>0</v>
      </c>
      <c r="O407" s="638"/>
      <c r="P407" s="638"/>
      <c r="Q407" s="635">
        <f t="shared" si="162"/>
        <v>0</v>
      </c>
      <c r="R407" s="636"/>
      <c r="S407" s="636"/>
      <c r="T407" s="637">
        <f t="shared" si="163"/>
        <v>0</v>
      </c>
      <c r="U407" s="638"/>
      <c r="V407" s="638"/>
      <c r="W407" s="635">
        <f t="shared" si="164"/>
        <v>0</v>
      </c>
      <c r="X407" s="636"/>
      <c r="Y407" s="636"/>
      <c r="Z407" s="637">
        <f t="shared" si="165"/>
        <v>0</v>
      </c>
      <c r="AA407" s="638"/>
      <c r="AB407" s="638"/>
      <c r="AC407" s="635">
        <f t="shared" si="166"/>
        <v>0</v>
      </c>
      <c r="AD407" s="636"/>
      <c r="AE407" s="636"/>
      <c r="AF407" s="637">
        <f t="shared" si="167"/>
        <v>0</v>
      </c>
      <c r="AG407" s="638"/>
      <c r="AH407" s="638"/>
      <c r="AI407" s="635">
        <f t="shared" si="168"/>
        <v>0</v>
      </c>
      <c r="AJ407" s="636">
        <v>9</v>
      </c>
      <c r="AK407" s="636">
        <v>52238</v>
      </c>
      <c r="AL407" s="637">
        <f t="shared" si="169"/>
        <v>470142</v>
      </c>
      <c r="AM407" s="638">
        <v>9</v>
      </c>
      <c r="AN407" s="638">
        <v>52349</v>
      </c>
      <c r="AO407" s="640">
        <f t="shared" si="170"/>
        <v>471141</v>
      </c>
      <c r="AP407" s="636"/>
      <c r="AQ407" s="636"/>
      <c r="AR407" s="637">
        <f t="shared" si="171"/>
        <v>0</v>
      </c>
      <c r="AS407" s="638"/>
      <c r="AT407" s="638"/>
      <c r="AU407" s="635">
        <f t="shared" si="172"/>
        <v>0</v>
      </c>
      <c r="AV407" s="636"/>
      <c r="AW407" s="636"/>
      <c r="AX407" s="637">
        <f t="shared" si="173"/>
        <v>0</v>
      </c>
      <c r="AY407" s="638"/>
      <c r="AZ407" s="638"/>
      <c r="BA407" s="635">
        <f t="shared" si="174"/>
        <v>0</v>
      </c>
      <c r="BB407" s="636"/>
      <c r="BC407" s="636"/>
      <c r="BD407" s="637">
        <f t="shared" si="175"/>
        <v>0</v>
      </c>
      <c r="BE407" s="638"/>
      <c r="BF407" s="638"/>
      <c r="BG407" s="635">
        <f t="shared" si="176"/>
        <v>0</v>
      </c>
      <c r="BH407" s="636"/>
      <c r="BI407" s="636"/>
      <c r="BJ407" s="637">
        <f t="shared" si="177"/>
        <v>0</v>
      </c>
      <c r="BK407" s="638"/>
      <c r="BL407" s="638"/>
      <c r="BM407" s="635">
        <f t="shared" si="178"/>
        <v>0</v>
      </c>
      <c r="BN407" s="636"/>
      <c r="BO407" s="636"/>
      <c r="BP407" s="637">
        <f t="shared" si="179"/>
        <v>0</v>
      </c>
      <c r="BQ407" s="638"/>
      <c r="BR407" s="638"/>
      <c r="BS407" s="635">
        <f t="shared" si="180"/>
        <v>0</v>
      </c>
      <c r="BT407" s="636">
        <v>3</v>
      </c>
      <c r="BU407" s="636">
        <v>59173</v>
      </c>
      <c r="BV407" s="637">
        <f t="shared" si="181"/>
        <v>145246.04579999999</v>
      </c>
      <c r="BW407" s="638">
        <v>3</v>
      </c>
      <c r="BX407" s="638">
        <v>60433</v>
      </c>
      <c r="BY407" s="641">
        <f t="shared" si="182"/>
        <v>148338.84179999999</v>
      </c>
    </row>
    <row r="408" spans="1:77" x14ac:dyDescent="0.2">
      <c r="A408" s="359" t="s">
        <v>79</v>
      </c>
      <c r="B408" s="302" t="s">
        <v>565</v>
      </c>
      <c r="C408" s="303"/>
      <c r="D408" s="301">
        <v>375726</v>
      </c>
      <c r="E408" s="199">
        <v>13</v>
      </c>
      <c r="F408" s="631"/>
      <c r="G408" s="632"/>
      <c r="H408" s="633">
        <f t="shared" si="159"/>
        <v>0</v>
      </c>
      <c r="I408" s="634"/>
      <c r="J408" s="634"/>
      <c r="K408" s="635">
        <f t="shared" si="160"/>
        <v>0</v>
      </c>
      <c r="L408" s="636"/>
      <c r="M408" s="636"/>
      <c r="N408" s="637">
        <f t="shared" si="161"/>
        <v>0</v>
      </c>
      <c r="O408" s="638"/>
      <c r="P408" s="638"/>
      <c r="Q408" s="635">
        <f t="shared" si="162"/>
        <v>0</v>
      </c>
      <c r="R408" s="636"/>
      <c r="S408" s="636"/>
      <c r="T408" s="637">
        <f t="shared" si="163"/>
        <v>0</v>
      </c>
      <c r="U408" s="638"/>
      <c r="V408" s="638"/>
      <c r="W408" s="635">
        <f t="shared" si="164"/>
        <v>0</v>
      </c>
      <c r="X408" s="636"/>
      <c r="Y408" s="636"/>
      <c r="Z408" s="637">
        <f t="shared" si="165"/>
        <v>0</v>
      </c>
      <c r="AA408" s="638"/>
      <c r="AB408" s="638"/>
      <c r="AC408" s="635">
        <f t="shared" si="166"/>
        <v>0</v>
      </c>
      <c r="AD408" s="636"/>
      <c r="AE408" s="636"/>
      <c r="AF408" s="637">
        <f t="shared" si="167"/>
        <v>0</v>
      </c>
      <c r="AG408" s="638"/>
      <c r="AH408" s="638"/>
      <c r="AI408" s="635">
        <f t="shared" si="168"/>
        <v>0</v>
      </c>
      <c r="AJ408" s="636">
        <v>16</v>
      </c>
      <c r="AK408" s="636">
        <v>50538</v>
      </c>
      <c r="AL408" s="637">
        <f t="shared" si="169"/>
        <v>808608</v>
      </c>
      <c r="AM408" s="638">
        <v>16</v>
      </c>
      <c r="AN408" s="638">
        <v>52082</v>
      </c>
      <c r="AO408" s="640">
        <f t="shared" si="170"/>
        <v>833312</v>
      </c>
      <c r="AP408" s="636"/>
      <c r="AQ408" s="636"/>
      <c r="AR408" s="637">
        <f t="shared" si="171"/>
        <v>0</v>
      </c>
      <c r="AS408" s="638"/>
      <c r="AT408" s="638"/>
      <c r="AU408" s="635">
        <f t="shared" si="172"/>
        <v>0</v>
      </c>
      <c r="AV408" s="636"/>
      <c r="AW408" s="636"/>
      <c r="AX408" s="637">
        <f t="shared" si="173"/>
        <v>0</v>
      </c>
      <c r="AY408" s="638"/>
      <c r="AZ408" s="638"/>
      <c r="BA408" s="635">
        <f t="shared" si="174"/>
        <v>0</v>
      </c>
      <c r="BB408" s="636"/>
      <c r="BC408" s="636"/>
      <c r="BD408" s="637">
        <f t="shared" si="175"/>
        <v>0</v>
      </c>
      <c r="BE408" s="638"/>
      <c r="BF408" s="638"/>
      <c r="BG408" s="635">
        <f t="shared" si="176"/>
        <v>0</v>
      </c>
      <c r="BH408" s="636"/>
      <c r="BI408" s="636"/>
      <c r="BJ408" s="637">
        <f t="shared" si="177"/>
        <v>0</v>
      </c>
      <c r="BK408" s="638"/>
      <c r="BL408" s="638"/>
      <c r="BM408" s="635">
        <f t="shared" si="178"/>
        <v>0</v>
      </c>
      <c r="BN408" s="636"/>
      <c r="BO408" s="636"/>
      <c r="BP408" s="637">
        <f t="shared" si="179"/>
        <v>0</v>
      </c>
      <c r="BQ408" s="638"/>
      <c r="BR408" s="638"/>
      <c r="BS408" s="635">
        <f t="shared" si="180"/>
        <v>0</v>
      </c>
      <c r="BT408" s="636">
        <v>4</v>
      </c>
      <c r="BU408" s="636">
        <v>59754</v>
      </c>
      <c r="BV408" s="637">
        <f t="shared" si="181"/>
        <v>195562.89120000001</v>
      </c>
      <c r="BW408" s="638">
        <v>4</v>
      </c>
      <c r="BX408" s="638">
        <v>61644</v>
      </c>
      <c r="BY408" s="641">
        <f t="shared" si="182"/>
        <v>201748.48320000002</v>
      </c>
    </row>
    <row r="409" spans="1:77" x14ac:dyDescent="0.2">
      <c r="A409" s="359" t="s">
        <v>79</v>
      </c>
      <c r="B409" s="302" t="s">
        <v>566</v>
      </c>
      <c r="C409" s="303"/>
      <c r="D409" s="301">
        <v>375744</v>
      </c>
      <c r="E409" s="199">
        <v>13</v>
      </c>
      <c r="F409" s="631"/>
      <c r="G409" s="632"/>
      <c r="H409" s="633">
        <f t="shared" si="159"/>
        <v>0</v>
      </c>
      <c r="I409" s="634"/>
      <c r="J409" s="634"/>
      <c r="K409" s="635">
        <f t="shared" si="160"/>
        <v>0</v>
      </c>
      <c r="L409" s="636"/>
      <c r="M409" s="636"/>
      <c r="N409" s="637">
        <f t="shared" si="161"/>
        <v>0</v>
      </c>
      <c r="O409" s="638"/>
      <c r="P409" s="638"/>
      <c r="Q409" s="635">
        <f t="shared" si="162"/>
        <v>0</v>
      </c>
      <c r="R409" s="636"/>
      <c r="S409" s="636"/>
      <c r="T409" s="637">
        <f t="shared" si="163"/>
        <v>0</v>
      </c>
      <c r="U409" s="638"/>
      <c r="V409" s="638"/>
      <c r="W409" s="635">
        <f t="shared" si="164"/>
        <v>0</v>
      </c>
      <c r="X409" s="636"/>
      <c r="Y409" s="636"/>
      <c r="Z409" s="637">
        <f t="shared" si="165"/>
        <v>0</v>
      </c>
      <c r="AA409" s="638"/>
      <c r="AB409" s="638"/>
      <c r="AC409" s="635">
        <f t="shared" si="166"/>
        <v>0</v>
      </c>
      <c r="AD409" s="636"/>
      <c r="AE409" s="636"/>
      <c r="AF409" s="637">
        <f t="shared" si="167"/>
        <v>0</v>
      </c>
      <c r="AG409" s="638"/>
      <c r="AH409" s="638"/>
      <c r="AI409" s="635">
        <f t="shared" si="168"/>
        <v>0</v>
      </c>
      <c r="AJ409" s="636">
        <v>10</v>
      </c>
      <c r="AK409" s="636">
        <v>50781</v>
      </c>
      <c r="AL409" s="637">
        <f t="shared" si="169"/>
        <v>507810</v>
      </c>
      <c r="AM409" s="638">
        <v>10</v>
      </c>
      <c r="AN409" s="638">
        <v>52155</v>
      </c>
      <c r="AO409" s="640">
        <f t="shared" si="170"/>
        <v>521550</v>
      </c>
      <c r="AP409" s="636"/>
      <c r="AQ409" s="636"/>
      <c r="AR409" s="637">
        <f t="shared" si="171"/>
        <v>0</v>
      </c>
      <c r="AS409" s="638"/>
      <c r="AT409" s="638"/>
      <c r="AU409" s="635">
        <f t="shared" si="172"/>
        <v>0</v>
      </c>
      <c r="AV409" s="636"/>
      <c r="AW409" s="636"/>
      <c r="AX409" s="637">
        <f t="shared" si="173"/>
        <v>0</v>
      </c>
      <c r="AY409" s="638"/>
      <c r="AZ409" s="638"/>
      <c r="BA409" s="635">
        <f t="shared" si="174"/>
        <v>0</v>
      </c>
      <c r="BB409" s="636"/>
      <c r="BC409" s="636"/>
      <c r="BD409" s="637">
        <f t="shared" si="175"/>
        <v>0</v>
      </c>
      <c r="BE409" s="638"/>
      <c r="BF409" s="638"/>
      <c r="BG409" s="635">
        <f t="shared" si="176"/>
        <v>0</v>
      </c>
      <c r="BH409" s="636"/>
      <c r="BI409" s="636"/>
      <c r="BJ409" s="637">
        <f t="shared" si="177"/>
        <v>0</v>
      </c>
      <c r="BK409" s="638"/>
      <c r="BL409" s="638"/>
      <c r="BM409" s="635">
        <f t="shared" si="178"/>
        <v>0</v>
      </c>
      <c r="BN409" s="636"/>
      <c r="BO409" s="636"/>
      <c r="BP409" s="637">
        <f t="shared" si="179"/>
        <v>0</v>
      </c>
      <c r="BQ409" s="638"/>
      <c r="BR409" s="638"/>
      <c r="BS409" s="635">
        <f t="shared" si="180"/>
        <v>0</v>
      </c>
      <c r="BT409" s="636">
        <v>3</v>
      </c>
      <c r="BU409" s="636">
        <v>53738</v>
      </c>
      <c r="BV409" s="637">
        <f t="shared" si="181"/>
        <v>131905.2948</v>
      </c>
      <c r="BW409" s="638">
        <v>3</v>
      </c>
      <c r="BX409" s="638">
        <v>55778</v>
      </c>
      <c r="BY409" s="641">
        <f t="shared" si="182"/>
        <v>136912.67879999999</v>
      </c>
    </row>
    <row r="410" spans="1:77" x14ac:dyDescent="0.2">
      <c r="A410" s="359" t="s">
        <v>79</v>
      </c>
      <c r="B410" s="302" t="s">
        <v>567</v>
      </c>
      <c r="C410" s="303"/>
      <c r="D410" s="301">
        <v>375753</v>
      </c>
      <c r="E410" s="199">
        <v>13</v>
      </c>
      <c r="F410" s="631"/>
      <c r="G410" s="632"/>
      <c r="H410" s="633">
        <f t="shared" si="159"/>
        <v>0</v>
      </c>
      <c r="I410" s="634"/>
      <c r="J410" s="634"/>
      <c r="K410" s="635">
        <f t="shared" si="160"/>
        <v>0</v>
      </c>
      <c r="L410" s="636"/>
      <c r="M410" s="636"/>
      <c r="N410" s="637">
        <f t="shared" si="161"/>
        <v>0</v>
      </c>
      <c r="O410" s="638"/>
      <c r="P410" s="638"/>
      <c r="Q410" s="635">
        <f t="shared" si="162"/>
        <v>0</v>
      </c>
      <c r="R410" s="636"/>
      <c r="S410" s="636"/>
      <c r="T410" s="637">
        <f t="shared" si="163"/>
        <v>0</v>
      </c>
      <c r="U410" s="638"/>
      <c r="V410" s="638"/>
      <c r="W410" s="635">
        <f t="shared" si="164"/>
        <v>0</v>
      </c>
      <c r="X410" s="636"/>
      <c r="Y410" s="636"/>
      <c r="Z410" s="637">
        <f t="shared" si="165"/>
        <v>0</v>
      </c>
      <c r="AA410" s="638"/>
      <c r="AB410" s="638"/>
      <c r="AC410" s="635">
        <f t="shared" si="166"/>
        <v>0</v>
      </c>
      <c r="AD410" s="636"/>
      <c r="AE410" s="636"/>
      <c r="AF410" s="637">
        <f t="shared" si="167"/>
        <v>0</v>
      </c>
      <c r="AG410" s="638"/>
      <c r="AH410" s="638"/>
      <c r="AI410" s="635">
        <f t="shared" si="168"/>
        <v>0</v>
      </c>
      <c r="AJ410" s="636">
        <v>2</v>
      </c>
      <c r="AK410" s="636">
        <v>47925</v>
      </c>
      <c r="AL410" s="637">
        <f t="shared" si="169"/>
        <v>95850</v>
      </c>
      <c r="AM410" s="638">
        <v>2</v>
      </c>
      <c r="AN410" s="638">
        <v>49625</v>
      </c>
      <c r="AO410" s="640">
        <f t="shared" si="170"/>
        <v>99250</v>
      </c>
      <c r="AP410" s="636"/>
      <c r="AQ410" s="636"/>
      <c r="AR410" s="637">
        <f t="shared" si="171"/>
        <v>0</v>
      </c>
      <c r="AS410" s="638"/>
      <c r="AT410" s="638"/>
      <c r="AU410" s="635">
        <f t="shared" si="172"/>
        <v>0</v>
      </c>
      <c r="AV410" s="636"/>
      <c r="AW410" s="636"/>
      <c r="AX410" s="637">
        <f t="shared" si="173"/>
        <v>0</v>
      </c>
      <c r="AY410" s="638"/>
      <c r="AZ410" s="638"/>
      <c r="BA410" s="635">
        <f t="shared" si="174"/>
        <v>0</v>
      </c>
      <c r="BB410" s="636"/>
      <c r="BC410" s="636"/>
      <c r="BD410" s="637">
        <f t="shared" si="175"/>
        <v>0</v>
      </c>
      <c r="BE410" s="638"/>
      <c r="BF410" s="638"/>
      <c r="BG410" s="635">
        <f t="shared" si="176"/>
        <v>0</v>
      </c>
      <c r="BH410" s="636"/>
      <c r="BI410" s="636"/>
      <c r="BJ410" s="637">
        <f t="shared" si="177"/>
        <v>0</v>
      </c>
      <c r="BK410" s="638"/>
      <c r="BL410" s="638"/>
      <c r="BM410" s="635">
        <f t="shared" si="178"/>
        <v>0</v>
      </c>
      <c r="BN410" s="636"/>
      <c r="BO410" s="636"/>
      <c r="BP410" s="637">
        <f t="shared" si="179"/>
        <v>0</v>
      </c>
      <c r="BQ410" s="638"/>
      <c r="BR410" s="638"/>
      <c r="BS410" s="635">
        <f t="shared" si="180"/>
        <v>0</v>
      </c>
      <c r="BT410" s="636"/>
      <c r="BU410" s="636"/>
      <c r="BV410" s="637">
        <f t="shared" si="181"/>
        <v>0</v>
      </c>
      <c r="BW410" s="638"/>
      <c r="BX410" s="638"/>
      <c r="BY410" s="641">
        <f t="shared" si="182"/>
        <v>0</v>
      </c>
    </row>
    <row r="411" spans="1:77" x14ac:dyDescent="0.2">
      <c r="A411" s="359" t="s">
        <v>79</v>
      </c>
      <c r="B411" s="302" t="s">
        <v>568</v>
      </c>
      <c r="C411" s="303"/>
      <c r="D411" s="301">
        <v>405748</v>
      </c>
      <c r="E411" s="199">
        <v>13</v>
      </c>
      <c r="F411" s="631"/>
      <c r="G411" s="632"/>
      <c r="H411" s="633">
        <f t="shared" si="159"/>
        <v>0</v>
      </c>
      <c r="I411" s="634"/>
      <c r="J411" s="634"/>
      <c r="K411" s="635">
        <f t="shared" si="160"/>
        <v>0</v>
      </c>
      <c r="L411" s="636"/>
      <c r="M411" s="636"/>
      <c r="N411" s="637">
        <f t="shared" si="161"/>
        <v>0</v>
      </c>
      <c r="O411" s="638"/>
      <c r="P411" s="638"/>
      <c r="Q411" s="635">
        <f t="shared" si="162"/>
        <v>0</v>
      </c>
      <c r="R411" s="636"/>
      <c r="S411" s="636"/>
      <c r="T411" s="637">
        <f t="shared" si="163"/>
        <v>0</v>
      </c>
      <c r="U411" s="638"/>
      <c r="V411" s="638"/>
      <c r="W411" s="635">
        <f t="shared" si="164"/>
        <v>0</v>
      </c>
      <c r="X411" s="636"/>
      <c r="Y411" s="636"/>
      <c r="Z411" s="637">
        <f t="shared" si="165"/>
        <v>0</v>
      </c>
      <c r="AA411" s="638"/>
      <c r="AB411" s="638"/>
      <c r="AC411" s="635">
        <f t="shared" si="166"/>
        <v>0</v>
      </c>
      <c r="AD411" s="636"/>
      <c r="AE411" s="636"/>
      <c r="AF411" s="637">
        <f t="shared" si="167"/>
        <v>0</v>
      </c>
      <c r="AG411" s="638"/>
      <c r="AH411" s="638"/>
      <c r="AI411" s="635">
        <f t="shared" si="168"/>
        <v>0</v>
      </c>
      <c r="AJ411" s="636">
        <v>6</v>
      </c>
      <c r="AK411" s="636">
        <v>48369</v>
      </c>
      <c r="AL411" s="637">
        <f t="shared" si="169"/>
        <v>290214</v>
      </c>
      <c r="AM411" s="638">
        <v>6</v>
      </c>
      <c r="AN411" s="638">
        <v>48432</v>
      </c>
      <c r="AO411" s="640">
        <f t="shared" si="170"/>
        <v>290592</v>
      </c>
      <c r="AP411" s="636"/>
      <c r="AQ411" s="636"/>
      <c r="AR411" s="637">
        <f t="shared" si="171"/>
        <v>0</v>
      </c>
      <c r="AS411" s="638"/>
      <c r="AT411" s="638"/>
      <c r="AU411" s="635">
        <f t="shared" si="172"/>
        <v>0</v>
      </c>
      <c r="AV411" s="636"/>
      <c r="AW411" s="636"/>
      <c r="AX411" s="637">
        <f t="shared" si="173"/>
        <v>0</v>
      </c>
      <c r="AY411" s="638"/>
      <c r="AZ411" s="638"/>
      <c r="BA411" s="635">
        <f t="shared" si="174"/>
        <v>0</v>
      </c>
      <c r="BB411" s="636"/>
      <c r="BC411" s="636"/>
      <c r="BD411" s="637">
        <f t="shared" si="175"/>
        <v>0</v>
      </c>
      <c r="BE411" s="638"/>
      <c r="BF411" s="638"/>
      <c r="BG411" s="635">
        <f t="shared" si="176"/>
        <v>0</v>
      </c>
      <c r="BH411" s="636"/>
      <c r="BI411" s="636"/>
      <c r="BJ411" s="637">
        <f t="shared" si="177"/>
        <v>0</v>
      </c>
      <c r="BK411" s="638"/>
      <c r="BL411" s="638"/>
      <c r="BM411" s="635">
        <f t="shared" si="178"/>
        <v>0</v>
      </c>
      <c r="BN411" s="636"/>
      <c r="BO411" s="636"/>
      <c r="BP411" s="637">
        <f t="shared" si="179"/>
        <v>0</v>
      </c>
      <c r="BQ411" s="638"/>
      <c r="BR411" s="638"/>
      <c r="BS411" s="635">
        <f t="shared" si="180"/>
        <v>0</v>
      </c>
      <c r="BT411" s="636"/>
      <c r="BU411" s="636"/>
      <c r="BV411" s="637">
        <f t="shared" si="181"/>
        <v>0</v>
      </c>
      <c r="BW411" s="638"/>
      <c r="BX411" s="638"/>
      <c r="BY411" s="641">
        <f t="shared" si="182"/>
        <v>0</v>
      </c>
    </row>
    <row r="412" spans="1:77" x14ac:dyDescent="0.2">
      <c r="A412" s="359" t="s">
        <v>79</v>
      </c>
      <c r="B412" s="302" t="s">
        <v>569</v>
      </c>
      <c r="C412" s="303"/>
      <c r="D412" s="301">
        <v>375762</v>
      </c>
      <c r="E412" s="199">
        <v>13</v>
      </c>
      <c r="F412" s="631"/>
      <c r="G412" s="632"/>
      <c r="H412" s="633">
        <f t="shared" si="159"/>
        <v>0</v>
      </c>
      <c r="I412" s="634"/>
      <c r="J412" s="634"/>
      <c r="K412" s="635">
        <f t="shared" si="160"/>
        <v>0</v>
      </c>
      <c r="L412" s="636"/>
      <c r="M412" s="636"/>
      <c r="N412" s="637">
        <f t="shared" si="161"/>
        <v>0</v>
      </c>
      <c r="O412" s="638"/>
      <c r="P412" s="638"/>
      <c r="Q412" s="635">
        <f t="shared" si="162"/>
        <v>0</v>
      </c>
      <c r="R412" s="636"/>
      <c r="S412" s="636"/>
      <c r="T412" s="637">
        <f t="shared" si="163"/>
        <v>0</v>
      </c>
      <c r="U412" s="638"/>
      <c r="V412" s="638"/>
      <c r="W412" s="635">
        <f t="shared" si="164"/>
        <v>0</v>
      </c>
      <c r="X412" s="636"/>
      <c r="Y412" s="636"/>
      <c r="Z412" s="637">
        <f t="shared" si="165"/>
        <v>0</v>
      </c>
      <c r="AA412" s="638"/>
      <c r="AB412" s="638"/>
      <c r="AC412" s="635">
        <f t="shared" si="166"/>
        <v>0</v>
      </c>
      <c r="AD412" s="636"/>
      <c r="AE412" s="636"/>
      <c r="AF412" s="637">
        <f t="shared" si="167"/>
        <v>0</v>
      </c>
      <c r="AG412" s="638"/>
      <c r="AH412" s="638"/>
      <c r="AI412" s="635">
        <f t="shared" si="168"/>
        <v>0</v>
      </c>
      <c r="AJ412" s="636">
        <v>4</v>
      </c>
      <c r="AK412" s="636">
        <v>50096</v>
      </c>
      <c r="AL412" s="637">
        <f t="shared" si="169"/>
        <v>200384</v>
      </c>
      <c r="AM412" s="638">
        <v>5</v>
      </c>
      <c r="AN412" s="638">
        <v>52690</v>
      </c>
      <c r="AO412" s="640">
        <f t="shared" si="170"/>
        <v>263450</v>
      </c>
      <c r="AP412" s="636"/>
      <c r="AQ412" s="636"/>
      <c r="AR412" s="637">
        <f t="shared" si="171"/>
        <v>0</v>
      </c>
      <c r="AS412" s="638"/>
      <c r="AT412" s="638"/>
      <c r="AU412" s="635">
        <f t="shared" si="172"/>
        <v>0</v>
      </c>
      <c r="AV412" s="636"/>
      <c r="AW412" s="636"/>
      <c r="AX412" s="637">
        <f t="shared" si="173"/>
        <v>0</v>
      </c>
      <c r="AY412" s="638"/>
      <c r="AZ412" s="638"/>
      <c r="BA412" s="635">
        <f t="shared" si="174"/>
        <v>0</v>
      </c>
      <c r="BB412" s="636"/>
      <c r="BC412" s="636"/>
      <c r="BD412" s="637">
        <f t="shared" si="175"/>
        <v>0</v>
      </c>
      <c r="BE412" s="638"/>
      <c r="BF412" s="638"/>
      <c r="BG412" s="635">
        <f t="shared" si="176"/>
        <v>0</v>
      </c>
      <c r="BH412" s="636"/>
      <c r="BI412" s="636"/>
      <c r="BJ412" s="637">
        <f t="shared" si="177"/>
        <v>0</v>
      </c>
      <c r="BK412" s="638"/>
      <c r="BL412" s="638"/>
      <c r="BM412" s="635">
        <f t="shared" si="178"/>
        <v>0</v>
      </c>
      <c r="BN412" s="636"/>
      <c r="BO412" s="636"/>
      <c r="BP412" s="637">
        <f t="shared" si="179"/>
        <v>0</v>
      </c>
      <c r="BQ412" s="638"/>
      <c r="BR412" s="638"/>
      <c r="BS412" s="635">
        <f t="shared" si="180"/>
        <v>0</v>
      </c>
      <c r="BT412" s="636"/>
      <c r="BU412" s="636"/>
      <c r="BV412" s="637">
        <f t="shared" si="181"/>
        <v>0</v>
      </c>
      <c r="BW412" s="638"/>
      <c r="BX412" s="638"/>
      <c r="BY412" s="641">
        <f t="shared" si="182"/>
        <v>0</v>
      </c>
    </row>
    <row r="413" spans="1:77" x14ac:dyDescent="0.2">
      <c r="A413" s="359" t="s">
        <v>79</v>
      </c>
      <c r="B413" s="302" t="s">
        <v>570</v>
      </c>
      <c r="C413" s="303"/>
      <c r="D413" s="301">
        <v>365480</v>
      </c>
      <c r="E413" s="199">
        <v>13</v>
      </c>
      <c r="F413" s="631"/>
      <c r="G413" s="632"/>
      <c r="H413" s="633">
        <f t="shared" si="159"/>
        <v>0</v>
      </c>
      <c r="I413" s="634"/>
      <c r="J413" s="634"/>
      <c r="K413" s="635">
        <f t="shared" si="160"/>
        <v>0</v>
      </c>
      <c r="L413" s="636"/>
      <c r="M413" s="636"/>
      <c r="N413" s="637">
        <f t="shared" si="161"/>
        <v>0</v>
      </c>
      <c r="O413" s="638"/>
      <c r="P413" s="638"/>
      <c r="Q413" s="635">
        <f t="shared" si="162"/>
        <v>0</v>
      </c>
      <c r="R413" s="636"/>
      <c r="S413" s="636"/>
      <c r="T413" s="637">
        <f t="shared" si="163"/>
        <v>0</v>
      </c>
      <c r="U413" s="638"/>
      <c r="V413" s="638"/>
      <c r="W413" s="635">
        <f t="shared" si="164"/>
        <v>0</v>
      </c>
      <c r="X413" s="636"/>
      <c r="Y413" s="636"/>
      <c r="Z413" s="637">
        <f t="shared" si="165"/>
        <v>0</v>
      </c>
      <c r="AA413" s="638"/>
      <c r="AB413" s="638"/>
      <c r="AC413" s="635">
        <f t="shared" si="166"/>
        <v>0</v>
      </c>
      <c r="AD413" s="636"/>
      <c r="AE413" s="636"/>
      <c r="AF413" s="637">
        <f t="shared" si="167"/>
        <v>0</v>
      </c>
      <c r="AG413" s="638"/>
      <c r="AH413" s="638"/>
      <c r="AI413" s="635">
        <f t="shared" si="168"/>
        <v>0</v>
      </c>
      <c r="AJ413" s="636">
        <v>24</v>
      </c>
      <c r="AK413" s="636">
        <v>49029</v>
      </c>
      <c r="AL413" s="637">
        <f t="shared" si="169"/>
        <v>1176696</v>
      </c>
      <c r="AM413" s="638">
        <v>27</v>
      </c>
      <c r="AN413" s="638">
        <v>50001</v>
      </c>
      <c r="AO413" s="640">
        <f t="shared" si="170"/>
        <v>1350027</v>
      </c>
      <c r="AP413" s="636"/>
      <c r="AQ413" s="636"/>
      <c r="AR413" s="637">
        <f t="shared" si="171"/>
        <v>0</v>
      </c>
      <c r="AS413" s="638"/>
      <c r="AT413" s="638"/>
      <c r="AU413" s="635">
        <f t="shared" si="172"/>
        <v>0</v>
      </c>
      <c r="AV413" s="636"/>
      <c r="AW413" s="636"/>
      <c r="AX413" s="637">
        <f t="shared" si="173"/>
        <v>0</v>
      </c>
      <c r="AY413" s="638"/>
      <c r="AZ413" s="638"/>
      <c r="BA413" s="635">
        <f t="shared" si="174"/>
        <v>0</v>
      </c>
      <c r="BB413" s="636"/>
      <c r="BC413" s="636"/>
      <c r="BD413" s="637">
        <f t="shared" si="175"/>
        <v>0</v>
      </c>
      <c r="BE413" s="638"/>
      <c r="BF413" s="638"/>
      <c r="BG413" s="635">
        <f t="shared" si="176"/>
        <v>0</v>
      </c>
      <c r="BH413" s="636"/>
      <c r="BI413" s="636"/>
      <c r="BJ413" s="637">
        <f t="shared" si="177"/>
        <v>0</v>
      </c>
      <c r="BK413" s="638"/>
      <c r="BL413" s="638"/>
      <c r="BM413" s="635">
        <f t="shared" si="178"/>
        <v>0</v>
      </c>
      <c r="BN413" s="636"/>
      <c r="BO413" s="636"/>
      <c r="BP413" s="637">
        <f t="shared" si="179"/>
        <v>0</v>
      </c>
      <c r="BQ413" s="638"/>
      <c r="BR413" s="638"/>
      <c r="BS413" s="635">
        <f t="shared" si="180"/>
        <v>0</v>
      </c>
      <c r="BT413" s="636">
        <v>11</v>
      </c>
      <c r="BU413" s="636">
        <v>58497</v>
      </c>
      <c r="BV413" s="637">
        <f t="shared" si="181"/>
        <v>526484.69940000004</v>
      </c>
      <c r="BW413" s="638">
        <v>10</v>
      </c>
      <c r="BX413" s="638">
        <v>58896</v>
      </c>
      <c r="BY413" s="641">
        <f t="shared" si="182"/>
        <v>481887.07200000004</v>
      </c>
    </row>
    <row r="414" spans="1:77" x14ac:dyDescent="0.2">
      <c r="A414" s="359" t="s">
        <v>79</v>
      </c>
      <c r="B414" s="302" t="s">
        <v>571</v>
      </c>
      <c r="C414" s="303"/>
      <c r="D414" s="301">
        <v>418320</v>
      </c>
      <c r="E414" s="199">
        <v>13</v>
      </c>
      <c r="F414" s="631"/>
      <c r="G414" s="632"/>
      <c r="H414" s="633">
        <f t="shared" si="159"/>
        <v>0</v>
      </c>
      <c r="I414" s="634"/>
      <c r="J414" s="634"/>
      <c r="K414" s="635">
        <f t="shared" si="160"/>
        <v>0</v>
      </c>
      <c r="L414" s="636"/>
      <c r="M414" s="636"/>
      <c r="N414" s="637">
        <f t="shared" si="161"/>
        <v>0</v>
      </c>
      <c r="O414" s="638"/>
      <c r="P414" s="638"/>
      <c r="Q414" s="635">
        <f t="shared" si="162"/>
        <v>0</v>
      </c>
      <c r="R414" s="636"/>
      <c r="S414" s="636"/>
      <c r="T414" s="637">
        <f t="shared" si="163"/>
        <v>0</v>
      </c>
      <c r="U414" s="638"/>
      <c r="V414" s="638"/>
      <c r="W414" s="635">
        <f t="shared" si="164"/>
        <v>0</v>
      </c>
      <c r="X414" s="636"/>
      <c r="Y414" s="636"/>
      <c r="Z414" s="637">
        <f t="shared" si="165"/>
        <v>0</v>
      </c>
      <c r="AA414" s="638"/>
      <c r="AB414" s="638"/>
      <c r="AC414" s="635">
        <f t="shared" si="166"/>
        <v>0</v>
      </c>
      <c r="AD414" s="636"/>
      <c r="AE414" s="636"/>
      <c r="AF414" s="637">
        <f t="shared" si="167"/>
        <v>0</v>
      </c>
      <c r="AG414" s="638"/>
      <c r="AH414" s="638"/>
      <c r="AI414" s="635">
        <f t="shared" si="168"/>
        <v>0</v>
      </c>
      <c r="AJ414" s="636">
        <v>20</v>
      </c>
      <c r="AK414" s="636">
        <v>49124</v>
      </c>
      <c r="AL414" s="637">
        <f t="shared" si="169"/>
        <v>982480</v>
      </c>
      <c r="AM414" s="638">
        <v>22</v>
      </c>
      <c r="AN414" s="638">
        <v>50137</v>
      </c>
      <c r="AO414" s="640">
        <f t="shared" si="170"/>
        <v>1103014</v>
      </c>
      <c r="AP414" s="636"/>
      <c r="AQ414" s="636"/>
      <c r="AR414" s="637">
        <f t="shared" si="171"/>
        <v>0</v>
      </c>
      <c r="AS414" s="638"/>
      <c r="AT414" s="638"/>
      <c r="AU414" s="635">
        <f t="shared" si="172"/>
        <v>0</v>
      </c>
      <c r="AV414" s="636"/>
      <c r="AW414" s="636"/>
      <c r="AX414" s="637">
        <f t="shared" si="173"/>
        <v>0</v>
      </c>
      <c r="AY414" s="638"/>
      <c r="AZ414" s="638"/>
      <c r="BA414" s="635">
        <f t="shared" si="174"/>
        <v>0</v>
      </c>
      <c r="BB414" s="636"/>
      <c r="BC414" s="636"/>
      <c r="BD414" s="637">
        <f t="shared" si="175"/>
        <v>0</v>
      </c>
      <c r="BE414" s="638"/>
      <c r="BF414" s="638"/>
      <c r="BG414" s="635">
        <f t="shared" si="176"/>
        <v>0</v>
      </c>
      <c r="BH414" s="636"/>
      <c r="BI414" s="636"/>
      <c r="BJ414" s="637">
        <f t="shared" si="177"/>
        <v>0</v>
      </c>
      <c r="BK414" s="638"/>
      <c r="BL414" s="638"/>
      <c r="BM414" s="635">
        <f t="shared" si="178"/>
        <v>0</v>
      </c>
      <c r="BN414" s="636"/>
      <c r="BO414" s="636"/>
      <c r="BP414" s="637">
        <f t="shared" si="179"/>
        <v>0</v>
      </c>
      <c r="BQ414" s="638"/>
      <c r="BR414" s="638"/>
      <c r="BS414" s="635">
        <f t="shared" si="180"/>
        <v>0</v>
      </c>
      <c r="BT414" s="636">
        <v>7</v>
      </c>
      <c r="BU414" s="636">
        <v>62308</v>
      </c>
      <c r="BV414" s="637">
        <f t="shared" si="181"/>
        <v>356862.83920000005</v>
      </c>
      <c r="BW414" s="638">
        <v>5</v>
      </c>
      <c r="BX414" s="638">
        <v>61440</v>
      </c>
      <c r="BY414" s="641">
        <f t="shared" si="182"/>
        <v>251351.04000000001</v>
      </c>
    </row>
    <row r="415" spans="1:77" x14ac:dyDescent="0.2">
      <c r="A415" s="359" t="s">
        <v>79</v>
      </c>
      <c r="B415" s="302" t="s">
        <v>572</v>
      </c>
      <c r="C415" s="303"/>
      <c r="D415" s="301">
        <v>431017</v>
      </c>
      <c r="E415" s="199">
        <v>13</v>
      </c>
      <c r="F415" s="631"/>
      <c r="G415" s="632"/>
      <c r="H415" s="633">
        <f t="shared" si="159"/>
        <v>0</v>
      </c>
      <c r="I415" s="634"/>
      <c r="J415" s="634"/>
      <c r="K415" s="635">
        <f t="shared" si="160"/>
        <v>0</v>
      </c>
      <c r="L415" s="636"/>
      <c r="M415" s="636"/>
      <c r="N415" s="637">
        <f t="shared" si="161"/>
        <v>0</v>
      </c>
      <c r="O415" s="638"/>
      <c r="P415" s="638"/>
      <c r="Q415" s="635">
        <f t="shared" si="162"/>
        <v>0</v>
      </c>
      <c r="R415" s="636"/>
      <c r="S415" s="636"/>
      <c r="T415" s="637">
        <f t="shared" si="163"/>
        <v>0</v>
      </c>
      <c r="U415" s="638"/>
      <c r="V415" s="638"/>
      <c r="W415" s="635">
        <f t="shared" si="164"/>
        <v>0</v>
      </c>
      <c r="X415" s="636"/>
      <c r="Y415" s="636"/>
      <c r="Z415" s="637">
        <f t="shared" si="165"/>
        <v>0</v>
      </c>
      <c r="AA415" s="638"/>
      <c r="AB415" s="638"/>
      <c r="AC415" s="635">
        <f t="shared" si="166"/>
        <v>0</v>
      </c>
      <c r="AD415" s="636"/>
      <c r="AE415" s="636"/>
      <c r="AF415" s="637">
        <f t="shared" si="167"/>
        <v>0</v>
      </c>
      <c r="AG415" s="638"/>
      <c r="AH415" s="638"/>
      <c r="AI415" s="635">
        <f t="shared" si="168"/>
        <v>0</v>
      </c>
      <c r="AJ415" s="636">
        <v>19</v>
      </c>
      <c r="AK415" s="636">
        <v>52087</v>
      </c>
      <c r="AL415" s="637">
        <f t="shared" si="169"/>
        <v>989653</v>
      </c>
      <c r="AM415" s="638">
        <v>20</v>
      </c>
      <c r="AN415" s="638">
        <v>48537</v>
      </c>
      <c r="AO415" s="640">
        <f t="shared" si="170"/>
        <v>970740</v>
      </c>
      <c r="AP415" s="636"/>
      <c r="AQ415" s="636"/>
      <c r="AR415" s="637">
        <f t="shared" si="171"/>
        <v>0</v>
      </c>
      <c r="AS415" s="638"/>
      <c r="AT415" s="638"/>
      <c r="AU415" s="635">
        <f t="shared" si="172"/>
        <v>0</v>
      </c>
      <c r="AV415" s="636"/>
      <c r="AW415" s="636"/>
      <c r="AX415" s="637">
        <f t="shared" si="173"/>
        <v>0</v>
      </c>
      <c r="AY415" s="638"/>
      <c r="AZ415" s="638"/>
      <c r="BA415" s="635">
        <f t="shared" si="174"/>
        <v>0</v>
      </c>
      <c r="BB415" s="636"/>
      <c r="BC415" s="636"/>
      <c r="BD415" s="637">
        <f t="shared" si="175"/>
        <v>0</v>
      </c>
      <c r="BE415" s="638"/>
      <c r="BF415" s="638"/>
      <c r="BG415" s="635">
        <f t="shared" si="176"/>
        <v>0</v>
      </c>
      <c r="BH415" s="636"/>
      <c r="BI415" s="636"/>
      <c r="BJ415" s="637">
        <f t="shared" si="177"/>
        <v>0</v>
      </c>
      <c r="BK415" s="638"/>
      <c r="BL415" s="638"/>
      <c r="BM415" s="635">
        <f t="shared" si="178"/>
        <v>0</v>
      </c>
      <c r="BN415" s="636"/>
      <c r="BO415" s="636"/>
      <c r="BP415" s="637">
        <f t="shared" si="179"/>
        <v>0</v>
      </c>
      <c r="BQ415" s="638"/>
      <c r="BR415" s="638"/>
      <c r="BS415" s="635">
        <f t="shared" si="180"/>
        <v>0</v>
      </c>
      <c r="BT415" s="636">
        <v>6</v>
      </c>
      <c r="BU415" s="636">
        <v>62447</v>
      </c>
      <c r="BV415" s="637">
        <f t="shared" si="181"/>
        <v>306564.8124</v>
      </c>
      <c r="BW415" s="638">
        <v>4</v>
      </c>
      <c r="BX415" s="638">
        <v>58897</v>
      </c>
      <c r="BY415" s="641">
        <f t="shared" si="182"/>
        <v>192758.10159999999</v>
      </c>
    </row>
    <row r="416" spans="1:77" x14ac:dyDescent="0.2">
      <c r="A416" s="359" t="s">
        <v>79</v>
      </c>
      <c r="B416" s="360" t="s">
        <v>573</v>
      </c>
      <c r="C416" s="361"/>
      <c r="D416" s="301">
        <v>248606</v>
      </c>
      <c r="E416" s="199">
        <v>13</v>
      </c>
      <c r="F416" s="631"/>
      <c r="G416" s="632"/>
      <c r="H416" s="633">
        <f t="shared" si="159"/>
        <v>0</v>
      </c>
      <c r="I416" s="634"/>
      <c r="J416" s="634"/>
      <c r="K416" s="635">
        <f t="shared" si="160"/>
        <v>0</v>
      </c>
      <c r="L416" s="636"/>
      <c r="M416" s="636"/>
      <c r="N416" s="637">
        <f t="shared" si="161"/>
        <v>0</v>
      </c>
      <c r="O416" s="638"/>
      <c r="P416" s="638"/>
      <c r="Q416" s="635">
        <f t="shared" si="162"/>
        <v>0</v>
      </c>
      <c r="R416" s="636"/>
      <c r="S416" s="636"/>
      <c r="T416" s="637">
        <f t="shared" si="163"/>
        <v>0</v>
      </c>
      <c r="U416" s="638"/>
      <c r="V416" s="638"/>
      <c r="W416" s="635">
        <f t="shared" si="164"/>
        <v>0</v>
      </c>
      <c r="X416" s="636"/>
      <c r="Y416" s="636"/>
      <c r="Z416" s="637">
        <f t="shared" si="165"/>
        <v>0</v>
      </c>
      <c r="AA416" s="638"/>
      <c r="AB416" s="638"/>
      <c r="AC416" s="635">
        <f t="shared" si="166"/>
        <v>0</v>
      </c>
      <c r="AD416" s="636"/>
      <c r="AE416" s="636"/>
      <c r="AF416" s="637">
        <f t="shared" si="167"/>
        <v>0</v>
      </c>
      <c r="AG416" s="638"/>
      <c r="AH416" s="638"/>
      <c r="AI416" s="635">
        <f t="shared" si="168"/>
        <v>0</v>
      </c>
      <c r="AJ416" s="636">
        <v>45</v>
      </c>
      <c r="AK416" s="636">
        <v>56781</v>
      </c>
      <c r="AL416" s="637">
        <f t="shared" si="169"/>
        <v>2555145</v>
      </c>
      <c r="AM416" s="638">
        <v>47</v>
      </c>
      <c r="AN416" s="638">
        <v>57931</v>
      </c>
      <c r="AO416" s="640">
        <f t="shared" si="170"/>
        <v>2722757</v>
      </c>
      <c r="AP416" s="636"/>
      <c r="AQ416" s="636"/>
      <c r="AR416" s="637">
        <f t="shared" si="171"/>
        <v>0</v>
      </c>
      <c r="AS416" s="638"/>
      <c r="AT416" s="638"/>
      <c r="AU416" s="635">
        <f t="shared" si="172"/>
        <v>0</v>
      </c>
      <c r="AV416" s="636"/>
      <c r="AW416" s="636"/>
      <c r="AX416" s="637">
        <f t="shared" si="173"/>
        <v>0</v>
      </c>
      <c r="AY416" s="638"/>
      <c r="AZ416" s="638"/>
      <c r="BA416" s="635">
        <f t="shared" si="174"/>
        <v>0</v>
      </c>
      <c r="BB416" s="636"/>
      <c r="BC416" s="636"/>
      <c r="BD416" s="637">
        <f t="shared" si="175"/>
        <v>0</v>
      </c>
      <c r="BE416" s="638"/>
      <c r="BF416" s="638"/>
      <c r="BG416" s="635">
        <f t="shared" si="176"/>
        <v>0</v>
      </c>
      <c r="BH416" s="636"/>
      <c r="BI416" s="636"/>
      <c r="BJ416" s="637">
        <f t="shared" si="177"/>
        <v>0</v>
      </c>
      <c r="BK416" s="638"/>
      <c r="BL416" s="638"/>
      <c r="BM416" s="635">
        <f t="shared" si="178"/>
        <v>0</v>
      </c>
      <c r="BN416" s="636"/>
      <c r="BO416" s="636"/>
      <c r="BP416" s="637">
        <f t="shared" si="179"/>
        <v>0</v>
      </c>
      <c r="BQ416" s="638"/>
      <c r="BR416" s="638"/>
      <c r="BS416" s="635">
        <f t="shared" si="180"/>
        <v>0</v>
      </c>
      <c r="BT416" s="636">
        <v>1</v>
      </c>
      <c r="BU416" s="636">
        <v>48628</v>
      </c>
      <c r="BV416" s="637">
        <f t="shared" si="181"/>
        <v>39787.429600000003</v>
      </c>
      <c r="BW416" s="638">
        <v>1</v>
      </c>
      <c r="BX416" s="638">
        <v>49307</v>
      </c>
      <c r="BY416" s="641">
        <f t="shared" si="182"/>
        <v>40342.987400000005</v>
      </c>
    </row>
    <row r="417" spans="1:77" x14ac:dyDescent="0.2">
      <c r="A417" s="359" t="s">
        <v>79</v>
      </c>
      <c r="B417" s="302" t="s">
        <v>574</v>
      </c>
      <c r="C417" s="303"/>
      <c r="D417" s="301">
        <v>420459</v>
      </c>
      <c r="E417" s="199">
        <v>13</v>
      </c>
      <c r="F417" s="631"/>
      <c r="G417" s="632"/>
      <c r="H417" s="633">
        <f t="shared" si="159"/>
        <v>0</v>
      </c>
      <c r="I417" s="634"/>
      <c r="J417" s="634"/>
      <c r="K417" s="635">
        <f t="shared" si="160"/>
        <v>0</v>
      </c>
      <c r="L417" s="636"/>
      <c r="M417" s="636"/>
      <c r="N417" s="637">
        <f t="shared" si="161"/>
        <v>0</v>
      </c>
      <c r="O417" s="638"/>
      <c r="P417" s="638"/>
      <c r="Q417" s="635">
        <f t="shared" si="162"/>
        <v>0</v>
      </c>
      <c r="R417" s="636"/>
      <c r="S417" s="636"/>
      <c r="T417" s="637">
        <f t="shared" si="163"/>
        <v>0</v>
      </c>
      <c r="U417" s="638"/>
      <c r="V417" s="638"/>
      <c r="W417" s="635">
        <f t="shared" si="164"/>
        <v>0</v>
      </c>
      <c r="X417" s="636"/>
      <c r="Y417" s="636"/>
      <c r="Z417" s="637">
        <f t="shared" si="165"/>
        <v>0</v>
      </c>
      <c r="AA417" s="638"/>
      <c r="AB417" s="638"/>
      <c r="AC417" s="635">
        <f t="shared" si="166"/>
        <v>0</v>
      </c>
      <c r="AD417" s="636"/>
      <c r="AE417" s="636"/>
      <c r="AF417" s="637">
        <f t="shared" si="167"/>
        <v>0</v>
      </c>
      <c r="AG417" s="638"/>
      <c r="AH417" s="638"/>
      <c r="AI417" s="635">
        <f t="shared" si="168"/>
        <v>0</v>
      </c>
      <c r="AJ417" s="636">
        <v>15</v>
      </c>
      <c r="AK417" s="636">
        <v>54746</v>
      </c>
      <c r="AL417" s="637">
        <f t="shared" si="169"/>
        <v>821190</v>
      </c>
      <c r="AM417" s="638">
        <v>15</v>
      </c>
      <c r="AN417" s="638">
        <v>54539</v>
      </c>
      <c r="AO417" s="640">
        <f t="shared" si="170"/>
        <v>818085</v>
      </c>
      <c r="AP417" s="636"/>
      <c r="AQ417" s="636"/>
      <c r="AR417" s="637">
        <f t="shared" si="171"/>
        <v>0</v>
      </c>
      <c r="AS417" s="638"/>
      <c r="AT417" s="638"/>
      <c r="AU417" s="635">
        <f t="shared" si="172"/>
        <v>0</v>
      </c>
      <c r="AV417" s="636"/>
      <c r="AW417" s="636"/>
      <c r="AX417" s="637">
        <f t="shared" si="173"/>
        <v>0</v>
      </c>
      <c r="AY417" s="638"/>
      <c r="AZ417" s="638"/>
      <c r="BA417" s="635">
        <f t="shared" si="174"/>
        <v>0</v>
      </c>
      <c r="BB417" s="636"/>
      <c r="BC417" s="636"/>
      <c r="BD417" s="637">
        <f t="shared" si="175"/>
        <v>0</v>
      </c>
      <c r="BE417" s="638"/>
      <c r="BF417" s="638"/>
      <c r="BG417" s="635">
        <f t="shared" si="176"/>
        <v>0</v>
      </c>
      <c r="BH417" s="636"/>
      <c r="BI417" s="636"/>
      <c r="BJ417" s="637">
        <f t="shared" si="177"/>
        <v>0</v>
      </c>
      <c r="BK417" s="638"/>
      <c r="BL417" s="638"/>
      <c r="BM417" s="635">
        <f t="shared" si="178"/>
        <v>0</v>
      </c>
      <c r="BN417" s="636"/>
      <c r="BO417" s="636"/>
      <c r="BP417" s="637">
        <f t="shared" si="179"/>
        <v>0</v>
      </c>
      <c r="BQ417" s="638"/>
      <c r="BR417" s="638"/>
      <c r="BS417" s="635">
        <f t="shared" si="180"/>
        <v>0</v>
      </c>
      <c r="BT417" s="636">
        <v>4</v>
      </c>
      <c r="BU417" s="636">
        <v>64766</v>
      </c>
      <c r="BV417" s="637">
        <f t="shared" si="181"/>
        <v>211966.1648</v>
      </c>
      <c r="BW417" s="638">
        <v>4</v>
      </c>
      <c r="BX417" s="638">
        <v>65885</v>
      </c>
      <c r="BY417" s="641">
        <f t="shared" si="182"/>
        <v>215628.42800000001</v>
      </c>
    </row>
    <row r="418" spans="1:77" x14ac:dyDescent="0.2">
      <c r="A418" s="365" t="s">
        <v>79</v>
      </c>
      <c r="B418" s="366" t="s">
        <v>590</v>
      </c>
      <c r="C418" s="367" t="s">
        <v>877</v>
      </c>
      <c r="D418" s="368">
        <v>456560</v>
      </c>
      <c r="E418" s="424">
        <v>13</v>
      </c>
      <c r="F418" s="631"/>
      <c r="G418" s="632"/>
      <c r="H418" s="633">
        <f t="shared" si="159"/>
        <v>0</v>
      </c>
      <c r="I418" s="634"/>
      <c r="J418" s="634"/>
      <c r="K418" s="635">
        <f t="shared" si="160"/>
        <v>0</v>
      </c>
      <c r="L418" s="636"/>
      <c r="M418" s="636"/>
      <c r="N418" s="637">
        <f t="shared" si="161"/>
        <v>0</v>
      </c>
      <c r="O418" s="638"/>
      <c r="P418" s="638"/>
      <c r="Q418" s="635">
        <f t="shared" si="162"/>
        <v>0</v>
      </c>
      <c r="R418" s="636"/>
      <c r="S418" s="636"/>
      <c r="T418" s="637">
        <f t="shared" si="163"/>
        <v>0</v>
      </c>
      <c r="U418" s="638"/>
      <c r="V418" s="638"/>
      <c r="W418" s="635">
        <f t="shared" si="164"/>
        <v>0</v>
      </c>
      <c r="X418" s="636"/>
      <c r="Y418" s="636"/>
      <c r="Z418" s="637">
        <f t="shared" si="165"/>
        <v>0</v>
      </c>
      <c r="AA418" s="638"/>
      <c r="AB418" s="638"/>
      <c r="AC418" s="635">
        <f t="shared" si="166"/>
        <v>0</v>
      </c>
      <c r="AD418" s="636"/>
      <c r="AE418" s="636"/>
      <c r="AF418" s="637">
        <f t="shared" si="167"/>
        <v>0</v>
      </c>
      <c r="AG418" s="638"/>
      <c r="AH418" s="638"/>
      <c r="AI418" s="635">
        <f t="shared" si="168"/>
        <v>0</v>
      </c>
      <c r="AJ418" s="636">
        <v>4</v>
      </c>
      <c r="AK418" s="636">
        <v>49487</v>
      </c>
      <c r="AL418" s="637">
        <f t="shared" si="169"/>
        <v>197948</v>
      </c>
      <c r="AM418" s="638">
        <v>4</v>
      </c>
      <c r="AN418" s="638">
        <v>50036</v>
      </c>
      <c r="AO418" s="640">
        <f t="shared" si="170"/>
        <v>200144</v>
      </c>
      <c r="AP418" s="636"/>
      <c r="AQ418" s="636"/>
      <c r="AR418" s="637">
        <f t="shared" si="171"/>
        <v>0</v>
      </c>
      <c r="AS418" s="638"/>
      <c r="AT418" s="638"/>
      <c r="AU418" s="635">
        <f t="shared" si="172"/>
        <v>0</v>
      </c>
      <c r="AV418" s="636"/>
      <c r="AW418" s="636"/>
      <c r="AX418" s="637">
        <f t="shared" si="173"/>
        <v>0</v>
      </c>
      <c r="AY418" s="638"/>
      <c r="AZ418" s="638"/>
      <c r="BA418" s="635">
        <f t="shared" si="174"/>
        <v>0</v>
      </c>
      <c r="BB418" s="636"/>
      <c r="BC418" s="636"/>
      <c r="BD418" s="637">
        <f t="shared" si="175"/>
        <v>0</v>
      </c>
      <c r="BE418" s="638"/>
      <c r="BF418" s="638"/>
      <c r="BG418" s="635">
        <f t="shared" si="176"/>
        <v>0</v>
      </c>
      <c r="BH418" s="636"/>
      <c r="BI418" s="636"/>
      <c r="BJ418" s="637">
        <f t="shared" si="177"/>
        <v>0</v>
      </c>
      <c r="BK418" s="638"/>
      <c r="BL418" s="638"/>
      <c r="BM418" s="635">
        <f t="shared" si="178"/>
        <v>0</v>
      </c>
      <c r="BN418" s="636"/>
      <c r="BO418" s="636"/>
      <c r="BP418" s="637">
        <f t="shared" si="179"/>
        <v>0</v>
      </c>
      <c r="BQ418" s="638"/>
      <c r="BR418" s="638"/>
      <c r="BS418" s="635">
        <f t="shared" si="180"/>
        <v>0</v>
      </c>
      <c r="BT418" s="636">
        <v>2</v>
      </c>
      <c r="BU418" s="636">
        <v>59010</v>
      </c>
      <c r="BV418" s="637">
        <f t="shared" si="181"/>
        <v>96563.964000000007</v>
      </c>
      <c r="BW418" s="638">
        <v>2</v>
      </c>
      <c r="BX418" s="638">
        <v>59956</v>
      </c>
      <c r="BY418" s="641">
        <f t="shared" si="182"/>
        <v>98111.998400000011</v>
      </c>
    </row>
    <row r="419" spans="1:77" x14ac:dyDescent="0.2">
      <c r="A419" s="359" t="s">
        <v>79</v>
      </c>
      <c r="B419" s="362" t="s">
        <v>575</v>
      </c>
      <c r="C419" s="363"/>
      <c r="D419" s="364">
        <v>432074</v>
      </c>
      <c r="E419" s="199">
        <v>13</v>
      </c>
      <c r="F419" s="631"/>
      <c r="G419" s="632"/>
      <c r="H419" s="633">
        <f t="shared" si="159"/>
        <v>0</v>
      </c>
      <c r="I419" s="634"/>
      <c r="J419" s="634"/>
      <c r="K419" s="635">
        <f t="shared" si="160"/>
        <v>0</v>
      </c>
      <c r="L419" s="636"/>
      <c r="M419" s="636"/>
      <c r="N419" s="637">
        <f t="shared" si="161"/>
        <v>0</v>
      </c>
      <c r="O419" s="638"/>
      <c r="P419" s="638"/>
      <c r="Q419" s="635">
        <f t="shared" si="162"/>
        <v>0</v>
      </c>
      <c r="R419" s="636"/>
      <c r="S419" s="636"/>
      <c r="T419" s="637">
        <f t="shared" si="163"/>
        <v>0</v>
      </c>
      <c r="U419" s="638"/>
      <c r="V419" s="638"/>
      <c r="W419" s="635">
        <f t="shared" si="164"/>
        <v>0</v>
      </c>
      <c r="X419" s="636"/>
      <c r="Y419" s="636"/>
      <c r="Z419" s="637">
        <f t="shared" si="165"/>
        <v>0</v>
      </c>
      <c r="AA419" s="638"/>
      <c r="AB419" s="638"/>
      <c r="AC419" s="635">
        <f t="shared" si="166"/>
        <v>0</v>
      </c>
      <c r="AD419" s="636"/>
      <c r="AE419" s="636"/>
      <c r="AF419" s="637">
        <f t="shared" si="167"/>
        <v>0</v>
      </c>
      <c r="AG419" s="638"/>
      <c r="AH419" s="638"/>
      <c r="AI419" s="635">
        <f t="shared" si="168"/>
        <v>0</v>
      </c>
      <c r="AJ419" s="636">
        <v>6</v>
      </c>
      <c r="AK419" s="636">
        <v>50328</v>
      </c>
      <c r="AL419" s="637">
        <f t="shared" si="169"/>
        <v>301968</v>
      </c>
      <c r="AM419" s="638">
        <v>6</v>
      </c>
      <c r="AN419" s="638">
        <v>50871</v>
      </c>
      <c r="AO419" s="640">
        <f t="shared" si="170"/>
        <v>305226</v>
      </c>
      <c r="AP419" s="636"/>
      <c r="AQ419" s="636"/>
      <c r="AR419" s="637">
        <f t="shared" si="171"/>
        <v>0</v>
      </c>
      <c r="AS419" s="638"/>
      <c r="AT419" s="638"/>
      <c r="AU419" s="635">
        <f t="shared" si="172"/>
        <v>0</v>
      </c>
      <c r="AV419" s="636"/>
      <c r="AW419" s="636"/>
      <c r="AX419" s="637">
        <f t="shared" si="173"/>
        <v>0</v>
      </c>
      <c r="AY419" s="638"/>
      <c r="AZ419" s="638"/>
      <c r="BA419" s="635">
        <f t="shared" si="174"/>
        <v>0</v>
      </c>
      <c r="BB419" s="636"/>
      <c r="BC419" s="636"/>
      <c r="BD419" s="637">
        <f t="shared" si="175"/>
        <v>0</v>
      </c>
      <c r="BE419" s="638"/>
      <c r="BF419" s="638"/>
      <c r="BG419" s="635">
        <f t="shared" si="176"/>
        <v>0</v>
      </c>
      <c r="BH419" s="636"/>
      <c r="BI419" s="636"/>
      <c r="BJ419" s="637">
        <f t="shared" si="177"/>
        <v>0</v>
      </c>
      <c r="BK419" s="638"/>
      <c r="BL419" s="638"/>
      <c r="BM419" s="635">
        <f t="shared" si="178"/>
        <v>0</v>
      </c>
      <c r="BN419" s="636"/>
      <c r="BO419" s="636"/>
      <c r="BP419" s="637">
        <f t="shared" si="179"/>
        <v>0</v>
      </c>
      <c r="BQ419" s="638"/>
      <c r="BR419" s="638"/>
      <c r="BS419" s="635">
        <f t="shared" si="180"/>
        <v>0</v>
      </c>
      <c r="BT419" s="636">
        <v>3</v>
      </c>
      <c r="BU419" s="636">
        <v>64983</v>
      </c>
      <c r="BV419" s="637">
        <f t="shared" si="181"/>
        <v>159507.27180000002</v>
      </c>
      <c r="BW419" s="638">
        <v>3</v>
      </c>
      <c r="BX419" s="638">
        <v>65660</v>
      </c>
      <c r="BY419" s="641">
        <f t="shared" si="182"/>
        <v>161169.03600000002</v>
      </c>
    </row>
    <row r="420" spans="1:77" x14ac:dyDescent="0.2">
      <c r="A420" s="359" t="s">
        <v>79</v>
      </c>
      <c r="B420" s="362" t="s">
        <v>576</v>
      </c>
      <c r="C420" s="363"/>
      <c r="D420" s="364">
        <v>418339</v>
      </c>
      <c r="E420" s="199">
        <v>13</v>
      </c>
      <c r="F420" s="631"/>
      <c r="G420" s="632"/>
      <c r="H420" s="633">
        <f t="shared" si="159"/>
        <v>0</v>
      </c>
      <c r="I420" s="634"/>
      <c r="J420" s="634"/>
      <c r="K420" s="635">
        <f t="shared" si="160"/>
        <v>0</v>
      </c>
      <c r="L420" s="636"/>
      <c r="M420" s="636"/>
      <c r="N420" s="637">
        <f t="shared" si="161"/>
        <v>0</v>
      </c>
      <c r="O420" s="638"/>
      <c r="P420" s="638"/>
      <c r="Q420" s="635">
        <f t="shared" si="162"/>
        <v>0</v>
      </c>
      <c r="R420" s="636"/>
      <c r="S420" s="636"/>
      <c r="T420" s="637">
        <f t="shared" si="163"/>
        <v>0</v>
      </c>
      <c r="U420" s="638"/>
      <c r="V420" s="638"/>
      <c r="W420" s="635">
        <f t="shared" si="164"/>
        <v>0</v>
      </c>
      <c r="X420" s="636"/>
      <c r="Y420" s="636"/>
      <c r="Z420" s="637">
        <f t="shared" si="165"/>
        <v>0</v>
      </c>
      <c r="AA420" s="638"/>
      <c r="AB420" s="638"/>
      <c r="AC420" s="635">
        <f t="shared" si="166"/>
        <v>0</v>
      </c>
      <c r="AD420" s="636"/>
      <c r="AE420" s="636"/>
      <c r="AF420" s="637">
        <f t="shared" si="167"/>
        <v>0</v>
      </c>
      <c r="AG420" s="638"/>
      <c r="AH420" s="638"/>
      <c r="AI420" s="635">
        <f t="shared" si="168"/>
        <v>0</v>
      </c>
      <c r="AJ420" s="636">
        <v>14</v>
      </c>
      <c r="AK420" s="636">
        <v>55037</v>
      </c>
      <c r="AL420" s="637">
        <f t="shared" si="169"/>
        <v>770518</v>
      </c>
      <c r="AM420" s="638">
        <v>13</v>
      </c>
      <c r="AN420" s="638">
        <v>53187</v>
      </c>
      <c r="AO420" s="640">
        <f t="shared" si="170"/>
        <v>691431</v>
      </c>
      <c r="AP420" s="636"/>
      <c r="AQ420" s="636"/>
      <c r="AR420" s="637">
        <f t="shared" si="171"/>
        <v>0</v>
      </c>
      <c r="AS420" s="638"/>
      <c r="AT420" s="638"/>
      <c r="AU420" s="635">
        <f t="shared" si="172"/>
        <v>0</v>
      </c>
      <c r="AV420" s="636"/>
      <c r="AW420" s="636"/>
      <c r="AX420" s="637">
        <f t="shared" si="173"/>
        <v>0</v>
      </c>
      <c r="AY420" s="638"/>
      <c r="AZ420" s="638"/>
      <c r="BA420" s="635">
        <f t="shared" si="174"/>
        <v>0</v>
      </c>
      <c r="BB420" s="636"/>
      <c r="BC420" s="636"/>
      <c r="BD420" s="637">
        <f t="shared" si="175"/>
        <v>0</v>
      </c>
      <c r="BE420" s="638"/>
      <c r="BF420" s="638"/>
      <c r="BG420" s="635">
        <f t="shared" si="176"/>
        <v>0</v>
      </c>
      <c r="BH420" s="636"/>
      <c r="BI420" s="636"/>
      <c r="BJ420" s="637">
        <f t="shared" si="177"/>
        <v>0</v>
      </c>
      <c r="BK420" s="638"/>
      <c r="BL420" s="638"/>
      <c r="BM420" s="635">
        <f t="shared" si="178"/>
        <v>0</v>
      </c>
      <c r="BN420" s="636"/>
      <c r="BO420" s="636"/>
      <c r="BP420" s="637">
        <f t="shared" si="179"/>
        <v>0</v>
      </c>
      <c r="BQ420" s="638"/>
      <c r="BR420" s="638"/>
      <c r="BS420" s="635">
        <f t="shared" si="180"/>
        <v>0</v>
      </c>
      <c r="BT420" s="636">
        <v>3</v>
      </c>
      <c r="BU420" s="636">
        <v>62244</v>
      </c>
      <c r="BV420" s="637">
        <f t="shared" si="181"/>
        <v>152784.12239999999</v>
      </c>
      <c r="BW420" s="638">
        <v>3</v>
      </c>
      <c r="BX420" s="638">
        <v>62917</v>
      </c>
      <c r="BY420" s="641">
        <f t="shared" si="182"/>
        <v>154436.06820000001</v>
      </c>
    </row>
    <row r="421" spans="1:77" x14ac:dyDescent="0.2">
      <c r="A421" s="359" t="s">
        <v>79</v>
      </c>
      <c r="B421" s="362" t="s">
        <v>577</v>
      </c>
      <c r="C421" s="363"/>
      <c r="D421" s="364">
        <v>366623</v>
      </c>
      <c r="E421" s="199">
        <v>13</v>
      </c>
      <c r="F421" s="631"/>
      <c r="G421" s="632"/>
      <c r="H421" s="633">
        <f t="shared" si="159"/>
        <v>0</v>
      </c>
      <c r="I421" s="634"/>
      <c r="J421" s="634"/>
      <c r="K421" s="635">
        <f t="shared" si="160"/>
        <v>0</v>
      </c>
      <c r="L421" s="636"/>
      <c r="M421" s="636"/>
      <c r="N421" s="637">
        <f t="shared" si="161"/>
        <v>0</v>
      </c>
      <c r="O421" s="638"/>
      <c r="P421" s="638"/>
      <c r="Q421" s="635">
        <f t="shared" si="162"/>
        <v>0</v>
      </c>
      <c r="R421" s="636"/>
      <c r="S421" s="636"/>
      <c r="T421" s="637">
        <f t="shared" si="163"/>
        <v>0</v>
      </c>
      <c r="U421" s="638"/>
      <c r="V421" s="638"/>
      <c r="W421" s="635">
        <f t="shared" si="164"/>
        <v>0</v>
      </c>
      <c r="X421" s="636"/>
      <c r="Y421" s="636"/>
      <c r="Z421" s="637">
        <f t="shared" si="165"/>
        <v>0</v>
      </c>
      <c r="AA421" s="638"/>
      <c r="AB421" s="638"/>
      <c r="AC421" s="635">
        <f t="shared" si="166"/>
        <v>0</v>
      </c>
      <c r="AD421" s="636"/>
      <c r="AE421" s="636"/>
      <c r="AF421" s="637">
        <f t="shared" si="167"/>
        <v>0</v>
      </c>
      <c r="AG421" s="638"/>
      <c r="AH421" s="638"/>
      <c r="AI421" s="635">
        <f t="shared" si="168"/>
        <v>0</v>
      </c>
      <c r="AJ421" s="636">
        <v>5</v>
      </c>
      <c r="AK421" s="636">
        <v>50580</v>
      </c>
      <c r="AL421" s="637">
        <f t="shared" si="169"/>
        <v>252900</v>
      </c>
      <c r="AM421" s="638">
        <v>6</v>
      </c>
      <c r="AN421" s="638">
        <v>51471</v>
      </c>
      <c r="AO421" s="640">
        <f t="shared" si="170"/>
        <v>308826</v>
      </c>
      <c r="AP421" s="636"/>
      <c r="AQ421" s="636"/>
      <c r="AR421" s="637">
        <f t="shared" si="171"/>
        <v>0</v>
      </c>
      <c r="AS421" s="638"/>
      <c r="AT421" s="638"/>
      <c r="AU421" s="635">
        <f t="shared" si="172"/>
        <v>0</v>
      </c>
      <c r="AV421" s="636"/>
      <c r="AW421" s="636"/>
      <c r="AX421" s="637">
        <f t="shared" si="173"/>
        <v>0</v>
      </c>
      <c r="AY421" s="638"/>
      <c r="AZ421" s="638"/>
      <c r="BA421" s="635">
        <f t="shared" si="174"/>
        <v>0</v>
      </c>
      <c r="BB421" s="636"/>
      <c r="BC421" s="636"/>
      <c r="BD421" s="637">
        <f t="shared" si="175"/>
        <v>0</v>
      </c>
      <c r="BE421" s="638"/>
      <c r="BF421" s="638"/>
      <c r="BG421" s="635">
        <f t="shared" si="176"/>
        <v>0</v>
      </c>
      <c r="BH421" s="636"/>
      <c r="BI421" s="636"/>
      <c r="BJ421" s="637">
        <f t="shared" si="177"/>
        <v>0</v>
      </c>
      <c r="BK421" s="638"/>
      <c r="BL421" s="638"/>
      <c r="BM421" s="635">
        <f t="shared" si="178"/>
        <v>0</v>
      </c>
      <c r="BN421" s="636"/>
      <c r="BO421" s="636"/>
      <c r="BP421" s="637">
        <f t="shared" si="179"/>
        <v>0</v>
      </c>
      <c r="BQ421" s="638"/>
      <c r="BR421" s="638"/>
      <c r="BS421" s="635">
        <f t="shared" si="180"/>
        <v>0</v>
      </c>
      <c r="BT421" s="636">
        <v>1</v>
      </c>
      <c r="BU421" s="636">
        <v>60552</v>
      </c>
      <c r="BV421" s="637">
        <f t="shared" si="181"/>
        <v>49543.646400000005</v>
      </c>
      <c r="BW421" s="638">
        <v>1</v>
      </c>
      <c r="BX421" s="638">
        <v>61000</v>
      </c>
      <c r="BY421" s="641">
        <f t="shared" si="182"/>
        <v>49910.200000000004</v>
      </c>
    </row>
    <row r="422" spans="1:77" x14ac:dyDescent="0.2">
      <c r="A422" s="359" t="s">
        <v>79</v>
      </c>
      <c r="B422" s="362" t="s">
        <v>578</v>
      </c>
      <c r="C422" s="363"/>
      <c r="D422" s="364">
        <v>407601</v>
      </c>
      <c r="E422" s="199">
        <v>13</v>
      </c>
      <c r="F422" s="631"/>
      <c r="G422" s="632"/>
      <c r="H422" s="633">
        <f t="shared" si="159"/>
        <v>0</v>
      </c>
      <c r="I422" s="634"/>
      <c r="J422" s="634"/>
      <c r="K422" s="635">
        <f t="shared" si="160"/>
        <v>0</v>
      </c>
      <c r="L422" s="636"/>
      <c r="M422" s="636"/>
      <c r="N422" s="637">
        <f t="shared" si="161"/>
        <v>0</v>
      </c>
      <c r="O422" s="638"/>
      <c r="P422" s="638"/>
      <c r="Q422" s="635">
        <f t="shared" si="162"/>
        <v>0</v>
      </c>
      <c r="R422" s="636"/>
      <c r="S422" s="636"/>
      <c r="T422" s="637">
        <f t="shared" si="163"/>
        <v>0</v>
      </c>
      <c r="U422" s="638"/>
      <c r="V422" s="638"/>
      <c r="W422" s="635">
        <f t="shared" si="164"/>
        <v>0</v>
      </c>
      <c r="X422" s="636"/>
      <c r="Y422" s="636"/>
      <c r="Z422" s="637">
        <f t="shared" si="165"/>
        <v>0</v>
      </c>
      <c r="AA422" s="638"/>
      <c r="AB422" s="638"/>
      <c r="AC422" s="635">
        <f t="shared" si="166"/>
        <v>0</v>
      </c>
      <c r="AD422" s="636"/>
      <c r="AE422" s="636"/>
      <c r="AF422" s="637">
        <f t="shared" si="167"/>
        <v>0</v>
      </c>
      <c r="AG422" s="638"/>
      <c r="AH422" s="638"/>
      <c r="AI422" s="635">
        <f t="shared" si="168"/>
        <v>0</v>
      </c>
      <c r="AJ422" s="636">
        <v>6</v>
      </c>
      <c r="AK422" s="636">
        <v>50260</v>
      </c>
      <c r="AL422" s="637">
        <f t="shared" si="169"/>
        <v>301560</v>
      </c>
      <c r="AM422" s="638">
        <v>6</v>
      </c>
      <c r="AN422" s="638">
        <v>51803</v>
      </c>
      <c r="AO422" s="640">
        <f t="shared" si="170"/>
        <v>310818</v>
      </c>
      <c r="AP422" s="636"/>
      <c r="AQ422" s="636"/>
      <c r="AR422" s="637">
        <f t="shared" si="171"/>
        <v>0</v>
      </c>
      <c r="AS422" s="638"/>
      <c r="AT422" s="638"/>
      <c r="AU422" s="635">
        <f t="shared" si="172"/>
        <v>0</v>
      </c>
      <c r="AV422" s="636"/>
      <c r="AW422" s="636"/>
      <c r="AX422" s="637">
        <f t="shared" si="173"/>
        <v>0</v>
      </c>
      <c r="AY422" s="638"/>
      <c r="AZ422" s="638"/>
      <c r="BA422" s="635">
        <f t="shared" si="174"/>
        <v>0</v>
      </c>
      <c r="BB422" s="636"/>
      <c r="BC422" s="636"/>
      <c r="BD422" s="637">
        <f t="shared" si="175"/>
        <v>0</v>
      </c>
      <c r="BE422" s="638"/>
      <c r="BF422" s="638"/>
      <c r="BG422" s="635">
        <f t="shared" si="176"/>
        <v>0</v>
      </c>
      <c r="BH422" s="636"/>
      <c r="BI422" s="636"/>
      <c r="BJ422" s="637">
        <f t="shared" si="177"/>
        <v>0</v>
      </c>
      <c r="BK422" s="638"/>
      <c r="BL422" s="638"/>
      <c r="BM422" s="635">
        <f t="shared" si="178"/>
        <v>0</v>
      </c>
      <c r="BN422" s="636"/>
      <c r="BO422" s="636"/>
      <c r="BP422" s="637">
        <f t="shared" si="179"/>
        <v>0</v>
      </c>
      <c r="BQ422" s="638"/>
      <c r="BR422" s="638"/>
      <c r="BS422" s="635">
        <f t="shared" si="180"/>
        <v>0</v>
      </c>
      <c r="BT422" s="636"/>
      <c r="BU422" s="636"/>
      <c r="BV422" s="637">
        <f t="shared" si="181"/>
        <v>0</v>
      </c>
      <c r="BW422" s="638"/>
      <c r="BX422" s="638"/>
      <c r="BY422" s="641">
        <f t="shared" si="182"/>
        <v>0</v>
      </c>
    </row>
    <row r="423" spans="1:77" x14ac:dyDescent="0.2">
      <c r="A423" s="359" t="s">
        <v>79</v>
      </c>
      <c r="B423" s="362" t="s">
        <v>579</v>
      </c>
      <c r="C423" s="363"/>
      <c r="D423" s="364">
        <v>364627</v>
      </c>
      <c r="E423" s="199">
        <v>13</v>
      </c>
      <c r="F423" s="631"/>
      <c r="G423" s="632"/>
      <c r="H423" s="633">
        <f t="shared" si="159"/>
        <v>0</v>
      </c>
      <c r="I423" s="634"/>
      <c r="J423" s="634"/>
      <c r="K423" s="635">
        <f t="shared" si="160"/>
        <v>0</v>
      </c>
      <c r="L423" s="636"/>
      <c r="M423" s="636"/>
      <c r="N423" s="637">
        <f t="shared" si="161"/>
        <v>0</v>
      </c>
      <c r="O423" s="638"/>
      <c r="P423" s="638"/>
      <c r="Q423" s="635">
        <f t="shared" si="162"/>
        <v>0</v>
      </c>
      <c r="R423" s="636"/>
      <c r="S423" s="636"/>
      <c r="T423" s="637">
        <f t="shared" si="163"/>
        <v>0</v>
      </c>
      <c r="U423" s="638"/>
      <c r="V423" s="638"/>
      <c r="W423" s="635">
        <f t="shared" si="164"/>
        <v>0</v>
      </c>
      <c r="X423" s="636"/>
      <c r="Y423" s="636"/>
      <c r="Z423" s="637">
        <f t="shared" si="165"/>
        <v>0</v>
      </c>
      <c r="AA423" s="638"/>
      <c r="AB423" s="638"/>
      <c r="AC423" s="635">
        <f t="shared" si="166"/>
        <v>0</v>
      </c>
      <c r="AD423" s="636"/>
      <c r="AE423" s="636"/>
      <c r="AF423" s="637">
        <f t="shared" si="167"/>
        <v>0</v>
      </c>
      <c r="AG423" s="638"/>
      <c r="AH423" s="638"/>
      <c r="AI423" s="635">
        <f t="shared" si="168"/>
        <v>0</v>
      </c>
      <c r="AJ423" s="636">
        <v>12</v>
      </c>
      <c r="AK423" s="636">
        <v>49405</v>
      </c>
      <c r="AL423" s="637">
        <f t="shared" si="169"/>
        <v>592860</v>
      </c>
      <c r="AM423" s="638">
        <v>11</v>
      </c>
      <c r="AN423" s="638">
        <v>49308</v>
      </c>
      <c r="AO423" s="640">
        <f t="shared" si="170"/>
        <v>542388</v>
      </c>
      <c r="AP423" s="636"/>
      <c r="AQ423" s="636"/>
      <c r="AR423" s="637">
        <f t="shared" si="171"/>
        <v>0</v>
      </c>
      <c r="AS423" s="638"/>
      <c r="AT423" s="638"/>
      <c r="AU423" s="635">
        <f t="shared" si="172"/>
        <v>0</v>
      </c>
      <c r="AV423" s="636"/>
      <c r="AW423" s="636"/>
      <c r="AX423" s="637">
        <f t="shared" si="173"/>
        <v>0</v>
      </c>
      <c r="AY423" s="638"/>
      <c r="AZ423" s="638"/>
      <c r="BA423" s="635">
        <f t="shared" si="174"/>
        <v>0</v>
      </c>
      <c r="BB423" s="636"/>
      <c r="BC423" s="636"/>
      <c r="BD423" s="637">
        <f t="shared" si="175"/>
        <v>0</v>
      </c>
      <c r="BE423" s="638"/>
      <c r="BF423" s="638"/>
      <c r="BG423" s="635">
        <f t="shared" si="176"/>
        <v>0</v>
      </c>
      <c r="BH423" s="636"/>
      <c r="BI423" s="636"/>
      <c r="BJ423" s="637">
        <f t="shared" si="177"/>
        <v>0</v>
      </c>
      <c r="BK423" s="638"/>
      <c r="BL423" s="638"/>
      <c r="BM423" s="635">
        <f t="shared" si="178"/>
        <v>0</v>
      </c>
      <c r="BN423" s="636"/>
      <c r="BO423" s="636"/>
      <c r="BP423" s="637">
        <f t="shared" si="179"/>
        <v>0</v>
      </c>
      <c r="BQ423" s="638"/>
      <c r="BR423" s="638"/>
      <c r="BS423" s="635">
        <f t="shared" si="180"/>
        <v>0</v>
      </c>
      <c r="BT423" s="636">
        <v>13</v>
      </c>
      <c r="BU423" s="636">
        <v>54695</v>
      </c>
      <c r="BV423" s="637">
        <f t="shared" si="181"/>
        <v>581768.83700000006</v>
      </c>
      <c r="BW423" s="638">
        <v>12</v>
      </c>
      <c r="BX423" s="638">
        <v>55022</v>
      </c>
      <c r="BY423" s="641">
        <f t="shared" si="182"/>
        <v>540228.0048</v>
      </c>
    </row>
    <row r="424" spans="1:77" x14ac:dyDescent="0.2">
      <c r="A424" s="359" t="s">
        <v>79</v>
      </c>
      <c r="B424" s="362" t="s">
        <v>580</v>
      </c>
      <c r="C424" s="363"/>
      <c r="D424" s="364">
        <v>206905</v>
      </c>
      <c r="E424" s="199">
        <v>13</v>
      </c>
      <c r="F424" s="631"/>
      <c r="G424" s="632"/>
      <c r="H424" s="633">
        <f t="shared" si="159"/>
        <v>0</v>
      </c>
      <c r="I424" s="634"/>
      <c r="J424" s="634"/>
      <c r="K424" s="635">
        <f t="shared" si="160"/>
        <v>0</v>
      </c>
      <c r="L424" s="636"/>
      <c r="M424" s="636"/>
      <c r="N424" s="637">
        <f t="shared" si="161"/>
        <v>0</v>
      </c>
      <c r="O424" s="638"/>
      <c r="P424" s="638"/>
      <c r="Q424" s="635">
        <f t="shared" si="162"/>
        <v>0</v>
      </c>
      <c r="R424" s="636"/>
      <c r="S424" s="636"/>
      <c r="T424" s="637">
        <f t="shared" si="163"/>
        <v>0</v>
      </c>
      <c r="U424" s="638"/>
      <c r="V424" s="638"/>
      <c r="W424" s="635">
        <f t="shared" si="164"/>
        <v>0</v>
      </c>
      <c r="X424" s="636"/>
      <c r="Y424" s="636"/>
      <c r="Z424" s="637">
        <f t="shared" si="165"/>
        <v>0</v>
      </c>
      <c r="AA424" s="638"/>
      <c r="AB424" s="638"/>
      <c r="AC424" s="635">
        <f t="shared" si="166"/>
        <v>0</v>
      </c>
      <c r="AD424" s="636"/>
      <c r="AE424" s="636"/>
      <c r="AF424" s="637">
        <f t="shared" si="167"/>
        <v>0</v>
      </c>
      <c r="AG424" s="638"/>
      <c r="AH424" s="638"/>
      <c r="AI424" s="635">
        <f t="shared" si="168"/>
        <v>0</v>
      </c>
      <c r="AJ424" s="636">
        <v>6</v>
      </c>
      <c r="AK424" s="636">
        <v>43420</v>
      </c>
      <c r="AL424" s="637">
        <f t="shared" si="169"/>
        <v>260520</v>
      </c>
      <c r="AM424" s="638">
        <v>6</v>
      </c>
      <c r="AN424" s="638">
        <v>42295</v>
      </c>
      <c r="AO424" s="640">
        <f t="shared" si="170"/>
        <v>253770</v>
      </c>
      <c r="AP424" s="636"/>
      <c r="AQ424" s="636"/>
      <c r="AR424" s="637">
        <f t="shared" si="171"/>
        <v>0</v>
      </c>
      <c r="AS424" s="638"/>
      <c r="AT424" s="638"/>
      <c r="AU424" s="635">
        <f t="shared" si="172"/>
        <v>0</v>
      </c>
      <c r="AV424" s="636"/>
      <c r="AW424" s="636"/>
      <c r="AX424" s="637">
        <f t="shared" si="173"/>
        <v>0</v>
      </c>
      <c r="AY424" s="638"/>
      <c r="AZ424" s="638"/>
      <c r="BA424" s="635">
        <f t="shared" si="174"/>
        <v>0</v>
      </c>
      <c r="BB424" s="636"/>
      <c r="BC424" s="636"/>
      <c r="BD424" s="637">
        <f t="shared" si="175"/>
        <v>0</v>
      </c>
      <c r="BE424" s="638"/>
      <c r="BF424" s="638"/>
      <c r="BG424" s="635">
        <f t="shared" si="176"/>
        <v>0</v>
      </c>
      <c r="BH424" s="636"/>
      <c r="BI424" s="636"/>
      <c r="BJ424" s="637">
        <f t="shared" si="177"/>
        <v>0</v>
      </c>
      <c r="BK424" s="638"/>
      <c r="BL424" s="638"/>
      <c r="BM424" s="635">
        <f t="shared" si="178"/>
        <v>0</v>
      </c>
      <c r="BN424" s="636"/>
      <c r="BO424" s="636"/>
      <c r="BP424" s="637">
        <f t="shared" si="179"/>
        <v>0</v>
      </c>
      <c r="BQ424" s="638"/>
      <c r="BR424" s="638"/>
      <c r="BS424" s="635">
        <f t="shared" si="180"/>
        <v>0</v>
      </c>
      <c r="BT424" s="636">
        <v>7</v>
      </c>
      <c r="BU424" s="636">
        <v>51915</v>
      </c>
      <c r="BV424" s="637">
        <f t="shared" si="181"/>
        <v>297337.97100000002</v>
      </c>
      <c r="BW424" s="638">
        <v>7</v>
      </c>
      <c r="BX424" s="638">
        <v>53074</v>
      </c>
      <c r="BY424" s="641">
        <f t="shared" si="182"/>
        <v>303976.02760000003</v>
      </c>
    </row>
    <row r="425" spans="1:77" x14ac:dyDescent="0.2">
      <c r="A425" s="359" t="s">
        <v>79</v>
      </c>
      <c r="B425" s="362" t="s">
        <v>581</v>
      </c>
      <c r="C425" s="363"/>
      <c r="D425" s="364">
        <v>250993</v>
      </c>
      <c r="E425" s="199">
        <v>13</v>
      </c>
      <c r="F425" s="631"/>
      <c r="G425" s="632"/>
      <c r="H425" s="633">
        <f t="shared" si="159"/>
        <v>0</v>
      </c>
      <c r="I425" s="634"/>
      <c r="J425" s="634"/>
      <c r="K425" s="635">
        <f t="shared" si="160"/>
        <v>0</v>
      </c>
      <c r="L425" s="636"/>
      <c r="M425" s="636"/>
      <c r="N425" s="637">
        <f t="shared" si="161"/>
        <v>0</v>
      </c>
      <c r="O425" s="638"/>
      <c r="P425" s="638"/>
      <c r="Q425" s="635">
        <f t="shared" si="162"/>
        <v>0</v>
      </c>
      <c r="R425" s="636"/>
      <c r="S425" s="636"/>
      <c r="T425" s="637">
        <f t="shared" si="163"/>
        <v>0</v>
      </c>
      <c r="U425" s="638"/>
      <c r="V425" s="638"/>
      <c r="W425" s="635">
        <f t="shared" si="164"/>
        <v>0</v>
      </c>
      <c r="X425" s="636"/>
      <c r="Y425" s="636"/>
      <c r="Z425" s="637">
        <f t="shared" si="165"/>
        <v>0</v>
      </c>
      <c r="AA425" s="638"/>
      <c r="AB425" s="638"/>
      <c r="AC425" s="635">
        <f t="shared" si="166"/>
        <v>0</v>
      </c>
      <c r="AD425" s="636"/>
      <c r="AE425" s="636"/>
      <c r="AF425" s="637">
        <f t="shared" si="167"/>
        <v>0</v>
      </c>
      <c r="AG425" s="638"/>
      <c r="AH425" s="638"/>
      <c r="AI425" s="635">
        <f t="shared" si="168"/>
        <v>0</v>
      </c>
      <c r="AJ425" s="636">
        <v>16</v>
      </c>
      <c r="AK425" s="636">
        <v>49092</v>
      </c>
      <c r="AL425" s="637">
        <f t="shared" si="169"/>
        <v>785472</v>
      </c>
      <c r="AM425" s="638">
        <v>16</v>
      </c>
      <c r="AN425" s="638">
        <v>50032</v>
      </c>
      <c r="AO425" s="640">
        <f t="shared" si="170"/>
        <v>800512</v>
      </c>
      <c r="AP425" s="636"/>
      <c r="AQ425" s="636"/>
      <c r="AR425" s="637">
        <f t="shared" si="171"/>
        <v>0</v>
      </c>
      <c r="AS425" s="638"/>
      <c r="AT425" s="638"/>
      <c r="AU425" s="635">
        <f t="shared" si="172"/>
        <v>0</v>
      </c>
      <c r="AV425" s="636"/>
      <c r="AW425" s="636"/>
      <c r="AX425" s="637">
        <f t="shared" si="173"/>
        <v>0</v>
      </c>
      <c r="AY425" s="638"/>
      <c r="AZ425" s="638"/>
      <c r="BA425" s="635">
        <f t="shared" si="174"/>
        <v>0</v>
      </c>
      <c r="BB425" s="636"/>
      <c r="BC425" s="636"/>
      <c r="BD425" s="637">
        <f t="shared" si="175"/>
        <v>0</v>
      </c>
      <c r="BE425" s="638"/>
      <c r="BF425" s="638"/>
      <c r="BG425" s="635">
        <f t="shared" si="176"/>
        <v>0</v>
      </c>
      <c r="BH425" s="636"/>
      <c r="BI425" s="636"/>
      <c r="BJ425" s="637">
        <f t="shared" si="177"/>
        <v>0</v>
      </c>
      <c r="BK425" s="638"/>
      <c r="BL425" s="638"/>
      <c r="BM425" s="635">
        <f t="shared" si="178"/>
        <v>0</v>
      </c>
      <c r="BN425" s="636"/>
      <c r="BO425" s="636"/>
      <c r="BP425" s="637">
        <f t="shared" si="179"/>
        <v>0</v>
      </c>
      <c r="BQ425" s="638"/>
      <c r="BR425" s="638"/>
      <c r="BS425" s="635">
        <f t="shared" si="180"/>
        <v>0</v>
      </c>
      <c r="BT425" s="636">
        <v>6</v>
      </c>
      <c r="BU425" s="636">
        <v>51662</v>
      </c>
      <c r="BV425" s="637">
        <f t="shared" si="181"/>
        <v>253619.09040000002</v>
      </c>
      <c r="BW425" s="638">
        <v>6</v>
      </c>
      <c r="BX425" s="638">
        <v>51552</v>
      </c>
      <c r="BY425" s="641">
        <f t="shared" si="182"/>
        <v>253079.0784</v>
      </c>
    </row>
    <row r="426" spans="1:77" x14ac:dyDescent="0.2">
      <c r="A426" s="359" t="s">
        <v>79</v>
      </c>
      <c r="B426" s="362" t="s">
        <v>582</v>
      </c>
      <c r="C426" s="363"/>
      <c r="D426" s="364">
        <v>365198</v>
      </c>
      <c r="E426" s="199">
        <v>13</v>
      </c>
      <c r="F426" s="631"/>
      <c r="G426" s="632"/>
      <c r="H426" s="633">
        <f t="shared" si="159"/>
        <v>0</v>
      </c>
      <c r="I426" s="634"/>
      <c r="J426" s="634"/>
      <c r="K426" s="635">
        <f t="shared" si="160"/>
        <v>0</v>
      </c>
      <c r="L426" s="636"/>
      <c r="M426" s="636"/>
      <c r="N426" s="637">
        <f t="shared" si="161"/>
        <v>0</v>
      </c>
      <c r="O426" s="638"/>
      <c r="P426" s="638"/>
      <c r="Q426" s="635">
        <f t="shared" si="162"/>
        <v>0</v>
      </c>
      <c r="R426" s="636"/>
      <c r="S426" s="636"/>
      <c r="T426" s="637">
        <f t="shared" si="163"/>
        <v>0</v>
      </c>
      <c r="U426" s="638"/>
      <c r="V426" s="638"/>
      <c r="W426" s="635">
        <f t="shared" si="164"/>
        <v>0</v>
      </c>
      <c r="X426" s="636"/>
      <c r="Y426" s="636"/>
      <c r="Z426" s="637">
        <f t="shared" si="165"/>
        <v>0</v>
      </c>
      <c r="AA426" s="638"/>
      <c r="AB426" s="638"/>
      <c r="AC426" s="635">
        <f t="shared" si="166"/>
        <v>0</v>
      </c>
      <c r="AD426" s="636"/>
      <c r="AE426" s="636"/>
      <c r="AF426" s="637">
        <f t="shared" si="167"/>
        <v>0</v>
      </c>
      <c r="AG426" s="638"/>
      <c r="AH426" s="638"/>
      <c r="AI426" s="635">
        <f t="shared" si="168"/>
        <v>0</v>
      </c>
      <c r="AJ426" s="636">
        <v>1</v>
      </c>
      <c r="AK426" s="636">
        <v>46020</v>
      </c>
      <c r="AL426" s="637">
        <f t="shared" si="169"/>
        <v>46020</v>
      </c>
      <c r="AM426" s="638">
        <v>1</v>
      </c>
      <c r="AN426" s="638">
        <v>47171</v>
      </c>
      <c r="AO426" s="640">
        <f t="shared" si="170"/>
        <v>47171</v>
      </c>
      <c r="AP426" s="636"/>
      <c r="AQ426" s="636"/>
      <c r="AR426" s="637">
        <f t="shared" si="171"/>
        <v>0</v>
      </c>
      <c r="AS426" s="638"/>
      <c r="AT426" s="638"/>
      <c r="AU426" s="635">
        <f t="shared" si="172"/>
        <v>0</v>
      </c>
      <c r="AV426" s="636"/>
      <c r="AW426" s="636"/>
      <c r="AX426" s="637">
        <f t="shared" si="173"/>
        <v>0</v>
      </c>
      <c r="AY426" s="638"/>
      <c r="AZ426" s="638"/>
      <c r="BA426" s="635">
        <f t="shared" si="174"/>
        <v>0</v>
      </c>
      <c r="BB426" s="636"/>
      <c r="BC426" s="636"/>
      <c r="BD426" s="637">
        <f t="shared" si="175"/>
        <v>0</v>
      </c>
      <c r="BE426" s="638"/>
      <c r="BF426" s="638"/>
      <c r="BG426" s="635">
        <f t="shared" si="176"/>
        <v>0</v>
      </c>
      <c r="BH426" s="636"/>
      <c r="BI426" s="636"/>
      <c r="BJ426" s="637">
        <f t="shared" si="177"/>
        <v>0</v>
      </c>
      <c r="BK426" s="638"/>
      <c r="BL426" s="638"/>
      <c r="BM426" s="635">
        <f t="shared" si="178"/>
        <v>0</v>
      </c>
      <c r="BN426" s="636"/>
      <c r="BO426" s="636"/>
      <c r="BP426" s="637">
        <f t="shared" si="179"/>
        <v>0</v>
      </c>
      <c r="BQ426" s="638"/>
      <c r="BR426" s="638"/>
      <c r="BS426" s="635">
        <f t="shared" si="180"/>
        <v>0</v>
      </c>
      <c r="BT426" s="636">
        <v>23</v>
      </c>
      <c r="BU426" s="636">
        <v>50209</v>
      </c>
      <c r="BV426" s="637">
        <f t="shared" si="181"/>
        <v>944863.08740000008</v>
      </c>
      <c r="BW426" s="638">
        <v>25</v>
      </c>
      <c r="BX426" s="638">
        <v>50620</v>
      </c>
      <c r="BY426" s="641">
        <f t="shared" si="182"/>
        <v>1035432.1000000001</v>
      </c>
    </row>
    <row r="427" spans="1:77" x14ac:dyDescent="0.2">
      <c r="A427" s="359" t="s">
        <v>79</v>
      </c>
      <c r="B427" s="362" t="s">
        <v>583</v>
      </c>
      <c r="C427" s="363"/>
      <c r="D427" s="364">
        <v>368364</v>
      </c>
      <c r="E427" s="199">
        <v>13</v>
      </c>
      <c r="F427" s="631"/>
      <c r="G427" s="632"/>
      <c r="H427" s="633">
        <f t="shared" si="159"/>
        <v>0</v>
      </c>
      <c r="I427" s="634"/>
      <c r="J427" s="634"/>
      <c r="K427" s="635">
        <f t="shared" si="160"/>
        <v>0</v>
      </c>
      <c r="L427" s="636"/>
      <c r="M427" s="636"/>
      <c r="N427" s="637">
        <f t="shared" si="161"/>
        <v>0</v>
      </c>
      <c r="O427" s="638"/>
      <c r="P427" s="638"/>
      <c r="Q427" s="635">
        <f t="shared" si="162"/>
        <v>0</v>
      </c>
      <c r="R427" s="636"/>
      <c r="S427" s="636"/>
      <c r="T427" s="637">
        <f t="shared" si="163"/>
        <v>0</v>
      </c>
      <c r="U427" s="638"/>
      <c r="V427" s="638"/>
      <c r="W427" s="635">
        <f t="shared" si="164"/>
        <v>0</v>
      </c>
      <c r="X427" s="636"/>
      <c r="Y427" s="636"/>
      <c r="Z427" s="637">
        <f t="shared" si="165"/>
        <v>0</v>
      </c>
      <c r="AA427" s="638"/>
      <c r="AB427" s="638"/>
      <c r="AC427" s="635">
        <f t="shared" si="166"/>
        <v>0</v>
      </c>
      <c r="AD427" s="636"/>
      <c r="AE427" s="636"/>
      <c r="AF427" s="637">
        <f t="shared" si="167"/>
        <v>0</v>
      </c>
      <c r="AG427" s="638"/>
      <c r="AH427" s="638"/>
      <c r="AI427" s="635">
        <f t="shared" si="168"/>
        <v>0</v>
      </c>
      <c r="AJ427" s="636">
        <v>8</v>
      </c>
      <c r="AK427" s="636">
        <v>42362</v>
      </c>
      <c r="AL427" s="637">
        <f t="shared" si="169"/>
        <v>338896</v>
      </c>
      <c r="AM427" s="638">
        <v>8</v>
      </c>
      <c r="AN427" s="638">
        <v>43459</v>
      </c>
      <c r="AO427" s="640">
        <f t="shared" si="170"/>
        <v>347672</v>
      </c>
      <c r="AP427" s="636"/>
      <c r="AQ427" s="636"/>
      <c r="AR427" s="637">
        <f t="shared" si="171"/>
        <v>0</v>
      </c>
      <c r="AS427" s="638"/>
      <c r="AT427" s="638"/>
      <c r="AU427" s="635">
        <f t="shared" si="172"/>
        <v>0</v>
      </c>
      <c r="AV427" s="636"/>
      <c r="AW427" s="636"/>
      <c r="AX427" s="637">
        <f t="shared" si="173"/>
        <v>0</v>
      </c>
      <c r="AY427" s="638"/>
      <c r="AZ427" s="638"/>
      <c r="BA427" s="635">
        <f t="shared" si="174"/>
        <v>0</v>
      </c>
      <c r="BB427" s="636"/>
      <c r="BC427" s="636"/>
      <c r="BD427" s="637">
        <f t="shared" si="175"/>
        <v>0</v>
      </c>
      <c r="BE427" s="638"/>
      <c r="BF427" s="638"/>
      <c r="BG427" s="635">
        <f t="shared" si="176"/>
        <v>0</v>
      </c>
      <c r="BH427" s="636"/>
      <c r="BI427" s="636"/>
      <c r="BJ427" s="637">
        <f t="shared" si="177"/>
        <v>0</v>
      </c>
      <c r="BK427" s="638"/>
      <c r="BL427" s="638"/>
      <c r="BM427" s="635">
        <f t="shared" si="178"/>
        <v>0</v>
      </c>
      <c r="BN427" s="636"/>
      <c r="BO427" s="636"/>
      <c r="BP427" s="637">
        <f t="shared" si="179"/>
        <v>0</v>
      </c>
      <c r="BQ427" s="638"/>
      <c r="BR427" s="638"/>
      <c r="BS427" s="635">
        <f t="shared" si="180"/>
        <v>0</v>
      </c>
      <c r="BT427" s="636">
        <v>8</v>
      </c>
      <c r="BU427" s="636">
        <v>48913</v>
      </c>
      <c r="BV427" s="637">
        <f t="shared" si="181"/>
        <v>320164.93280000001</v>
      </c>
      <c r="BW427" s="638">
        <v>9</v>
      </c>
      <c r="BX427" s="638">
        <v>50493</v>
      </c>
      <c r="BY427" s="641">
        <f t="shared" si="182"/>
        <v>371820.35340000002</v>
      </c>
    </row>
    <row r="428" spans="1:77" x14ac:dyDescent="0.2">
      <c r="A428" s="359" t="s">
        <v>79</v>
      </c>
      <c r="B428" s="362" t="s">
        <v>584</v>
      </c>
      <c r="C428" s="363"/>
      <c r="D428" s="364">
        <v>418287</v>
      </c>
      <c r="E428" s="199">
        <v>13</v>
      </c>
      <c r="F428" s="631"/>
      <c r="G428" s="632"/>
      <c r="H428" s="633">
        <f t="shared" si="159"/>
        <v>0</v>
      </c>
      <c r="I428" s="634"/>
      <c r="J428" s="634"/>
      <c r="K428" s="635">
        <f t="shared" si="160"/>
        <v>0</v>
      </c>
      <c r="L428" s="636"/>
      <c r="M428" s="636"/>
      <c r="N428" s="637">
        <f t="shared" si="161"/>
        <v>0</v>
      </c>
      <c r="O428" s="638"/>
      <c r="P428" s="638"/>
      <c r="Q428" s="635">
        <f t="shared" si="162"/>
        <v>0</v>
      </c>
      <c r="R428" s="636"/>
      <c r="S428" s="636"/>
      <c r="T428" s="637">
        <f t="shared" si="163"/>
        <v>0</v>
      </c>
      <c r="U428" s="638"/>
      <c r="V428" s="638"/>
      <c r="W428" s="635">
        <f t="shared" si="164"/>
        <v>0</v>
      </c>
      <c r="X428" s="636"/>
      <c r="Y428" s="636"/>
      <c r="Z428" s="637">
        <f t="shared" si="165"/>
        <v>0</v>
      </c>
      <c r="AA428" s="638"/>
      <c r="AB428" s="638"/>
      <c r="AC428" s="635">
        <f t="shared" si="166"/>
        <v>0</v>
      </c>
      <c r="AD428" s="636"/>
      <c r="AE428" s="636"/>
      <c r="AF428" s="637">
        <f t="shared" si="167"/>
        <v>0</v>
      </c>
      <c r="AG428" s="638"/>
      <c r="AH428" s="638"/>
      <c r="AI428" s="635">
        <f t="shared" si="168"/>
        <v>0</v>
      </c>
      <c r="AJ428" s="636">
        <v>13</v>
      </c>
      <c r="AK428" s="636">
        <v>47317</v>
      </c>
      <c r="AL428" s="637">
        <f t="shared" si="169"/>
        <v>615121</v>
      </c>
      <c r="AM428" s="638">
        <v>14</v>
      </c>
      <c r="AN428" s="638">
        <v>49784</v>
      </c>
      <c r="AO428" s="640">
        <f t="shared" si="170"/>
        <v>696976</v>
      </c>
      <c r="AP428" s="636"/>
      <c r="AQ428" s="636"/>
      <c r="AR428" s="637">
        <f t="shared" si="171"/>
        <v>0</v>
      </c>
      <c r="AS428" s="638"/>
      <c r="AT428" s="638"/>
      <c r="AU428" s="635">
        <f t="shared" si="172"/>
        <v>0</v>
      </c>
      <c r="AV428" s="636"/>
      <c r="AW428" s="636"/>
      <c r="AX428" s="637">
        <f t="shared" si="173"/>
        <v>0</v>
      </c>
      <c r="AY428" s="638"/>
      <c r="AZ428" s="638"/>
      <c r="BA428" s="635">
        <f t="shared" si="174"/>
        <v>0</v>
      </c>
      <c r="BB428" s="636"/>
      <c r="BC428" s="636"/>
      <c r="BD428" s="637">
        <f t="shared" si="175"/>
        <v>0</v>
      </c>
      <c r="BE428" s="638"/>
      <c r="BF428" s="638"/>
      <c r="BG428" s="635">
        <f t="shared" si="176"/>
        <v>0</v>
      </c>
      <c r="BH428" s="636"/>
      <c r="BI428" s="636"/>
      <c r="BJ428" s="637">
        <f t="shared" si="177"/>
        <v>0</v>
      </c>
      <c r="BK428" s="638"/>
      <c r="BL428" s="638"/>
      <c r="BM428" s="635">
        <f t="shared" si="178"/>
        <v>0</v>
      </c>
      <c r="BN428" s="636"/>
      <c r="BO428" s="636"/>
      <c r="BP428" s="637">
        <f t="shared" si="179"/>
        <v>0</v>
      </c>
      <c r="BQ428" s="638"/>
      <c r="BR428" s="638"/>
      <c r="BS428" s="635">
        <f t="shared" si="180"/>
        <v>0</v>
      </c>
      <c r="BT428" s="636">
        <v>15</v>
      </c>
      <c r="BU428" s="636">
        <v>53190</v>
      </c>
      <c r="BV428" s="637">
        <f t="shared" si="181"/>
        <v>652800.87</v>
      </c>
      <c r="BW428" s="638">
        <v>15</v>
      </c>
      <c r="BX428" s="638">
        <v>54684</v>
      </c>
      <c r="BY428" s="641">
        <f t="shared" si="182"/>
        <v>671136.73200000008</v>
      </c>
    </row>
    <row r="429" spans="1:77" x14ac:dyDescent="0.2">
      <c r="A429" s="359" t="s">
        <v>79</v>
      </c>
      <c r="B429" s="362" t="s">
        <v>585</v>
      </c>
      <c r="C429" s="363"/>
      <c r="D429" s="364">
        <v>207607</v>
      </c>
      <c r="E429" s="199">
        <v>13</v>
      </c>
      <c r="F429" s="631"/>
      <c r="G429" s="632"/>
      <c r="H429" s="633">
        <f t="shared" si="159"/>
        <v>0</v>
      </c>
      <c r="I429" s="634"/>
      <c r="J429" s="634"/>
      <c r="K429" s="635">
        <f t="shared" si="160"/>
        <v>0</v>
      </c>
      <c r="L429" s="636"/>
      <c r="M429" s="636"/>
      <c r="N429" s="637">
        <f t="shared" si="161"/>
        <v>0</v>
      </c>
      <c r="O429" s="638"/>
      <c r="P429" s="638"/>
      <c r="Q429" s="635">
        <f t="shared" si="162"/>
        <v>0</v>
      </c>
      <c r="R429" s="636"/>
      <c r="S429" s="636"/>
      <c r="T429" s="637">
        <f t="shared" si="163"/>
        <v>0</v>
      </c>
      <c r="U429" s="638"/>
      <c r="V429" s="638"/>
      <c r="W429" s="635">
        <f t="shared" si="164"/>
        <v>0</v>
      </c>
      <c r="X429" s="636"/>
      <c r="Y429" s="636"/>
      <c r="Z429" s="637">
        <f t="shared" si="165"/>
        <v>0</v>
      </c>
      <c r="AA429" s="638"/>
      <c r="AB429" s="638"/>
      <c r="AC429" s="635">
        <f t="shared" si="166"/>
        <v>0</v>
      </c>
      <c r="AD429" s="636"/>
      <c r="AE429" s="636"/>
      <c r="AF429" s="637">
        <f t="shared" si="167"/>
        <v>0</v>
      </c>
      <c r="AG429" s="638"/>
      <c r="AH429" s="638"/>
      <c r="AI429" s="635">
        <f t="shared" si="168"/>
        <v>0</v>
      </c>
      <c r="AJ429" s="636"/>
      <c r="AK429" s="636"/>
      <c r="AL429" s="637">
        <f t="shared" si="169"/>
        <v>0</v>
      </c>
      <c r="AM429" s="638"/>
      <c r="AN429" s="638"/>
      <c r="AO429" s="640">
        <f t="shared" si="170"/>
        <v>0</v>
      </c>
      <c r="AP429" s="636"/>
      <c r="AQ429" s="636"/>
      <c r="AR429" s="637">
        <f t="shared" si="171"/>
        <v>0</v>
      </c>
      <c r="AS429" s="638"/>
      <c r="AT429" s="638"/>
      <c r="AU429" s="635">
        <f t="shared" si="172"/>
        <v>0</v>
      </c>
      <c r="AV429" s="636"/>
      <c r="AW429" s="636"/>
      <c r="AX429" s="637">
        <f t="shared" si="173"/>
        <v>0</v>
      </c>
      <c r="AY429" s="638"/>
      <c r="AZ429" s="638"/>
      <c r="BA429" s="635">
        <f t="shared" si="174"/>
        <v>0</v>
      </c>
      <c r="BB429" s="636"/>
      <c r="BC429" s="636"/>
      <c r="BD429" s="637">
        <f t="shared" si="175"/>
        <v>0</v>
      </c>
      <c r="BE429" s="638"/>
      <c r="BF429" s="638"/>
      <c r="BG429" s="635">
        <f t="shared" si="176"/>
        <v>0</v>
      </c>
      <c r="BH429" s="636"/>
      <c r="BI429" s="636"/>
      <c r="BJ429" s="637">
        <f t="shared" si="177"/>
        <v>0</v>
      </c>
      <c r="BK429" s="638"/>
      <c r="BL429" s="638"/>
      <c r="BM429" s="635">
        <f t="shared" si="178"/>
        <v>0</v>
      </c>
      <c r="BN429" s="636"/>
      <c r="BO429" s="636"/>
      <c r="BP429" s="637">
        <f t="shared" si="179"/>
        <v>0</v>
      </c>
      <c r="BQ429" s="638"/>
      <c r="BR429" s="638"/>
      <c r="BS429" s="635">
        <f t="shared" si="180"/>
        <v>0</v>
      </c>
      <c r="BT429" s="636">
        <v>27</v>
      </c>
      <c r="BU429" s="636">
        <v>51516</v>
      </c>
      <c r="BV429" s="637">
        <f t="shared" si="181"/>
        <v>1138060.5623999999</v>
      </c>
      <c r="BW429" s="638">
        <v>23</v>
      </c>
      <c r="BX429" s="638">
        <v>53569</v>
      </c>
      <c r="BY429" s="641">
        <f t="shared" si="182"/>
        <v>1008093.5834</v>
      </c>
    </row>
    <row r="430" spans="1:77" x14ac:dyDescent="0.2">
      <c r="A430" s="359" t="s">
        <v>79</v>
      </c>
      <c r="B430" s="423" t="s">
        <v>548</v>
      </c>
      <c r="C430" s="341" t="s">
        <v>876</v>
      </c>
      <c r="D430" s="364">
        <v>261393</v>
      </c>
      <c r="E430" s="239">
        <v>13</v>
      </c>
      <c r="F430" s="631"/>
      <c r="G430" s="632"/>
      <c r="H430" s="633">
        <f t="shared" si="159"/>
        <v>0</v>
      </c>
      <c r="I430" s="634"/>
      <c r="J430" s="634"/>
      <c r="K430" s="635">
        <f t="shared" si="160"/>
        <v>0</v>
      </c>
      <c r="L430" s="636"/>
      <c r="M430" s="636"/>
      <c r="N430" s="637">
        <f t="shared" si="161"/>
        <v>0</v>
      </c>
      <c r="O430" s="638"/>
      <c r="P430" s="638"/>
      <c r="Q430" s="635">
        <f t="shared" si="162"/>
        <v>0</v>
      </c>
      <c r="R430" s="636"/>
      <c r="S430" s="636"/>
      <c r="T430" s="637">
        <f t="shared" si="163"/>
        <v>0</v>
      </c>
      <c r="U430" s="638"/>
      <c r="V430" s="638"/>
      <c r="W430" s="635">
        <f t="shared" si="164"/>
        <v>0</v>
      </c>
      <c r="X430" s="636"/>
      <c r="Y430" s="636"/>
      <c r="Z430" s="637">
        <f t="shared" si="165"/>
        <v>0</v>
      </c>
      <c r="AA430" s="638"/>
      <c r="AB430" s="638"/>
      <c r="AC430" s="635">
        <f t="shared" si="166"/>
        <v>0</v>
      </c>
      <c r="AD430" s="636"/>
      <c r="AE430" s="636"/>
      <c r="AF430" s="637">
        <f t="shared" si="167"/>
        <v>0</v>
      </c>
      <c r="AG430" s="638"/>
      <c r="AH430" s="638"/>
      <c r="AI430" s="635">
        <f t="shared" si="168"/>
        <v>0</v>
      </c>
      <c r="AJ430" s="636"/>
      <c r="AK430" s="636"/>
      <c r="AL430" s="637">
        <f t="shared" si="169"/>
        <v>0</v>
      </c>
      <c r="AM430" s="638"/>
      <c r="AN430" s="638"/>
      <c r="AO430" s="640">
        <f t="shared" si="170"/>
        <v>0</v>
      </c>
      <c r="AP430" s="636"/>
      <c r="AQ430" s="636"/>
      <c r="AR430" s="637">
        <f t="shared" si="171"/>
        <v>0</v>
      </c>
      <c r="AS430" s="638"/>
      <c r="AT430" s="638"/>
      <c r="AU430" s="635">
        <f t="shared" si="172"/>
        <v>0</v>
      </c>
      <c r="AV430" s="636"/>
      <c r="AW430" s="636"/>
      <c r="AX430" s="637">
        <f t="shared" si="173"/>
        <v>0</v>
      </c>
      <c r="AY430" s="638"/>
      <c r="AZ430" s="638"/>
      <c r="BA430" s="635">
        <f t="shared" si="174"/>
        <v>0</v>
      </c>
      <c r="BB430" s="636"/>
      <c r="BC430" s="636"/>
      <c r="BD430" s="637">
        <f t="shared" si="175"/>
        <v>0</v>
      </c>
      <c r="BE430" s="638"/>
      <c r="BF430" s="638"/>
      <c r="BG430" s="635">
        <f t="shared" si="176"/>
        <v>0</v>
      </c>
      <c r="BH430" s="636"/>
      <c r="BI430" s="636"/>
      <c r="BJ430" s="637">
        <f t="shared" si="177"/>
        <v>0</v>
      </c>
      <c r="BK430" s="638"/>
      <c r="BL430" s="638"/>
      <c r="BM430" s="635">
        <f t="shared" si="178"/>
        <v>0</v>
      </c>
      <c r="BN430" s="636"/>
      <c r="BO430" s="636"/>
      <c r="BP430" s="637">
        <f t="shared" si="179"/>
        <v>0</v>
      </c>
      <c r="BQ430" s="638"/>
      <c r="BR430" s="638"/>
      <c r="BS430" s="635">
        <f t="shared" si="180"/>
        <v>0</v>
      </c>
      <c r="BT430" s="636">
        <v>37</v>
      </c>
      <c r="BU430" s="636">
        <v>55364</v>
      </c>
      <c r="BV430" s="637">
        <f t="shared" si="181"/>
        <v>1676056.5176000001</v>
      </c>
      <c r="BW430" s="638">
        <v>41</v>
      </c>
      <c r="BX430" s="638">
        <v>54536</v>
      </c>
      <c r="BY430" s="641">
        <f t="shared" si="182"/>
        <v>1829475.5632</v>
      </c>
    </row>
    <row r="431" spans="1:77" x14ac:dyDescent="0.2">
      <c r="A431" s="359" t="s">
        <v>79</v>
      </c>
      <c r="B431" s="362" t="s">
        <v>586</v>
      </c>
      <c r="C431" s="363"/>
      <c r="D431" s="364">
        <v>261375</v>
      </c>
      <c r="E431" s="199">
        <v>13</v>
      </c>
      <c r="F431" s="631"/>
      <c r="G431" s="632"/>
      <c r="H431" s="633">
        <f t="shared" si="159"/>
        <v>0</v>
      </c>
      <c r="I431" s="634"/>
      <c r="J431" s="634"/>
      <c r="K431" s="635">
        <f t="shared" si="160"/>
        <v>0</v>
      </c>
      <c r="L431" s="636"/>
      <c r="M431" s="636"/>
      <c r="N431" s="637">
        <f t="shared" si="161"/>
        <v>0</v>
      </c>
      <c r="O431" s="638"/>
      <c r="P431" s="638"/>
      <c r="Q431" s="635">
        <f t="shared" si="162"/>
        <v>0</v>
      </c>
      <c r="R431" s="636"/>
      <c r="S431" s="636"/>
      <c r="T431" s="637">
        <f t="shared" si="163"/>
        <v>0</v>
      </c>
      <c r="U431" s="638"/>
      <c r="V431" s="638"/>
      <c r="W431" s="635">
        <f t="shared" si="164"/>
        <v>0</v>
      </c>
      <c r="X431" s="636"/>
      <c r="Y431" s="636"/>
      <c r="Z431" s="637">
        <f t="shared" si="165"/>
        <v>0</v>
      </c>
      <c r="AA431" s="638"/>
      <c r="AB431" s="638"/>
      <c r="AC431" s="635">
        <f t="shared" si="166"/>
        <v>0</v>
      </c>
      <c r="AD431" s="636"/>
      <c r="AE431" s="636"/>
      <c r="AF431" s="637">
        <f t="shared" si="167"/>
        <v>0</v>
      </c>
      <c r="AG431" s="638"/>
      <c r="AH431" s="638"/>
      <c r="AI431" s="635">
        <f t="shared" si="168"/>
        <v>0</v>
      </c>
      <c r="AJ431" s="636">
        <v>1</v>
      </c>
      <c r="AK431" s="636">
        <v>52750</v>
      </c>
      <c r="AL431" s="637">
        <f t="shared" si="169"/>
        <v>52750</v>
      </c>
      <c r="AM431" s="638">
        <v>1</v>
      </c>
      <c r="AN431" s="638">
        <v>50690</v>
      </c>
      <c r="AO431" s="640">
        <f t="shared" si="170"/>
        <v>50690</v>
      </c>
      <c r="AP431" s="636"/>
      <c r="AQ431" s="636"/>
      <c r="AR431" s="637">
        <f t="shared" si="171"/>
        <v>0</v>
      </c>
      <c r="AS431" s="638"/>
      <c r="AT431" s="638"/>
      <c r="AU431" s="635">
        <f t="shared" si="172"/>
        <v>0</v>
      </c>
      <c r="AV431" s="636"/>
      <c r="AW431" s="636"/>
      <c r="AX431" s="637">
        <f t="shared" si="173"/>
        <v>0</v>
      </c>
      <c r="AY431" s="638"/>
      <c r="AZ431" s="638"/>
      <c r="BA431" s="635">
        <f t="shared" si="174"/>
        <v>0</v>
      </c>
      <c r="BB431" s="636"/>
      <c r="BC431" s="636"/>
      <c r="BD431" s="637">
        <f t="shared" si="175"/>
        <v>0</v>
      </c>
      <c r="BE431" s="638"/>
      <c r="BF431" s="638"/>
      <c r="BG431" s="635">
        <f t="shared" si="176"/>
        <v>0</v>
      </c>
      <c r="BH431" s="636"/>
      <c r="BI431" s="636"/>
      <c r="BJ431" s="637">
        <f t="shared" si="177"/>
        <v>0</v>
      </c>
      <c r="BK431" s="638"/>
      <c r="BL431" s="638"/>
      <c r="BM431" s="635">
        <f t="shared" si="178"/>
        <v>0</v>
      </c>
      <c r="BN431" s="636"/>
      <c r="BO431" s="636"/>
      <c r="BP431" s="637">
        <f t="shared" si="179"/>
        <v>0</v>
      </c>
      <c r="BQ431" s="638"/>
      <c r="BR431" s="638"/>
      <c r="BS431" s="635">
        <f t="shared" si="180"/>
        <v>0</v>
      </c>
      <c r="BT431" s="636">
        <v>58</v>
      </c>
      <c r="BU431" s="636">
        <v>54799</v>
      </c>
      <c r="BV431" s="637">
        <f t="shared" si="181"/>
        <v>2600519.4243999999</v>
      </c>
      <c r="BW431" s="638">
        <v>54</v>
      </c>
      <c r="BX431" s="638">
        <v>56575</v>
      </c>
      <c r="BY431" s="641">
        <f t="shared" si="182"/>
        <v>2499641.91</v>
      </c>
    </row>
    <row r="432" spans="1:77" x14ac:dyDescent="0.2">
      <c r="A432" s="359" t="s">
        <v>79</v>
      </c>
      <c r="B432" s="362" t="s">
        <v>587</v>
      </c>
      <c r="C432" s="363"/>
      <c r="D432" s="364">
        <v>261384</v>
      </c>
      <c r="E432" s="199">
        <v>13</v>
      </c>
      <c r="F432" s="631"/>
      <c r="G432" s="632"/>
      <c r="H432" s="633">
        <f t="shared" si="159"/>
        <v>0</v>
      </c>
      <c r="I432" s="634"/>
      <c r="J432" s="634"/>
      <c r="K432" s="635">
        <f t="shared" si="160"/>
        <v>0</v>
      </c>
      <c r="L432" s="636"/>
      <c r="M432" s="636"/>
      <c r="N432" s="637">
        <f t="shared" si="161"/>
        <v>0</v>
      </c>
      <c r="O432" s="638"/>
      <c r="P432" s="638"/>
      <c r="Q432" s="635">
        <f t="shared" si="162"/>
        <v>0</v>
      </c>
      <c r="R432" s="636"/>
      <c r="S432" s="636"/>
      <c r="T432" s="637">
        <f t="shared" si="163"/>
        <v>0</v>
      </c>
      <c r="U432" s="638"/>
      <c r="V432" s="638"/>
      <c r="W432" s="635">
        <f t="shared" si="164"/>
        <v>0</v>
      </c>
      <c r="X432" s="636"/>
      <c r="Y432" s="636"/>
      <c r="Z432" s="637">
        <f t="shared" si="165"/>
        <v>0</v>
      </c>
      <c r="AA432" s="638"/>
      <c r="AB432" s="638"/>
      <c r="AC432" s="635">
        <f t="shared" si="166"/>
        <v>0</v>
      </c>
      <c r="AD432" s="636"/>
      <c r="AE432" s="636"/>
      <c r="AF432" s="637">
        <f t="shared" si="167"/>
        <v>0</v>
      </c>
      <c r="AG432" s="638"/>
      <c r="AH432" s="638"/>
      <c r="AI432" s="635">
        <f t="shared" si="168"/>
        <v>0</v>
      </c>
      <c r="AJ432" s="636"/>
      <c r="AK432" s="636"/>
      <c r="AL432" s="637">
        <f t="shared" si="169"/>
        <v>0</v>
      </c>
      <c r="AM432" s="638"/>
      <c r="AN432" s="638"/>
      <c r="AO432" s="640">
        <f t="shared" si="170"/>
        <v>0</v>
      </c>
      <c r="AP432" s="636"/>
      <c r="AQ432" s="636"/>
      <c r="AR432" s="637">
        <f t="shared" si="171"/>
        <v>0</v>
      </c>
      <c r="AS432" s="638"/>
      <c r="AT432" s="638"/>
      <c r="AU432" s="635">
        <f t="shared" si="172"/>
        <v>0</v>
      </c>
      <c r="AV432" s="636"/>
      <c r="AW432" s="636"/>
      <c r="AX432" s="637">
        <f t="shared" si="173"/>
        <v>0</v>
      </c>
      <c r="AY432" s="638"/>
      <c r="AZ432" s="638"/>
      <c r="BA432" s="635">
        <f t="shared" si="174"/>
        <v>0</v>
      </c>
      <c r="BB432" s="636"/>
      <c r="BC432" s="636"/>
      <c r="BD432" s="637">
        <f t="shared" si="175"/>
        <v>0</v>
      </c>
      <c r="BE432" s="638"/>
      <c r="BF432" s="638"/>
      <c r="BG432" s="635">
        <f t="shared" si="176"/>
        <v>0</v>
      </c>
      <c r="BH432" s="636"/>
      <c r="BI432" s="636"/>
      <c r="BJ432" s="637">
        <f t="shared" si="177"/>
        <v>0</v>
      </c>
      <c r="BK432" s="638"/>
      <c r="BL432" s="638"/>
      <c r="BM432" s="635">
        <f t="shared" si="178"/>
        <v>0</v>
      </c>
      <c r="BN432" s="636"/>
      <c r="BO432" s="636"/>
      <c r="BP432" s="637">
        <f t="shared" si="179"/>
        <v>0</v>
      </c>
      <c r="BQ432" s="638"/>
      <c r="BR432" s="638"/>
      <c r="BS432" s="635">
        <f t="shared" si="180"/>
        <v>0</v>
      </c>
      <c r="BT432" s="636">
        <v>23</v>
      </c>
      <c r="BU432" s="636">
        <v>55122</v>
      </c>
      <c r="BV432" s="637">
        <f t="shared" si="181"/>
        <v>1037318.8692000001</v>
      </c>
      <c r="BW432" s="638">
        <v>28</v>
      </c>
      <c r="BX432" s="638">
        <v>58269</v>
      </c>
      <c r="BY432" s="641">
        <f t="shared" si="182"/>
        <v>1334919.4824000001</v>
      </c>
    </row>
    <row r="433" spans="1:77" x14ac:dyDescent="0.2">
      <c r="A433" s="301" t="s">
        <v>79</v>
      </c>
      <c r="B433" s="362" t="s">
        <v>588</v>
      </c>
      <c r="C433" s="363"/>
      <c r="D433" s="364">
        <v>418357</v>
      </c>
      <c r="E433" s="199">
        <v>13</v>
      </c>
      <c r="F433" s="631"/>
      <c r="G433" s="632"/>
      <c r="H433" s="633">
        <f t="shared" si="159"/>
        <v>0</v>
      </c>
      <c r="I433" s="634"/>
      <c r="J433" s="634"/>
      <c r="K433" s="635">
        <f t="shared" si="160"/>
        <v>0</v>
      </c>
      <c r="L433" s="636"/>
      <c r="M433" s="636"/>
      <c r="N433" s="637">
        <f t="shared" si="161"/>
        <v>0</v>
      </c>
      <c r="O433" s="638"/>
      <c r="P433" s="638"/>
      <c r="Q433" s="635">
        <f t="shared" si="162"/>
        <v>0</v>
      </c>
      <c r="R433" s="636"/>
      <c r="S433" s="636"/>
      <c r="T433" s="637">
        <f t="shared" si="163"/>
        <v>0</v>
      </c>
      <c r="U433" s="638"/>
      <c r="V433" s="638"/>
      <c r="W433" s="635">
        <f t="shared" si="164"/>
        <v>0</v>
      </c>
      <c r="X433" s="636"/>
      <c r="Y433" s="636"/>
      <c r="Z433" s="637">
        <f t="shared" si="165"/>
        <v>0</v>
      </c>
      <c r="AA433" s="638"/>
      <c r="AB433" s="638"/>
      <c r="AC433" s="635">
        <f t="shared" si="166"/>
        <v>0</v>
      </c>
      <c r="AD433" s="636"/>
      <c r="AE433" s="636"/>
      <c r="AF433" s="637">
        <f t="shared" si="167"/>
        <v>0</v>
      </c>
      <c r="AG433" s="638"/>
      <c r="AH433" s="638"/>
      <c r="AI433" s="635">
        <f t="shared" si="168"/>
        <v>0</v>
      </c>
      <c r="AJ433" s="636">
        <v>10</v>
      </c>
      <c r="AK433" s="636">
        <v>42490</v>
      </c>
      <c r="AL433" s="637">
        <f t="shared" si="169"/>
        <v>424900</v>
      </c>
      <c r="AM433" s="638">
        <v>10</v>
      </c>
      <c r="AN433" s="638">
        <v>43916</v>
      </c>
      <c r="AO433" s="640">
        <f t="shared" si="170"/>
        <v>439160</v>
      </c>
      <c r="AP433" s="636"/>
      <c r="AQ433" s="636"/>
      <c r="AR433" s="637">
        <f t="shared" si="171"/>
        <v>0</v>
      </c>
      <c r="AS433" s="638"/>
      <c r="AT433" s="638"/>
      <c r="AU433" s="635">
        <f t="shared" si="172"/>
        <v>0</v>
      </c>
      <c r="AV433" s="636"/>
      <c r="AW433" s="636"/>
      <c r="AX433" s="637">
        <f t="shared" si="173"/>
        <v>0</v>
      </c>
      <c r="AY433" s="638"/>
      <c r="AZ433" s="638"/>
      <c r="BA433" s="635">
        <f t="shared" si="174"/>
        <v>0</v>
      </c>
      <c r="BB433" s="636"/>
      <c r="BC433" s="636"/>
      <c r="BD433" s="637">
        <f t="shared" si="175"/>
        <v>0</v>
      </c>
      <c r="BE433" s="638"/>
      <c r="BF433" s="638"/>
      <c r="BG433" s="635">
        <f t="shared" si="176"/>
        <v>0</v>
      </c>
      <c r="BH433" s="636"/>
      <c r="BI433" s="636"/>
      <c r="BJ433" s="637">
        <f t="shared" si="177"/>
        <v>0</v>
      </c>
      <c r="BK433" s="638"/>
      <c r="BL433" s="638"/>
      <c r="BM433" s="635">
        <f t="shared" si="178"/>
        <v>0</v>
      </c>
      <c r="BN433" s="636"/>
      <c r="BO433" s="636"/>
      <c r="BP433" s="637">
        <f t="shared" si="179"/>
        <v>0</v>
      </c>
      <c r="BQ433" s="638"/>
      <c r="BR433" s="638"/>
      <c r="BS433" s="635">
        <f t="shared" si="180"/>
        <v>0</v>
      </c>
      <c r="BT433" s="636">
        <v>4</v>
      </c>
      <c r="BU433" s="636">
        <v>52505</v>
      </c>
      <c r="BV433" s="637">
        <f t="shared" si="181"/>
        <v>171838.364</v>
      </c>
      <c r="BW433" s="638">
        <v>3</v>
      </c>
      <c r="BX433" s="638">
        <v>55501</v>
      </c>
      <c r="BY433" s="641">
        <f t="shared" si="182"/>
        <v>136232.75460000001</v>
      </c>
    </row>
    <row r="434" spans="1:77" x14ac:dyDescent="0.2">
      <c r="A434" s="359" t="s">
        <v>79</v>
      </c>
      <c r="B434" s="362" t="s">
        <v>589</v>
      </c>
      <c r="C434" s="363"/>
      <c r="D434" s="364">
        <v>418302</v>
      </c>
      <c r="E434" s="199">
        <v>13</v>
      </c>
      <c r="F434" s="631"/>
      <c r="G434" s="632"/>
      <c r="H434" s="633">
        <f t="shared" si="159"/>
        <v>0</v>
      </c>
      <c r="I434" s="634"/>
      <c r="J434" s="634"/>
      <c r="K434" s="635">
        <f t="shared" si="160"/>
        <v>0</v>
      </c>
      <c r="L434" s="636"/>
      <c r="M434" s="636"/>
      <c r="N434" s="637">
        <f t="shared" si="161"/>
        <v>0</v>
      </c>
      <c r="O434" s="638"/>
      <c r="P434" s="638"/>
      <c r="Q434" s="635">
        <f t="shared" si="162"/>
        <v>0</v>
      </c>
      <c r="R434" s="636"/>
      <c r="S434" s="636"/>
      <c r="T434" s="637">
        <f t="shared" si="163"/>
        <v>0</v>
      </c>
      <c r="U434" s="638"/>
      <c r="V434" s="638"/>
      <c r="W434" s="635">
        <f t="shared" si="164"/>
        <v>0</v>
      </c>
      <c r="X434" s="636"/>
      <c r="Y434" s="636"/>
      <c r="Z434" s="637">
        <f t="shared" si="165"/>
        <v>0</v>
      </c>
      <c r="AA434" s="638"/>
      <c r="AB434" s="638"/>
      <c r="AC434" s="635">
        <f t="shared" si="166"/>
        <v>0</v>
      </c>
      <c r="AD434" s="636"/>
      <c r="AE434" s="636"/>
      <c r="AF434" s="637">
        <f t="shared" si="167"/>
        <v>0</v>
      </c>
      <c r="AG434" s="638"/>
      <c r="AH434" s="638"/>
      <c r="AI434" s="635">
        <f t="shared" si="168"/>
        <v>0</v>
      </c>
      <c r="AJ434" s="636">
        <v>20</v>
      </c>
      <c r="AK434" s="636">
        <v>46020</v>
      </c>
      <c r="AL434" s="637">
        <f t="shared" si="169"/>
        <v>920400</v>
      </c>
      <c r="AM434" s="638">
        <v>21</v>
      </c>
      <c r="AN434" s="638">
        <v>45961</v>
      </c>
      <c r="AO434" s="640">
        <f t="shared" si="170"/>
        <v>965181</v>
      </c>
      <c r="AP434" s="636"/>
      <c r="AQ434" s="636"/>
      <c r="AR434" s="637">
        <f t="shared" si="171"/>
        <v>0</v>
      </c>
      <c r="AS434" s="638"/>
      <c r="AT434" s="638"/>
      <c r="AU434" s="635">
        <f t="shared" si="172"/>
        <v>0</v>
      </c>
      <c r="AV434" s="636"/>
      <c r="AW434" s="636"/>
      <c r="AX434" s="637">
        <f t="shared" si="173"/>
        <v>0</v>
      </c>
      <c r="AY434" s="638"/>
      <c r="AZ434" s="638"/>
      <c r="BA434" s="635">
        <f t="shared" si="174"/>
        <v>0</v>
      </c>
      <c r="BB434" s="636"/>
      <c r="BC434" s="636"/>
      <c r="BD434" s="637">
        <f t="shared" si="175"/>
        <v>0</v>
      </c>
      <c r="BE434" s="638"/>
      <c r="BF434" s="638"/>
      <c r="BG434" s="635">
        <f t="shared" si="176"/>
        <v>0</v>
      </c>
      <c r="BH434" s="636"/>
      <c r="BI434" s="636"/>
      <c r="BJ434" s="637">
        <f t="shared" si="177"/>
        <v>0</v>
      </c>
      <c r="BK434" s="638"/>
      <c r="BL434" s="638"/>
      <c r="BM434" s="635">
        <f t="shared" si="178"/>
        <v>0</v>
      </c>
      <c r="BN434" s="636"/>
      <c r="BO434" s="636"/>
      <c r="BP434" s="637">
        <f t="shared" si="179"/>
        <v>0</v>
      </c>
      <c r="BQ434" s="638"/>
      <c r="BR434" s="638"/>
      <c r="BS434" s="635">
        <f t="shared" si="180"/>
        <v>0</v>
      </c>
      <c r="BT434" s="636">
        <v>5</v>
      </c>
      <c r="BU434" s="636">
        <v>52763</v>
      </c>
      <c r="BV434" s="637">
        <f t="shared" si="181"/>
        <v>215853.43300000002</v>
      </c>
      <c r="BW434" s="638">
        <v>4</v>
      </c>
      <c r="BX434" s="638">
        <v>56541</v>
      </c>
      <c r="BY434" s="641">
        <f t="shared" si="182"/>
        <v>185047.3848</v>
      </c>
    </row>
    <row r="435" spans="1:77" x14ac:dyDescent="0.2">
      <c r="A435" s="322" t="s">
        <v>113</v>
      </c>
      <c r="B435" s="307" t="s">
        <v>618</v>
      </c>
      <c r="C435" s="484"/>
      <c r="D435" s="488">
        <v>217882</v>
      </c>
      <c r="E435" s="489">
        <v>1</v>
      </c>
      <c r="F435" s="631">
        <v>298</v>
      </c>
      <c r="G435" s="632">
        <v>108668.20805369127</v>
      </c>
      <c r="H435" s="633">
        <f t="shared" si="159"/>
        <v>32383126</v>
      </c>
      <c r="I435" s="634">
        <v>297</v>
      </c>
      <c r="J435" s="634">
        <v>109821</v>
      </c>
      <c r="K435" s="635">
        <f t="shared" si="160"/>
        <v>32616837</v>
      </c>
      <c r="L435" s="636">
        <v>230</v>
      </c>
      <c r="M435" s="636">
        <v>76880.373913043484</v>
      </c>
      <c r="N435" s="637">
        <f t="shared" si="161"/>
        <v>17682486</v>
      </c>
      <c r="O435" s="638">
        <v>227</v>
      </c>
      <c r="P435" s="638">
        <v>79481</v>
      </c>
      <c r="Q435" s="635">
        <f t="shared" si="162"/>
        <v>18042187</v>
      </c>
      <c r="R435" s="636">
        <v>249</v>
      </c>
      <c r="S435" s="636">
        <v>68180.630522088351</v>
      </c>
      <c r="T435" s="637">
        <f t="shared" si="163"/>
        <v>16976977</v>
      </c>
      <c r="U435" s="638">
        <v>227</v>
      </c>
      <c r="V435" s="638">
        <v>70794</v>
      </c>
      <c r="W435" s="635">
        <f t="shared" si="164"/>
        <v>16070238</v>
      </c>
      <c r="X435" s="636">
        <v>3</v>
      </c>
      <c r="Y435" s="636">
        <v>49074.666666666664</v>
      </c>
      <c r="Z435" s="637">
        <f t="shared" si="165"/>
        <v>147224</v>
      </c>
      <c r="AA435" s="638">
        <v>3</v>
      </c>
      <c r="AB435" s="638">
        <v>54305</v>
      </c>
      <c r="AC435" s="635">
        <f t="shared" si="166"/>
        <v>162915</v>
      </c>
      <c r="AD435" s="636">
        <v>175</v>
      </c>
      <c r="AE435" s="636">
        <v>44522.588571428569</v>
      </c>
      <c r="AF435" s="637">
        <f t="shared" si="167"/>
        <v>7791452.9999999991</v>
      </c>
      <c r="AG435" s="638">
        <v>184</v>
      </c>
      <c r="AH435" s="638">
        <v>46092</v>
      </c>
      <c r="AI435" s="635">
        <f t="shared" si="168"/>
        <v>8480928</v>
      </c>
      <c r="AJ435" s="636"/>
      <c r="AK435" s="636"/>
      <c r="AL435" s="637">
        <f t="shared" si="169"/>
        <v>0</v>
      </c>
      <c r="AM435" s="638"/>
      <c r="AN435" s="638"/>
      <c r="AO435" s="640">
        <f t="shared" si="170"/>
        <v>0</v>
      </c>
      <c r="AP435" s="636">
        <v>45</v>
      </c>
      <c r="AQ435" s="636">
        <v>109452.44444444444</v>
      </c>
      <c r="AR435" s="637">
        <f t="shared" si="171"/>
        <v>4029929.5520000001</v>
      </c>
      <c r="AS435" s="638">
        <v>37</v>
      </c>
      <c r="AT435" s="638">
        <v>113878</v>
      </c>
      <c r="AU435" s="635">
        <f t="shared" si="172"/>
        <v>3447474.2452000002</v>
      </c>
      <c r="AV435" s="636">
        <v>18</v>
      </c>
      <c r="AW435" s="636">
        <v>85644.388888888891</v>
      </c>
      <c r="AX435" s="637">
        <f t="shared" si="173"/>
        <v>1261336.3018</v>
      </c>
      <c r="AY435" s="638">
        <v>15</v>
      </c>
      <c r="AZ435" s="638">
        <v>89169</v>
      </c>
      <c r="BA435" s="635">
        <f t="shared" si="174"/>
        <v>1094371.1370000001</v>
      </c>
      <c r="BB435" s="636">
        <v>13</v>
      </c>
      <c r="BC435" s="636">
        <v>71208.38461538461</v>
      </c>
      <c r="BD435" s="637">
        <f t="shared" si="175"/>
        <v>757415.10379999992</v>
      </c>
      <c r="BE435" s="638">
        <v>13</v>
      </c>
      <c r="BF435" s="638">
        <v>74214</v>
      </c>
      <c r="BG435" s="635">
        <f t="shared" si="176"/>
        <v>789384.6324</v>
      </c>
      <c r="BH435" s="636"/>
      <c r="BI435" s="636"/>
      <c r="BJ435" s="637">
        <f t="shared" si="177"/>
        <v>0</v>
      </c>
      <c r="BK435" s="638"/>
      <c r="BL435" s="638"/>
      <c r="BM435" s="635">
        <f t="shared" si="178"/>
        <v>0</v>
      </c>
      <c r="BN435" s="636">
        <v>12</v>
      </c>
      <c r="BO435" s="636">
        <v>60325.166666666664</v>
      </c>
      <c r="BP435" s="637">
        <f t="shared" si="179"/>
        <v>592296.61640000006</v>
      </c>
      <c r="BQ435" s="638">
        <v>10</v>
      </c>
      <c r="BR435" s="638">
        <v>65760</v>
      </c>
      <c r="BS435" s="635">
        <f t="shared" si="180"/>
        <v>538048.32000000007</v>
      </c>
      <c r="BT435" s="636"/>
      <c r="BU435" s="636"/>
      <c r="BV435" s="637">
        <f t="shared" si="181"/>
        <v>0</v>
      </c>
      <c r="BW435" s="638"/>
      <c r="BX435" s="638"/>
      <c r="BY435" s="641">
        <f t="shared" si="182"/>
        <v>0</v>
      </c>
    </row>
    <row r="436" spans="1:77" x14ac:dyDescent="0.2">
      <c r="A436" s="322" t="s">
        <v>113</v>
      </c>
      <c r="B436" s="307" t="s">
        <v>619</v>
      </c>
      <c r="C436" s="484"/>
      <c r="D436" s="488">
        <v>218663</v>
      </c>
      <c r="E436" s="489">
        <v>1</v>
      </c>
      <c r="F436" s="631">
        <v>264</v>
      </c>
      <c r="G436" s="632">
        <v>109042.57196969698</v>
      </c>
      <c r="H436" s="633">
        <f t="shared" si="159"/>
        <v>28787239</v>
      </c>
      <c r="I436" s="634">
        <v>279</v>
      </c>
      <c r="J436" s="634">
        <v>113019</v>
      </c>
      <c r="K436" s="635">
        <f t="shared" si="160"/>
        <v>31532301</v>
      </c>
      <c r="L436" s="636">
        <v>329</v>
      </c>
      <c r="M436" s="636">
        <v>79229.787234042553</v>
      </c>
      <c r="N436" s="637">
        <f t="shared" si="161"/>
        <v>26066600</v>
      </c>
      <c r="O436" s="638">
        <v>335</v>
      </c>
      <c r="P436" s="638">
        <v>80308</v>
      </c>
      <c r="Q436" s="635">
        <f t="shared" si="162"/>
        <v>26903180</v>
      </c>
      <c r="R436" s="636">
        <v>308</v>
      </c>
      <c r="S436" s="636">
        <v>71319.766233766233</v>
      </c>
      <c r="T436" s="637">
        <f t="shared" si="163"/>
        <v>21966488</v>
      </c>
      <c r="U436" s="638">
        <v>293</v>
      </c>
      <c r="V436" s="638">
        <v>71844</v>
      </c>
      <c r="W436" s="635">
        <f t="shared" si="164"/>
        <v>21050292</v>
      </c>
      <c r="X436" s="636">
        <v>101</v>
      </c>
      <c r="Y436" s="636">
        <v>43387.019801980197</v>
      </c>
      <c r="Z436" s="637">
        <f t="shared" si="165"/>
        <v>4382089</v>
      </c>
      <c r="AA436" s="638">
        <v>106</v>
      </c>
      <c r="AB436" s="638">
        <v>45291</v>
      </c>
      <c r="AC436" s="635">
        <f t="shared" si="166"/>
        <v>4800846</v>
      </c>
      <c r="AD436" s="636">
        <v>20</v>
      </c>
      <c r="AE436" s="636">
        <v>59502.85</v>
      </c>
      <c r="AF436" s="637">
        <f t="shared" si="167"/>
        <v>1190057</v>
      </c>
      <c r="AG436" s="638">
        <v>27</v>
      </c>
      <c r="AH436" s="638">
        <v>60468</v>
      </c>
      <c r="AI436" s="635">
        <f t="shared" si="168"/>
        <v>1632636</v>
      </c>
      <c r="AJ436" s="636"/>
      <c r="AK436" s="636"/>
      <c r="AL436" s="637">
        <f t="shared" si="169"/>
        <v>0</v>
      </c>
      <c r="AM436" s="638"/>
      <c r="AN436" s="638"/>
      <c r="AO436" s="640">
        <f t="shared" si="170"/>
        <v>0</v>
      </c>
      <c r="AP436" s="636">
        <v>59</v>
      </c>
      <c r="AQ436" s="636">
        <v>151395.74576271186</v>
      </c>
      <c r="AR436" s="637">
        <f t="shared" si="171"/>
        <v>7308447.9517999999</v>
      </c>
      <c r="AS436" s="638">
        <v>65</v>
      </c>
      <c r="AT436" s="638">
        <v>160206</v>
      </c>
      <c r="AU436" s="635">
        <f t="shared" si="172"/>
        <v>8520235.6980000008</v>
      </c>
      <c r="AV436" s="636">
        <v>21</v>
      </c>
      <c r="AW436" s="636">
        <v>90702.761904761908</v>
      </c>
      <c r="AX436" s="637">
        <f t="shared" si="173"/>
        <v>1558472.9956</v>
      </c>
      <c r="AY436" s="638">
        <v>29</v>
      </c>
      <c r="AZ436" s="638">
        <v>100004</v>
      </c>
      <c r="BA436" s="635">
        <f t="shared" si="174"/>
        <v>2372874.9112</v>
      </c>
      <c r="BB436" s="636">
        <v>31</v>
      </c>
      <c r="BC436" s="636">
        <v>86268.774193548394</v>
      </c>
      <c r="BD436" s="637">
        <f t="shared" si="175"/>
        <v>2188138.4424000001</v>
      </c>
      <c r="BE436" s="638">
        <v>41</v>
      </c>
      <c r="BF436" s="638">
        <v>89867</v>
      </c>
      <c r="BG436" s="635">
        <f t="shared" si="176"/>
        <v>3014696.3554000002</v>
      </c>
      <c r="BH436" s="636">
        <v>41</v>
      </c>
      <c r="BI436" s="636">
        <v>55498.951219512193</v>
      </c>
      <c r="BJ436" s="637">
        <f t="shared" si="177"/>
        <v>1861778.9174000002</v>
      </c>
      <c r="BK436" s="638">
        <v>48</v>
      </c>
      <c r="BL436" s="638">
        <v>55284</v>
      </c>
      <c r="BM436" s="635">
        <f t="shared" si="178"/>
        <v>2171201.7024000003</v>
      </c>
      <c r="BN436" s="636">
        <v>4</v>
      </c>
      <c r="BO436" s="636">
        <v>72090.25</v>
      </c>
      <c r="BP436" s="637">
        <f t="shared" si="179"/>
        <v>235936.97020000001</v>
      </c>
      <c r="BQ436" s="638">
        <v>7</v>
      </c>
      <c r="BR436" s="638">
        <v>67085</v>
      </c>
      <c r="BS436" s="635">
        <f t="shared" si="180"/>
        <v>384222.62900000002</v>
      </c>
      <c r="BT436" s="636"/>
      <c r="BU436" s="636"/>
      <c r="BV436" s="637">
        <f t="shared" si="181"/>
        <v>0</v>
      </c>
      <c r="BW436" s="638"/>
      <c r="BX436" s="638"/>
      <c r="BY436" s="641">
        <f t="shared" si="182"/>
        <v>0</v>
      </c>
    </row>
    <row r="437" spans="1:77" x14ac:dyDescent="0.2">
      <c r="A437" s="322" t="s">
        <v>113</v>
      </c>
      <c r="B437" s="307" t="s">
        <v>620</v>
      </c>
      <c r="C437" s="484"/>
      <c r="D437" s="488">
        <v>217819</v>
      </c>
      <c r="E437" s="489">
        <v>3</v>
      </c>
      <c r="F437" s="631">
        <v>127</v>
      </c>
      <c r="G437" s="632">
        <v>81074.275590551188</v>
      </c>
      <c r="H437" s="633">
        <f t="shared" si="159"/>
        <v>10296433</v>
      </c>
      <c r="I437" s="634">
        <v>140</v>
      </c>
      <c r="J437" s="634">
        <v>82328</v>
      </c>
      <c r="K437" s="635">
        <f t="shared" si="160"/>
        <v>11525920</v>
      </c>
      <c r="L437" s="636">
        <v>151</v>
      </c>
      <c r="M437" s="636">
        <v>63926.708609271525</v>
      </c>
      <c r="N437" s="637">
        <f t="shared" si="161"/>
        <v>9652933</v>
      </c>
      <c r="O437" s="638">
        <v>156</v>
      </c>
      <c r="P437" s="638">
        <v>65022</v>
      </c>
      <c r="Q437" s="635">
        <f t="shared" si="162"/>
        <v>10143432</v>
      </c>
      <c r="R437" s="636">
        <v>171</v>
      </c>
      <c r="S437" s="636">
        <v>59189.807017543862</v>
      </c>
      <c r="T437" s="637">
        <f t="shared" si="163"/>
        <v>10121457</v>
      </c>
      <c r="U437" s="638">
        <v>165</v>
      </c>
      <c r="V437" s="638">
        <v>59060</v>
      </c>
      <c r="W437" s="635">
        <f t="shared" si="164"/>
        <v>9744900</v>
      </c>
      <c r="X437" s="636">
        <v>61</v>
      </c>
      <c r="Y437" s="636">
        <v>47795.442622950817</v>
      </c>
      <c r="Z437" s="637">
        <f t="shared" si="165"/>
        <v>2915522</v>
      </c>
      <c r="AA437" s="638">
        <v>60</v>
      </c>
      <c r="AB437" s="638">
        <v>49223</v>
      </c>
      <c r="AC437" s="635">
        <f t="shared" si="166"/>
        <v>2953380</v>
      </c>
      <c r="AD437" s="636"/>
      <c r="AE437" s="636"/>
      <c r="AF437" s="637">
        <f t="shared" si="167"/>
        <v>0</v>
      </c>
      <c r="AG437" s="638"/>
      <c r="AH437" s="638"/>
      <c r="AI437" s="635">
        <f t="shared" si="168"/>
        <v>0</v>
      </c>
      <c r="AJ437" s="636"/>
      <c r="AK437" s="636"/>
      <c r="AL437" s="637">
        <f t="shared" si="169"/>
        <v>0</v>
      </c>
      <c r="AM437" s="638"/>
      <c r="AN437" s="638"/>
      <c r="AO437" s="640">
        <f t="shared" si="170"/>
        <v>0</v>
      </c>
      <c r="AP437" s="636"/>
      <c r="AQ437" s="636"/>
      <c r="AR437" s="637">
        <f t="shared" si="171"/>
        <v>0</v>
      </c>
      <c r="AS437" s="638"/>
      <c r="AT437" s="638"/>
      <c r="AU437" s="635">
        <f t="shared" si="172"/>
        <v>0</v>
      </c>
      <c r="AV437" s="636"/>
      <c r="AW437" s="636"/>
      <c r="AX437" s="637">
        <f t="shared" si="173"/>
        <v>0</v>
      </c>
      <c r="AY437" s="638"/>
      <c r="AZ437" s="638"/>
      <c r="BA437" s="635">
        <f t="shared" si="174"/>
        <v>0</v>
      </c>
      <c r="BB437" s="636"/>
      <c r="BC437" s="636"/>
      <c r="BD437" s="637">
        <f t="shared" si="175"/>
        <v>0</v>
      </c>
      <c r="BE437" s="638"/>
      <c r="BF437" s="638"/>
      <c r="BG437" s="635">
        <f t="shared" si="176"/>
        <v>0</v>
      </c>
      <c r="BH437" s="636"/>
      <c r="BI437" s="636"/>
      <c r="BJ437" s="637">
        <f t="shared" si="177"/>
        <v>0</v>
      </c>
      <c r="BK437" s="638"/>
      <c r="BL437" s="638"/>
      <c r="BM437" s="635">
        <f t="shared" si="178"/>
        <v>0</v>
      </c>
      <c r="BN437" s="636"/>
      <c r="BO437" s="636"/>
      <c r="BP437" s="637">
        <f t="shared" si="179"/>
        <v>0</v>
      </c>
      <c r="BQ437" s="638"/>
      <c r="BR437" s="638"/>
      <c r="BS437" s="635">
        <f t="shared" si="180"/>
        <v>0</v>
      </c>
      <c r="BT437" s="636"/>
      <c r="BU437" s="636"/>
      <c r="BV437" s="637">
        <f t="shared" si="181"/>
        <v>0</v>
      </c>
      <c r="BW437" s="638"/>
      <c r="BX437" s="638"/>
      <c r="BY437" s="641">
        <f t="shared" si="182"/>
        <v>0</v>
      </c>
    </row>
    <row r="438" spans="1:77" ht="15.75" x14ac:dyDescent="0.25">
      <c r="A438" s="322" t="s">
        <v>113</v>
      </c>
      <c r="B438" s="307" t="s">
        <v>621</v>
      </c>
      <c r="C438" s="484"/>
      <c r="D438" s="488">
        <v>218964</v>
      </c>
      <c r="E438" s="489">
        <v>3</v>
      </c>
      <c r="F438" s="631">
        <v>70</v>
      </c>
      <c r="G438" s="632">
        <v>75122</v>
      </c>
      <c r="H438" s="633">
        <f t="shared" si="159"/>
        <v>5258540</v>
      </c>
      <c r="I438" s="648">
        <v>76</v>
      </c>
      <c r="J438" s="634">
        <v>76297</v>
      </c>
      <c r="K438" s="635">
        <f t="shared" si="160"/>
        <v>5798572</v>
      </c>
      <c r="L438" s="636">
        <v>98</v>
      </c>
      <c r="M438" s="636">
        <v>65382.602040816324</v>
      </c>
      <c r="N438" s="637">
        <f t="shared" si="161"/>
        <v>6407495</v>
      </c>
      <c r="O438" s="638">
        <v>96</v>
      </c>
      <c r="P438" s="638">
        <v>64604</v>
      </c>
      <c r="Q438" s="635">
        <f t="shared" si="162"/>
        <v>6201984</v>
      </c>
      <c r="R438" s="636">
        <v>85</v>
      </c>
      <c r="S438" s="636">
        <v>54559</v>
      </c>
      <c r="T438" s="637">
        <f t="shared" si="163"/>
        <v>4637515</v>
      </c>
      <c r="U438" s="638">
        <v>78</v>
      </c>
      <c r="V438" s="638">
        <v>54680</v>
      </c>
      <c r="W438" s="635">
        <f t="shared" si="164"/>
        <v>4265040</v>
      </c>
      <c r="X438" s="636">
        <v>28</v>
      </c>
      <c r="Y438" s="636">
        <v>43445</v>
      </c>
      <c r="Z438" s="637">
        <f t="shared" si="165"/>
        <v>1216460</v>
      </c>
      <c r="AA438" s="638">
        <v>28</v>
      </c>
      <c r="AB438" s="638">
        <v>43810</v>
      </c>
      <c r="AC438" s="635">
        <f t="shared" si="166"/>
        <v>1226680</v>
      </c>
      <c r="AD438" s="636"/>
      <c r="AE438" s="636"/>
      <c r="AF438" s="637">
        <f t="shared" si="167"/>
        <v>0</v>
      </c>
      <c r="AG438" s="638">
        <v>1</v>
      </c>
      <c r="AH438" s="638">
        <v>30000</v>
      </c>
      <c r="AI438" s="635">
        <f t="shared" si="168"/>
        <v>30000</v>
      </c>
      <c r="AJ438" s="636"/>
      <c r="AK438" s="636"/>
      <c r="AL438" s="637">
        <f t="shared" si="169"/>
        <v>0</v>
      </c>
      <c r="AM438" s="638"/>
      <c r="AN438" s="638"/>
      <c r="AO438" s="640">
        <f t="shared" si="170"/>
        <v>0</v>
      </c>
      <c r="AP438" s="636">
        <v>1</v>
      </c>
      <c r="AQ438" s="636">
        <v>96000</v>
      </c>
      <c r="AR438" s="637">
        <f t="shared" si="171"/>
        <v>78547.199999999997</v>
      </c>
      <c r="AS438" s="638">
        <v>1</v>
      </c>
      <c r="AT438" s="638">
        <v>96000</v>
      </c>
      <c r="AU438" s="635">
        <f t="shared" si="172"/>
        <v>78547.199999999997</v>
      </c>
      <c r="AV438" s="636"/>
      <c r="AW438" s="636"/>
      <c r="AX438" s="637">
        <f t="shared" si="173"/>
        <v>0</v>
      </c>
      <c r="AY438" s="638">
        <v>3</v>
      </c>
      <c r="AZ438" s="638">
        <v>79542</v>
      </c>
      <c r="BA438" s="635">
        <f t="shared" si="174"/>
        <v>195243.79320000001</v>
      </c>
      <c r="BB438" s="636">
        <v>2</v>
      </c>
      <c r="BC438" s="636">
        <v>66563</v>
      </c>
      <c r="BD438" s="637">
        <f t="shared" si="175"/>
        <v>108923.69320000001</v>
      </c>
      <c r="BE438" s="638">
        <v>1</v>
      </c>
      <c r="BF438" s="638">
        <v>53126</v>
      </c>
      <c r="BG438" s="635">
        <f t="shared" si="176"/>
        <v>43467.693200000002</v>
      </c>
      <c r="BH438" s="636">
        <v>2</v>
      </c>
      <c r="BI438" s="636">
        <v>58709</v>
      </c>
      <c r="BJ438" s="637">
        <f t="shared" si="177"/>
        <v>96071.407600000006</v>
      </c>
      <c r="BK438" s="638">
        <v>2</v>
      </c>
      <c r="BL438" s="638">
        <v>58709</v>
      </c>
      <c r="BM438" s="635">
        <f t="shared" si="178"/>
        <v>96071.407600000006</v>
      </c>
      <c r="BN438" s="636"/>
      <c r="BO438" s="636"/>
      <c r="BP438" s="637">
        <f t="shared" si="179"/>
        <v>0</v>
      </c>
      <c r="BQ438" s="638"/>
      <c r="BR438" s="638"/>
      <c r="BS438" s="635">
        <f t="shared" si="180"/>
        <v>0</v>
      </c>
      <c r="BT438" s="636"/>
      <c r="BU438" s="636"/>
      <c r="BV438" s="637">
        <f t="shared" si="181"/>
        <v>0</v>
      </c>
      <c r="BW438" s="638"/>
      <c r="BX438" s="638"/>
      <c r="BY438" s="641">
        <f t="shared" si="182"/>
        <v>0</v>
      </c>
    </row>
    <row r="439" spans="1:77" x14ac:dyDescent="0.2">
      <c r="A439" s="322" t="s">
        <v>113</v>
      </c>
      <c r="B439" s="307" t="s">
        <v>622</v>
      </c>
      <c r="C439" s="484" t="s">
        <v>507</v>
      </c>
      <c r="D439" s="488">
        <v>217864</v>
      </c>
      <c r="E439" s="489">
        <v>4</v>
      </c>
      <c r="F439" s="631">
        <v>53</v>
      </c>
      <c r="G439" s="632">
        <v>84252.528301886792</v>
      </c>
      <c r="H439" s="633">
        <f t="shared" si="159"/>
        <v>4465384</v>
      </c>
      <c r="I439" s="634">
        <v>58</v>
      </c>
      <c r="J439" s="634">
        <v>86419</v>
      </c>
      <c r="K439" s="635">
        <f t="shared" si="160"/>
        <v>5012302</v>
      </c>
      <c r="L439" s="636">
        <v>50</v>
      </c>
      <c r="M439" s="636">
        <v>68140.039999999994</v>
      </c>
      <c r="N439" s="637">
        <f t="shared" si="161"/>
        <v>3407001.9999999995</v>
      </c>
      <c r="O439" s="638">
        <v>52</v>
      </c>
      <c r="P439" s="638">
        <v>70080</v>
      </c>
      <c r="Q439" s="635">
        <f t="shared" si="162"/>
        <v>3644160</v>
      </c>
      <c r="R439" s="636">
        <v>64</v>
      </c>
      <c r="S439" s="636">
        <v>56117.015625</v>
      </c>
      <c r="T439" s="637">
        <f t="shared" si="163"/>
        <v>3591489</v>
      </c>
      <c r="U439" s="638">
        <v>64</v>
      </c>
      <c r="V439" s="638">
        <v>57535</v>
      </c>
      <c r="W439" s="635">
        <f t="shared" si="164"/>
        <v>3682240</v>
      </c>
      <c r="X439" s="636">
        <v>2</v>
      </c>
      <c r="Y439" s="636">
        <v>49000</v>
      </c>
      <c r="Z439" s="637">
        <f t="shared" si="165"/>
        <v>98000</v>
      </c>
      <c r="AA439" s="638">
        <v>3</v>
      </c>
      <c r="AB439" s="638">
        <v>44993</v>
      </c>
      <c r="AC439" s="635">
        <f t="shared" si="166"/>
        <v>134979</v>
      </c>
      <c r="AD439" s="636"/>
      <c r="AE439" s="636"/>
      <c r="AF439" s="637">
        <f t="shared" si="167"/>
        <v>0</v>
      </c>
      <c r="AG439" s="638"/>
      <c r="AH439" s="638"/>
      <c r="AI439" s="635">
        <f t="shared" si="168"/>
        <v>0</v>
      </c>
      <c r="AJ439" s="636"/>
      <c r="AK439" s="636"/>
      <c r="AL439" s="637">
        <f t="shared" si="169"/>
        <v>0</v>
      </c>
      <c r="AM439" s="638"/>
      <c r="AN439" s="638"/>
      <c r="AO439" s="640">
        <f t="shared" si="170"/>
        <v>0</v>
      </c>
      <c r="AP439" s="636"/>
      <c r="AQ439" s="636"/>
      <c r="AR439" s="637">
        <f t="shared" si="171"/>
        <v>0</v>
      </c>
      <c r="AS439" s="638"/>
      <c r="AT439" s="638"/>
      <c r="AU439" s="635">
        <f t="shared" si="172"/>
        <v>0</v>
      </c>
      <c r="AV439" s="636">
        <v>1</v>
      </c>
      <c r="AW439" s="636">
        <v>67000</v>
      </c>
      <c r="AX439" s="637">
        <f t="shared" si="173"/>
        <v>54819.4</v>
      </c>
      <c r="AY439" s="638">
        <v>1</v>
      </c>
      <c r="AZ439" s="638">
        <v>67670</v>
      </c>
      <c r="BA439" s="635">
        <f t="shared" si="174"/>
        <v>55367.594000000005</v>
      </c>
      <c r="BB439" s="636"/>
      <c r="BC439" s="636"/>
      <c r="BD439" s="637">
        <f t="shared" si="175"/>
        <v>0</v>
      </c>
      <c r="BE439" s="638"/>
      <c r="BF439" s="638"/>
      <c r="BG439" s="635">
        <f t="shared" si="176"/>
        <v>0</v>
      </c>
      <c r="BH439" s="636"/>
      <c r="BI439" s="636"/>
      <c r="BJ439" s="637">
        <f t="shared" si="177"/>
        <v>0</v>
      </c>
      <c r="BK439" s="638"/>
      <c r="BL439" s="638"/>
      <c r="BM439" s="635">
        <f t="shared" si="178"/>
        <v>0</v>
      </c>
      <c r="BN439" s="636"/>
      <c r="BO439" s="636"/>
      <c r="BP439" s="637">
        <f t="shared" si="179"/>
        <v>0</v>
      </c>
      <c r="BQ439" s="638"/>
      <c r="BR439" s="638"/>
      <c r="BS439" s="635">
        <f t="shared" si="180"/>
        <v>0</v>
      </c>
      <c r="BT439" s="636"/>
      <c r="BU439" s="636"/>
      <c r="BV439" s="637">
        <f t="shared" si="181"/>
        <v>0</v>
      </c>
      <c r="BW439" s="638"/>
      <c r="BX439" s="638"/>
      <c r="BY439" s="641">
        <f t="shared" si="182"/>
        <v>0</v>
      </c>
    </row>
    <row r="440" spans="1:77" x14ac:dyDescent="0.2">
      <c r="A440" s="322" t="s">
        <v>113</v>
      </c>
      <c r="B440" s="307" t="s">
        <v>623</v>
      </c>
      <c r="C440" s="484"/>
      <c r="D440" s="488">
        <v>218724</v>
      </c>
      <c r="E440" s="489">
        <v>5</v>
      </c>
      <c r="F440" s="631">
        <v>43</v>
      </c>
      <c r="G440" s="632">
        <v>80331.395348837206</v>
      </c>
      <c r="H440" s="633">
        <f t="shared" si="159"/>
        <v>3454250</v>
      </c>
      <c r="I440" s="634">
        <v>59</v>
      </c>
      <c r="J440" s="634">
        <v>83433</v>
      </c>
      <c r="K440" s="635">
        <f t="shared" si="160"/>
        <v>4922547</v>
      </c>
      <c r="L440" s="636">
        <v>69</v>
      </c>
      <c r="M440" s="636">
        <v>68902.985507246383</v>
      </c>
      <c r="N440" s="637">
        <f t="shared" si="161"/>
        <v>4754306</v>
      </c>
      <c r="O440" s="638">
        <v>89</v>
      </c>
      <c r="P440" s="638">
        <v>70025</v>
      </c>
      <c r="Q440" s="635">
        <f t="shared" si="162"/>
        <v>6232225</v>
      </c>
      <c r="R440" s="636">
        <v>113</v>
      </c>
      <c r="S440" s="636">
        <v>56319.115044247788</v>
      </c>
      <c r="T440" s="637">
        <f t="shared" si="163"/>
        <v>6364060</v>
      </c>
      <c r="U440" s="638">
        <v>104</v>
      </c>
      <c r="V440" s="638">
        <v>58234</v>
      </c>
      <c r="W440" s="635">
        <f t="shared" si="164"/>
        <v>6056336</v>
      </c>
      <c r="X440" s="636">
        <v>14</v>
      </c>
      <c r="Y440" s="636">
        <v>44510.785714285717</v>
      </c>
      <c r="Z440" s="637">
        <f t="shared" si="165"/>
        <v>623151</v>
      </c>
      <c r="AA440" s="638">
        <v>11</v>
      </c>
      <c r="AB440" s="638">
        <v>44539</v>
      </c>
      <c r="AC440" s="635">
        <f t="shared" si="166"/>
        <v>489929</v>
      </c>
      <c r="AD440" s="636">
        <v>62</v>
      </c>
      <c r="AE440" s="636">
        <v>38867.112903225803</v>
      </c>
      <c r="AF440" s="637">
        <f t="shared" si="167"/>
        <v>2409761</v>
      </c>
      <c r="AG440" s="638">
        <v>75</v>
      </c>
      <c r="AH440" s="638">
        <v>40583</v>
      </c>
      <c r="AI440" s="635">
        <f t="shared" si="168"/>
        <v>3043725</v>
      </c>
      <c r="AJ440" s="636"/>
      <c r="AK440" s="636"/>
      <c r="AL440" s="637">
        <f t="shared" si="169"/>
        <v>0</v>
      </c>
      <c r="AM440" s="638"/>
      <c r="AN440" s="638"/>
      <c r="AO440" s="640">
        <f t="shared" si="170"/>
        <v>0</v>
      </c>
      <c r="AP440" s="636">
        <v>15</v>
      </c>
      <c r="AQ440" s="636">
        <v>109091.8</v>
      </c>
      <c r="AR440" s="637">
        <f t="shared" si="171"/>
        <v>1338883.6614000001</v>
      </c>
      <c r="AS440" s="638">
        <v>4</v>
      </c>
      <c r="AT440" s="638">
        <v>116117</v>
      </c>
      <c r="AU440" s="635">
        <f t="shared" si="172"/>
        <v>380027.71760000003</v>
      </c>
      <c r="AV440" s="636">
        <v>15</v>
      </c>
      <c r="AW440" s="636">
        <v>84038.133333333331</v>
      </c>
      <c r="AX440" s="637">
        <f t="shared" si="173"/>
        <v>1031400.0104</v>
      </c>
      <c r="AY440" s="638">
        <v>4</v>
      </c>
      <c r="AZ440" s="638">
        <v>100095</v>
      </c>
      <c r="BA440" s="635">
        <f t="shared" si="174"/>
        <v>327590.91600000003</v>
      </c>
      <c r="BB440" s="636">
        <v>2</v>
      </c>
      <c r="BC440" s="636">
        <v>62706</v>
      </c>
      <c r="BD440" s="637">
        <f t="shared" si="175"/>
        <v>102612.0984</v>
      </c>
      <c r="BE440" s="638"/>
      <c r="BF440" s="638"/>
      <c r="BG440" s="635">
        <f t="shared" si="176"/>
        <v>0</v>
      </c>
      <c r="BH440" s="636">
        <v>2</v>
      </c>
      <c r="BI440" s="636">
        <v>64985</v>
      </c>
      <c r="BJ440" s="637">
        <f t="shared" si="177"/>
        <v>106341.454</v>
      </c>
      <c r="BK440" s="638">
        <v>2</v>
      </c>
      <c r="BL440" s="638">
        <v>66935</v>
      </c>
      <c r="BM440" s="635">
        <f t="shared" si="178"/>
        <v>109532.43400000001</v>
      </c>
      <c r="BN440" s="636">
        <v>11</v>
      </c>
      <c r="BO440" s="636">
        <v>59048.909090909088</v>
      </c>
      <c r="BP440" s="637">
        <f t="shared" si="179"/>
        <v>531451.99160000007</v>
      </c>
      <c r="BQ440" s="638">
        <v>7</v>
      </c>
      <c r="BR440" s="638">
        <v>60180</v>
      </c>
      <c r="BS440" s="635">
        <f t="shared" si="180"/>
        <v>344674.93200000003</v>
      </c>
      <c r="BT440" s="636"/>
      <c r="BU440" s="636"/>
      <c r="BV440" s="637">
        <f t="shared" si="181"/>
        <v>0</v>
      </c>
      <c r="BW440" s="638"/>
      <c r="BX440" s="638"/>
      <c r="BY440" s="641">
        <f t="shared" si="182"/>
        <v>0</v>
      </c>
    </row>
    <row r="441" spans="1:77" x14ac:dyDescent="0.2">
      <c r="A441" s="322" t="s">
        <v>113</v>
      </c>
      <c r="B441" s="307" t="s">
        <v>624</v>
      </c>
      <c r="C441" s="484"/>
      <c r="D441" s="488">
        <v>218061</v>
      </c>
      <c r="E441" s="489">
        <v>5</v>
      </c>
      <c r="F441" s="631">
        <v>55</v>
      </c>
      <c r="G441" s="632">
        <v>74701.490909090906</v>
      </c>
      <c r="H441" s="633">
        <f t="shared" si="159"/>
        <v>4108582</v>
      </c>
      <c r="I441" s="634">
        <v>52</v>
      </c>
      <c r="J441" s="634">
        <v>76581</v>
      </c>
      <c r="K441" s="635">
        <f t="shared" si="160"/>
        <v>3982212</v>
      </c>
      <c r="L441" s="636">
        <v>48</v>
      </c>
      <c r="M441" s="636">
        <v>59881.166666666664</v>
      </c>
      <c r="N441" s="637">
        <f t="shared" si="161"/>
        <v>2874296</v>
      </c>
      <c r="O441" s="638">
        <v>50</v>
      </c>
      <c r="P441" s="638">
        <v>60894</v>
      </c>
      <c r="Q441" s="635">
        <f t="shared" si="162"/>
        <v>3044700</v>
      </c>
      <c r="R441" s="636">
        <v>78</v>
      </c>
      <c r="S441" s="636">
        <v>53129.628205128203</v>
      </c>
      <c r="T441" s="637">
        <f t="shared" si="163"/>
        <v>4144111</v>
      </c>
      <c r="U441" s="638">
        <v>72</v>
      </c>
      <c r="V441" s="638">
        <v>54124</v>
      </c>
      <c r="W441" s="635">
        <f t="shared" si="164"/>
        <v>3896928</v>
      </c>
      <c r="X441" s="636">
        <v>14</v>
      </c>
      <c r="Y441" s="636">
        <v>47499</v>
      </c>
      <c r="Z441" s="637">
        <f t="shared" si="165"/>
        <v>664986</v>
      </c>
      <c r="AA441" s="638">
        <v>15</v>
      </c>
      <c r="AB441" s="638">
        <v>48427</v>
      </c>
      <c r="AC441" s="635">
        <f t="shared" si="166"/>
        <v>726405</v>
      </c>
      <c r="AD441" s="636"/>
      <c r="AE441" s="636"/>
      <c r="AF441" s="637">
        <f t="shared" si="167"/>
        <v>0</v>
      </c>
      <c r="AG441" s="638"/>
      <c r="AH441" s="638"/>
      <c r="AI441" s="635">
        <f t="shared" si="168"/>
        <v>0</v>
      </c>
      <c r="AJ441" s="636"/>
      <c r="AK441" s="636"/>
      <c r="AL441" s="637">
        <f t="shared" si="169"/>
        <v>0</v>
      </c>
      <c r="AM441" s="638"/>
      <c r="AN441" s="638"/>
      <c r="AO441" s="640">
        <f t="shared" si="170"/>
        <v>0</v>
      </c>
      <c r="AP441" s="636">
        <v>7</v>
      </c>
      <c r="AQ441" s="636">
        <v>92678.571428571435</v>
      </c>
      <c r="AR441" s="637">
        <f t="shared" si="171"/>
        <v>530807.25</v>
      </c>
      <c r="AS441" s="638">
        <v>6</v>
      </c>
      <c r="AT441" s="638">
        <v>96295</v>
      </c>
      <c r="AU441" s="635">
        <f t="shared" si="172"/>
        <v>472731.41400000005</v>
      </c>
      <c r="AV441" s="636"/>
      <c r="AW441" s="636"/>
      <c r="AX441" s="637">
        <f t="shared" si="173"/>
        <v>0</v>
      </c>
      <c r="AY441" s="638">
        <v>1</v>
      </c>
      <c r="AZ441" s="638">
        <v>74160</v>
      </c>
      <c r="BA441" s="635">
        <f t="shared" si="174"/>
        <v>60677.712</v>
      </c>
      <c r="BB441" s="636"/>
      <c r="BC441" s="636"/>
      <c r="BD441" s="637">
        <f t="shared" si="175"/>
        <v>0</v>
      </c>
      <c r="BE441" s="638"/>
      <c r="BF441" s="638"/>
      <c r="BG441" s="635">
        <f t="shared" si="176"/>
        <v>0</v>
      </c>
      <c r="BH441" s="636"/>
      <c r="BI441" s="636"/>
      <c r="BJ441" s="637">
        <f t="shared" si="177"/>
        <v>0</v>
      </c>
      <c r="BK441" s="638"/>
      <c r="BL441" s="638"/>
      <c r="BM441" s="635">
        <f t="shared" si="178"/>
        <v>0</v>
      </c>
      <c r="BN441" s="636"/>
      <c r="BO441" s="636"/>
      <c r="BP441" s="637">
        <f t="shared" si="179"/>
        <v>0</v>
      </c>
      <c r="BQ441" s="638"/>
      <c r="BR441" s="638"/>
      <c r="BS441" s="635">
        <f t="shared" si="180"/>
        <v>0</v>
      </c>
      <c r="BT441" s="636"/>
      <c r="BU441" s="636"/>
      <c r="BV441" s="637">
        <f t="shared" si="181"/>
        <v>0</v>
      </c>
      <c r="BW441" s="638"/>
      <c r="BX441" s="638"/>
      <c r="BY441" s="641">
        <f t="shared" si="182"/>
        <v>0</v>
      </c>
    </row>
    <row r="442" spans="1:77" x14ac:dyDescent="0.2">
      <c r="A442" s="322" t="s">
        <v>113</v>
      </c>
      <c r="B442" s="307" t="s">
        <v>625</v>
      </c>
      <c r="C442" s="484"/>
      <c r="D442" s="488">
        <v>218733</v>
      </c>
      <c r="E442" s="489">
        <v>5</v>
      </c>
      <c r="F442" s="631">
        <v>37</v>
      </c>
      <c r="G442" s="632">
        <v>72789.459459459453</v>
      </c>
      <c r="H442" s="633">
        <f t="shared" si="159"/>
        <v>2693209.9999999995</v>
      </c>
      <c r="I442" s="634">
        <v>36</v>
      </c>
      <c r="J442" s="634">
        <v>71164</v>
      </c>
      <c r="K442" s="635">
        <f t="shared" si="160"/>
        <v>2561904</v>
      </c>
      <c r="L442" s="636">
        <v>36</v>
      </c>
      <c r="M442" s="636">
        <v>61272.361111111109</v>
      </c>
      <c r="N442" s="637">
        <f t="shared" si="161"/>
        <v>2205805</v>
      </c>
      <c r="O442" s="638">
        <v>49</v>
      </c>
      <c r="P442" s="638">
        <v>62946</v>
      </c>
      <c r="Q442" s="635">
        <f t="shared" si="162"/>
        <v>3084354</v>
      </c>
      <c r="R442" s="636">
        <v>84</v>
      </c>
      <c r="S442" s="636">
        <v>57489.154761904763</v>
      </c>
      <c r="T442" s="637">
        <f t="shared" si="163"/>
        <v>4829089</v>
      </c>
      <c r="U442" s="638">
        <v>69</v>
      </c>
      <c r="V442" s="638">
        <v>56152</v>
      </c>
      <c r="W442" s="635">
        <f t="shared" si="164"/>
        <v>3874488</v>
      </c>
      <c r="X442" s="636">
        <v>27</v>
      </c>
      <c r="Y442" s="636">
        <v>43430.333333333336</v>
      </c>
      <c r="Z442" s="637">
        <f t="shared" si="165"/>
        <v>1172619</v>
      </c>
      <c r="AA442" s="638">
        <v>25</v>
      </c>
      <c r="AB442" s="638">
        <v>44054</v>
      </c>
      <c r="AC442" s="635">
        <f t="shared" si="166"/>
        <v>1101350</v>
      </c>
      <c r="AD442" s="636"/>
      <c r="AE442" s="636"/>
      <c r="AF442" s="637">
        <f t="shared" si="167"/>
        <v>0</v>
      </c>
      <c r="AG442" s="638"/>
      <c r="AH442" s="638"/>
      <c r="AI442" s="635">
        <f t="shared" si="168"/>
        <v>0</v>
      </c>
      <c r="AJ442" s="636"/>
      <c r="AK442" s="636"/>
      <c r="AL442" s="637">
        <f t="shared" si="169"/>
        <v>0</v>
      </c>
      <c r="AM442" s="638"/>
      <c r="AN442" s="638"/>
      <c r="AO442" s="640">
        <f t="shared" si="170"/>
        <v>0</v>
      </c>
      <c r="AP442" s="636">
        <v>8</v>
      </c>
      <c r="AQ442" s="636">
        <v>94860</v>
      </c>
      <c r="AR442" s="637">
        <f t="shared" si="171"/>
        <v>620915.61600000004</v>
      </c>
      <c r="AS442" s="638">
        <v>9</v>
      </c>
      <c r="AT442" s="638">
        <v>100119</v>
      </c>
      <c r="AU442" s="635">
        <f t="shared" si="172"/>
        <v>737256.29220000003</v>
      </c>
      <c r="AV442" s="636">
        <v>13</v>
      </c>
      <c r="AW442" s="636">
        <v>81946.461538461532</v>
      </c>
      <c r="AX442" s="637">
        <f t="shared" si="173"/>
        <v>871631.7328</v>
      </c>
      <c r="AY442" s="638">
        <v>10</v>
      </c>
      <c r="AZ442" s="638">
        <v>82178</v>
      </c>
      <c r="BA442" s="635">
        <f t="shared" si="174"/>
        <v>672380.39600000007</v>
      </c>
      <c r="BB442" s="636">
        <v>6</v>
      </c>
      <c r="BC442" s="636">
        <v>72356.5</v>
      </c>
      <c r="BD442" s="637">
        <f t="shared" si="175"/>
        <v>355212.52980000002</v>
      </c>
      <c r="BE442" s="638">
        <v>7</v>
      </c>
      <c r="BF442" s="638">
        <v>64134</v>
      </c>
      <c r="BG442" s="635">
        <f t="shared" si="176"/>
        <v>367321.07160000002</v>
      </c>
      <c r="BH442" s="636">
        <v>5</v>
      </c>
      <c r="BI442" s="636">
        <v>60951.199999999997</v>
      </c>
      <c r="BJ442" s="637">
        <f t="shared" si="177"/>
        <v>249351.35920000001</v>
      </c>
      <c r="BK442" s="638">
        <v>8</v>
      </c>
      <c r="BL442" s="638">
        <v>57808</v>
      </c>
      <c r="BM442" s="635">
        <f t="shared" si="178"/>
        <v>378388.04480000003</v>
      </c>
      <c r="BN442" s="636"/>
      <c r="BO442" s="636"/>
      <c r="BP442" s="637">
        <f t="shared" si="179"/>
        <v>0</v>
      </c>
      <c r="BQ442" s="638">
        <v>3</v>
      </c>
      <c r="BR442" s="638">
        <v>45382</v>
      </c>
      <c r="BS442" s="635">
        <f t="shared" si="180"/>
        <v>111394.6572</v>
      </c>
      <c r="BT442" s="636"/>
      <c r="BU442" s="636"/>
      <c r="BV442" s="637">
        <f t="shared" si="181"/>
        <v>0</v>
      </c>
      <c r="BW442" s="638"/>
      <c r="BX442" s="638"/>
      <c r="BY442" s="641">
        <f t="shared" si="182"/>
        <v>0</v>
      </c>
    </row>
    <row r="443" spans="1:77" x14ac:dyDescent="0.2">
      <c r="A443" s="322" t="s">
        <v>113</v>
      </c>
      <c r="B443" s="323" t="s">
        <v>626</v>
      </c>
      <c r="C443" s="484"/>
      <c r="D443" s="488">
        <v>218229</v>
      </c>
      <c r="E443" s="489">
        <v>6</v>
      </c>
      <c r="F443" s="631">
        <v>12</v>
      </c>
      <c r="G443" s="632">
        <v>69449.666666666672</v>
      </c>
      <c r="H443" s="633">
        <f t="shared" si="159"/>
        <v>833396</v>
      </c>
      <c r="I443" s="634">
        <v>14</v>
      </c>
      <c r="J443" s="634">
        <v>67308</v>
      </c>
      <c r="K443" s="635">
        <f t="shared" si="160"/>
        <v>942312</v>
      </c>
      <c r="L443" s="636">
        <v>30</v>
      </c>
      <c r="M443" s="636">
        <v>53889.866666666669</v>
      </c>
      <c r="N443" s="637">
        <f t="shared" si="161"/>
        <v>1616696</v>
      </c>
      <c r="O443" s="638">
        <v>33</v>
      </c>
      <c r="P443" s="638">
        <v>53670</v>
      </c>
      <c r="Q443" s="635">
        <f t="shared" si="162"/>
        <v>1771110</v>
      </c>
      <c r="R443" s="636">
        <v>42</v>
      </c>
      <c r="S443" s="636">
        <v>50541.214285714283</v>
      </c>
      <c r="T443" s="637">
        <f t="shared" si="163"/>
        <v>2122731</v>
      </c>
      <c r="U443" s="638">
        <v>50</v>
      </c>
      <c r="V443" s="638">
        <v>49431</v>
      </c>
      <c r="W443" s="635">
        <f t="shared" si="164"/>
        <v>2471550</v>
      </c>
      <c r="X443" s="636">
        <v>16</v>
      </c>
      <c r="Y443" s="636">
        <v>42755.9375</v>
      </c>
      <c r="Z443" s="637">
        <f t="shared" si="165"/>
        <v>684095</v>
      </c>
      <c r="AA443" s="638">
        <v>32</v>
      </c>
      <c r="AB443" s="638">
        <v>40458</v>
      </c>
      <c r="AC443" s="635">
        <f t="shared" si="166"/>
        <v>1294656</v>
      </c>
      <c r="AD443" s="636">
        <v>2</v>
      </c>
      <c r="AE443" s="636">
        <v>29631</v>
      </c>
      <c r="AF443" s="637">
        <f t="shared" si="167"/>
        <v>59262</v>
      </c>
      <c r="AG443" s="638">
        <v>2</v>
      </c>
      <c r="AH443" s="638">
        <v>29631</v>
      </c>
      <c r="AI443" s="635">
        <f t="shared" si="168"/>
        <v>59262</v>
      </c>
      <c r="AJ443" s="636"/>
      <c r="AK443" s="636"/>
      <c r="AL443" s="637">
        <f t="shared" si="169"/>
        <v>0</v>
      </c>
      <c r="AM443" s="638"/>
      <c r="AN443" s="638"/>
      <c r="AO443" s="640">
        <f t="shared" si="170"/>
        <v>0</v>
      </c>
      <c r="AP443" s="636">
        <v>2</v>
      </c>
      <c r="AQ443" s="636">
        <v>92168</v>
      </c>
      <c r="AR443" s="637">
        <f t="shared" si="171"/>
        <v>150823.71520000001</v>
      </c>
      <c r="AS443" s="638">
        <v>1</v>
      </c>
      <c r="AT443" s="638">
        <v>99961</v>
      </c>
      <c r="AU443" s="635">
        <f t="shared" si="172"/>
        <v>81788.090200000006</v>
      </c>
      <c r="AV443" s="636">
        <v>3</v>
      </c>
      <c r="AW443" s="636">
        <v>53652</v>
      </c>
      <c r="AX443" s="637">
        <f t="shared" si="173"/>
        <v>131694.1992</v>
      </c>
      <c r="AY443" s="638">
        <v>3</v>
      </c>
      <c r="AZ443" s="638">
        <v>61265</v>
      </c>
      <c r="BA443" s="635">
        <f t="shared" si="174"/>
        <v>150381.06900000002</v>
      </c>
      <c r="BB443" s="636">
        <v>8</v>
      </c>
      <c r="BC443" s="636">
        <v>47875</v>
      </c>
      <c r="BD443" s="637">
        <f t="shared" si="175"/>
        <v>313370.60000000003</v>
      </c>
      <c r="BE443" s="638"/>
      <c r="BF443" s="638"/>
      <c r="BG443" s="635">
        <f t="shared" si="176"/>
        <v>0</v>
      </c>
      <c r="BH443" s="636">
        <v>7</v>
      </c>
      <c r="BI443" s="636">
        <v>39286</v>
      </c>
      <c r="BJ443" s="637">
        <f t="shared" si="177"/>
        <v>225006.63640000002</v>
      </c>
      <c r="BK443" s="638"/>
      <c r="BL443" s="638"/>
      <c r="BM443" s="635">
        <f t="shared" si="178"/>
        <v>0</v>
      </c>
      <c r="BN443" s="636">
        <v>4</v>
      </c>
      <c r="BO443" s="636">
        <v>44298</v>
      </c>
      <c r="BP443" s="637">
        <f t="shared" si="179"/>
        <v>144978.4944</v>
      </c>
      <c r="BQ443" s="638">
        <v>3</v>
      </c>
      <c r="BR443" s="638">
        <v>54230</v>
      </c>
      <c r="BS443" s="635">
        <f t="shared" si="180"/>
        <v>133112.95800000001</v>
      </c>
      <c r="BT443" s="636"/>
      <c r="BU443" s="636"/>
      <c r="BV443" s="637">
        <f t="shared" si="181"/>
        <v>0</v>
      </c>
      <c r="BW443" s="638"/>
      <c r="BX443" s="638"/>
      <c r="BY443" s="641">
        <f t="shared" si="182"/>
        <v>0</v>
      </c>
    </row>
    <row r="444" spans="1:77" x14ac:dyDescent="0.2">
      <c r="A444" s="322" t="s">
        <v>113</v>
      </c>
      <c r="B444" s="307" t="s">
        <v>627</v>
      </c>
      <c r="C444" s="484"/>
      <c r="D444" s="488">
        <v>218645</v>
      </c>
      <c r="E444" s="489">
        <v>6</v>
      </c>
      <c r="F444" s="631">
        <v>21</v>
      </c>
      <c r="G444" s="632">
        <v>73421.71428571429</v>
      </c>
      <c r="H444" s="633">
        <f t="shared" si="159"/>
        <v>1541856</v>
      </c>
      <c r="I444" s="634">
        <v>23</v>
      </c>
      <c r="J444" s="634">
        <v>73636</v>
      </c>
      <c r="K444" s="635">
        <f t="shared" si="160"/>
        <v>1693628</v>
      </c>
      <c r="L444" s="636">
        <v>29</v>
      </c>
      <c r="M444" s="636">
        <v>59420.793103448275</v>
      </c>
      <c r="N444" s="637">
        <f t="shared" si="161"/>
        <v>1723203</v>
      </c>
      <c r="O444" s="638">
        <v>31</v>
      </c>
      <c r="P444" s="638">
        <v>58054</v>
      </c>
      <c r="Q444" s="635">
        <f t="shared" si="162"/>
        <v>1799674</v>
      </c>
      <c r="R444" s="636">
        <v>43</v>
      </c>
      <c r="S444" s="636">
        <v>52349.279069767443</v>
      </c>
      <c r="T444" s="637">
        <f t="shared" si="163"/>
        <v>2251019</v>
      </c>
      <c r="U444" s="638">
        <v>36</v>
      </c>
      <c r="V444" s="638">
        <v>53178</v>
      </c>
      <c r="W444" s="635">
        <f t="shared" si="164"/>
        <v>1914408</v>
      </c>
      <c r="X444" s="636">
        <v>37</v>
      </c>
      <c r="Y444" s="636">
        <v>42839.24324324324</v>
      </c>
      <c r="Z444" s="637">
        <f t="shared" si="165"/>
        <v>1585051.9999999998</v>
      </c>
      <c r="AA444" s="638">
        <v>40</v>
      </c>
      <c r="AB444" s="638">
        <v>42456</v>
      </c>
      <c r="AC444" s="635">
        <f t="shared" si="166"/>
        <v>1698240</v>
      </c>
      <c r="AD444" s="636"/>
      <c r="AE444" s="636"/>
      <c r="AF444" s="637">
        <f t="shared" si="167"/>
        <v>0</v>
      </c>
      <c r="AG444" s="638"/>
      <c r="AH444" s="638"/>
      <c r="AI444" s="635">
        <f t="shared" si="168"/>
        <v>0</v>
      </c>
      <c r="AJ444" s="636"/>
      <c r="AK444" s="636"/>
      <c r="AL444" s="637">
        <f t="shared" si="169"/>
        <v>0</v>
      </c>
      <c r="AM444" s="638"/>
      <c r="AN444" s="638"/>
      <c r="AO444" s="640">
        <f t="shared" si="170"/>
        <v>0</v>
      </c>
      <c r="AP444" s="636">
        <v>8</v>
      </c>
      <c r="AQ444" s="636">
        <v>90208</v>
      </c>
      <c r="AR444" s="637">
        <f t="shared" si="171"/>
        <v>590465.48479999998</v>
      </c>
      <c r="AS444" s="638">
        <v>7</v>
      </c>
      <c r="AT444" s="638">
        <v>91234</v>
      </c>
      <c r="AU444" s="635">
        <f t="shared" si="172"/>
        <v>522533.6116</v>
      </c>
      <c r="AV444" s="636">
        <v>7</v>
      </c>
      <c r="AW444" s="636">
        <v>76049.571428571435</v>
      </c>
      <c r="AX444" s="637">
        <f t="shared" si="173"/>
        <v>435566.31540000002</v>
      </c>
      <c r="AY444" s="638">
        <v>8</v>
      </c>
      <c r="AZ444" s="638">
        <v>73900</v>
      </c>
      <c r="BA444" s="635">
        <f t="shared" si="174"/>
        <v>483719.84</v>
      </c>
      <c r="BB444" s="636">
        <v>3</v>
      </c>
      <c r="BC444" s="636">
        <v>46823.333333333336</v>
      </c>
      <c r="BD444" s="637">
        <f t="shared" si="175"/>
        <v>114932.554</v>
      </c>
      <c r="BE444" s="638">
        <v>3</v>
      </c>
      <c r="BF444" s="638">
        <v>46823</v>
      </c>
      <c r="BG444" s="635">
        <f t="shared" si="176"/>
        <v>114931.73580000001</v>
      </c>
      <c r="BH444" s="636">
        <v>2</v>
      </c>
      <c r="BI444" s="636">
        <v>38160.5</v>
      </c>
      <c r="BJ444" s="637">
        <f t="shared" si="177"/>
        <v>62445.842200000006</v>
      </c>
      <c r="BK444" s="638">
        <v>3</v>
      </c>
      <c r="BL444" s="638">
        <v>39107</v>
      </c>
      <c r="BM444" s="635">
        <f t="shared" si="178"/>
        <v>95992.042200000011</v>
      </c>
      <c r="BN444" s="636"/>
      <c r="BO444" s="636"/>
      <c r="BP444" s="637">
        <f t="shared" si="179"/>
        <v>0</v>
      </c>
      <c r="BQ444" s="638"/>
      <c r="BR444" s="638"/>
      <c r="BS444" s="635">
        <f t="shared" si="180"/>
        <v>0</v>
      </c>
      <c r="BT444" s="636"/>
      <c r="BU444" s="636"/>
      <c r="BV444" s="637">
        <f t="shared" si="181"/>
        <v>0</v>
      </c>
      <c r="BW444" s="638"/>
      <c r="BX444" s="638"/>
      <c r="BY444" s="641">
        <f t="shared" si="182"/>
        <v>0</v>
      </c>
    </row>
    <row r="445" spans="1:77" x14ac:dyDescent="0.2">
      <c r="A445" s="322" t="s">
        <v>113</v>
      </c>
      <c r="B445" s="325" t="s">
        <v>629</v>
      </c>
      <c r="C445" s="484"/>
      <c r="D445" s="488">
        <v>218742</v>
      </c>
      <c r="E445" s="489">
        <v>6</v>
      </c>
      <c r="F445" s="631">
        <v>6</v>
      </c>
      <c r="G445" s="632">
        <v>74243.333333333328</v>
      </c>
      <c r="H445" s="633">
        <f t="shared" si="159"/>
        <v>445460</v>
      </c>
      <c r="I445" s="634">
        <v>6</v>
      </c>
      <c r="J445" s="634">
        <v>71292</v>
      </c>
      <c r="K445" s="635">
        <f t="shared" si="160"/>
        <v>427752</v>
      </c>
      <c r="L445" s="636">
        <v>13</v>
      </c>
      <c r="M445" s="636">
        <v>59696.384615384617</v>
      </c>
      <c r="N445" s="637">
        <f t="shared" si="161"/>
        <v>776053</v>
      </c>
      <c r="O445" s="638">
        <v>14</v>
      </c>
      <c r="P445" s="638">
        <v>58102</v>
      </c>
      <c r="Q445" s="635">
        <f t="shared" si="162"/>
        <v>813428</v>
      </c>
      <c r="R445" s="636">
        <v>15</v>
      </c>
      <c r="S445" s="636">
        <v>50466.866666666669</v>
      </c>
      <c r="T445" s="637">
        <f t="shared" si="163"/>
        <v>757003</v>
      </c>
      <c r="U445" s="638">
        <v>17</v>
      </c>
      <c r="V445" s="638">
        <v>54118</v>
      </c>
      <c r="W445" s="635">
        <f t="shared" si="164"/>
        <v>920006</v>
      </c>
      <c r="X445" s="636">
        <v>16</v>
      </c>
      <c r="Y445" s="636">
        <v>46316.3125</v>
      </c>
      <c r="Z445" s="637">
        <f t="shared" si="165"/>
        <v>741061</v>
      </c>
      <c r="AA445" s="638">
        <v>18</v>
      </c>
      <c r="AB445" s="638">
        <v>47324</v>
      </c>
      <c r="AC445" s="635">
        <f t="shared" si="166"/>
        <v>851832</v>
      </c>
      <c r="AD445" s="636"/>
      <c r="AE445" s="636"/>
      <c r="AF445" s="637">
        <f t="shared" si="167"/>
        <v>0</v>
      </c>
      <c r="AG445" s="638"/>
      <c r="AH445" s="638"/>
      <c r="AI445" s="635">
        <f t="shared" si="168"/>
        <v>0</v>
      </c>
      <c r="AJ445" s="636"/>
      <c r="AK445" s="636"/>
      <c r="AL445" s="637">
        <f t="shared" si="169"/>
        <v>0</v>
      </c>
      <c r="AM445" s="638"/>
      <c r="AN445" s="638"/>
      <c r="AO445" s="640">
        <f t="shared" si="170"/>
        <v>0</v>
      </c>
      <c r="AP445" s="636">
        <v>5</v>
      </c>
      <c r="AQ445" s="636">
        <v>88143.4</v>
      </c>
      <c r="AR445" s="637">
        <f t="shared" si="171"/>
        <v>360594.64939999999</v>
      </c>
      <c r="AS445" s="638">
        <v>5</v>
      </c>
      <c r="AT445" s="638">
        <v>90432</v>
      </c>
      <c r="AU445" s="635">
        <f t="shared" si="172"/>
        <v>369957.31200000003</v>
      </c>
      <c r="AV445" s="636">
        <v>3</v>
      </c>
      <c r="AW445" s="636">
        <v>83965.666666666672</v>
      </c>
      <c r="AX445" s="637">
        <f t="shared" si="173"/>
        <v>206102.12540000002</v>
      </c>
      <c r="AY445" s="638">
        <v>2</v>
      </c>
      <c r="AZ445" s="638">
        <v>85555</v>
      </c>
      <c r="BA445" s="635">
        <f t="shared" si="174"/>
        <v>140002.20200000002</v>
      </c>
      <c r="BB445" s="636"/>
      <c r="BC445" s="636"/>
      <c r="BD445" s="637">
        <f t="shared" si="175"/>
        <v>0</v>
      </c>
      <c r="BE445" s="638"/>
      <c r="BF445" s="638"/>
      <c r="BG445" s="635">
        <f t="shared" si="176"/>
        <v>0</v>
      </c>
      <c r="BH445" s="636">
        <v>1</v>
      </c>
      <c r="BI445" s="636">
        <v>50000</v>
      </c>
      <c r="BJ445" s="637">
        <f t="shared" si="177"/>
        <v>40910</v>
      </c>
      <c r="BK445" s="638">
        <v>1</v>
      </c>
      <c r="BL445" s="638">
        <v>50000</v>
      </c>
      <c r="BM445" s="635">
        <f t="shared" si="178"/>
        <v>40910</v>
      </c>
      <c r="BN445" s="636"/>
      <c r="BO445" s="636"/>
      <c r="BP445" s="637">
        <f t="shared" si="179"/>
        <v>0</v>
      </c>
      <c r="BQ445" s="638"/>
      <c r="BR445" s="638"/>
      <c r="BS445" s="635">
        <f t="shared" si="180"/>
        <v>0</v>
      </c>
      <c r="BT445" s="636"/>
      <c r="BU445" s="636"/>
      <c r="BV445" s="637">
        <f t="shared" si="181"/>
        <v>0</v>
      </c>
      <c r="BW445" s="638"/>
      <c r="BX445" s="638"/>
      <c r="BY445" s="641">
        <f t="shared" si="182"/>
        <v>0</v>
      </c>
    </row>
    <row r="446" spans="1:77" x14ac:dyDescent="0.2">
      <c r="A446" s="322" t="s">
        <v>113</v>
      </c>
      <c r="B446" s="307" t="s">
        <v>628</v>
      </c>
      <c r="C446" s="485"/>
      <c r="D446" s="488">
        <v>218654</v>
      </c>
      <c r="E446" s="489">
        <v>6</v>
      </c>
      <c r="F446" s="631">
        <v>25</v>
      </c>
      <c r="G446" s="632">
        <v>73156</v>
      </c>
      <c r="H446" s="633">
        <f t="shared" si="159"/>
        <v>1828900</v>
      </c>
      <c r="I446" s="634">
        <v>22</v>
      </c>
      <c r="J446" s="634">
        <v>71484</v>
      </c>
      <c r="K446" s="635">
        <f t="shared" si="160"/>
        <v>1572648</v>
      </c>
      <c r="L446" s="636">
        <v>34</v>
      </c>
      <c r="M446" s="636">
        <v>60762.352941176468</v>
      </c>
      <c r="N446" s="637">
        <f t="shared" si="161"/>
        <v>2065920</v>
      </c>
      <c r="O446" s="638">
        <v>36</v>
      </c>
      <c r="P446" s="638">
        <v>60975</v>
      </c>
      <c r="Q446" s="635">
        <f t="shared" si="162"/>
        <v>2195100</v>
      </c>
      <c r="R446" s="636">
        <v>63</v>
      </c>
      <c r="S446" s="636">
        <v>51908.730158730155</v>
      </c>
      <c r="T446" s="637">
        <f t="shared" si="163"/>
        <v>3270250</v>
      </c>
      <c r="U446" s="638">
        <v>67</v>
      </c>
      <c r="V446" s="638">
        <v>51640</v>
      </c>
      <c r="W446" s="635">
        <f t="shared" si="164"/>
        <v>3459880</v>
      </c>
      <c r="X446" s="636">
        <v>66</v>
      </c>
      <c r="Y446" s="636">
        <v>46178.696969696968</v>
      </c>
      <c r="Z446" s="637">
        <f t="shared" si="165"/>
        <v>3047794</v>
      </c>
      <c r="AA446" s="638">
        <v>60</v>
      </c>
      <c r="AB446" s="638">
        <v>46781</v>
      </c>
      <c r="AC446" s="635">
        <f t="shared" si="166"/>
        <v>2806860</v>
      </c>
      <c r="AD446" s="636"/>
      <c r="AE446" s="636"/>
      <c r="AF446" s="637">
        <f t="shared" si="167"/>
        <v>0</v>
      </c>
      <c r="AG446" s="638"/>
      <c r="AH446" s="638"/>
      <c r="AI446" s="635">
        <f t="shared" si="168"/>
        <v>0</v>
      </c>
      <c r="AJ446" s="636"/>
      <c r="AK446" s="636"/>
      <c r="AL446" s="637">
        <f t="shared" si="169"/>
        <v>0</v>
      </c>
      <c r="AM446" s="638"/>
      <c r="AN446" s="638"/>
      <c r="AO446" s="640">
        <f t="shared" si="170"/>
        <v>0</v>
      </c>
      <c r="AP446" s="636">
        <v>6</v>
      </c>
      <c r="AQ446" s="636">
        <v>95219.666666666672</v>
      </c>
      <c r="AR446" s="637">
        <f t="shared" si="171"/>
        <v>467452.38760000002</v>
      </c>
      <c r="AS446" s="638">
        <v>7</v>
      </c>
      <c r="AT446" s="638">
        <v>93839</v>
      </c>
      <c r="AU446" s="635">
        <f t="shared" si="172"/>
        <v>537453.48860000004</v>
      </c>
      <c r="AV446" s="636">
        <v>8</v>
      </c>
      <c r="AW446" s="636">
        <v>80608.75</v>
      </c>
      <c r="AX446" s="637">
        <f t="shared" si="173"/>
        <v>527632.63400000008</v>
      </c>
      <c r="AY446" s="638">
        <v>7</v>
      </c>
      <c r="AZ446" s="638">
        <v>76496</v>
      </c>
      <c r="BA446" s="635">
        <f t="shared" si="174"/>
        <v>438123.19040000002</v>
      </c>
      <c r="BB446" s="636">
        <v>2</v>
      </c>
      <c r="BC446" s="636">
        <v>70350</v>
      </c>
      <c r="BD446" s="637">
        <f t="shared" si="175"/>
        <v>115120.74</v>
      </c>
      <c r="BE446" s="638">
        <v>2</v>
      </c>
      <c r="BF446" s="638">
        <v>73350</v>
      </c>
      <c r="BG446" s="635">
        <f t="shared" si="176"/>
        <v>120029.94</v>
      </c>
      <c r="BH446" s="636">
        <v>2</v>
      </c>
      <c r="BI446" s="636">
        <v>57556.5</v>
      </c>
      <c r="BJ446" s="637">
        <f t="shared" si="177"/>
        <v>94185.456600000005</v>
      </c>
      <c r="BK446" s="638">
        <v>2</v>
      </c>
      <c r="BL446" s="638">
        <v>57557</v>
      </c>
      <c r="BM446" s="635">
        <f t="shared" si="178"/>
        <v>94186.274799999999</v>
      </c>
      <c r="BN446" s="636"/>
      <c r="BO446" s="636"/>
      <c r="BP446" s="637">
        <f t="shared" si="179"/>
        <v>0</v>
      </c>
      <c r="BQ446" s="638"/>
      <c r="BR446" s="638"/>
      <c r="BS446" s="635">
        <f t="shared" si="180"/>
        <v>0</v>
      </c>
      <c r="BT446" s="636"/>
      <c r="BU446" s="636"/>
      <c r="BV446" s="637">
        <f t="shared" si="181"/>
        <v>0</v>
      </c>
      <c r="BW446" s="638"/>
      <c r="BX446" s="638"/>
      <c r="BY446" s="641">
        <f t="shared" si="182"/>
        <v>0</v>
      </c>
    </row>
    <row r="447" spans="1:77" x14ac:dyDescent="0.2">
      <c r="A447" s="322" t="s">
        <v>113</v>
      </c>
      <c r="B447" s="307" t="s">
        <v>630</v>
      </c>
      <c r="C447" s="490"/>
      <c r="D447" s="488">
        <v>218113</v>
      </c>
      <c r="E447" s="492">
        <v>8</v>
      </c>
      <c r="F447" s="631"/>
      <c r="G447" s="632"/>
      <c r="H447" s="633">
        <f t="shared" si="159"/>
        <v>0</v>
      </c>
      <c r="I447" s="634"/>
      <c r="J447" s="634"/>
      <c r="K447" s="635">
        <f t="shared" si="160"/>
        <v>0</v>
      </c>
      <c r="L447" s="636"/>
      <c r="M447" s="636"/>
      <c r="N447" s="637">
        <f t="shared" si="161"/>
        <v>0</v>
      </c>
      <c r="O447" s="638"/>
      <c r="P447" s="638"/>
      <c r="Q447" s="635">
        <f t="shared" si="162"/>
        <v>0</v>
      </c>
      <c r="R447" s="636"/>
      <c r="S447" s="636"/>
      <c r="T447" s="637">
        <f t="shared" si="163"/>
        <v>0</v>
      </c>
      <c r="U447" s="638"/>
      <c r="V447" s="638"/>
      <c r="W447" s="635">
        <f t="shared" si="164"/>
        <v>0</v>
      </c>
      <c r="X447" s="636"/>
      <c r="Y447" s="636"/>
      <c r="Z447" s="637">
        <f t="shared" si="165"/>
        <v>0</v>
      </c>
      <c r="AA447" s="638"/>
      <c r="AB447" s="638"/>
      <c r="AC447" s="635">
        <f t="shared" si="166"/>
        <v>0</v>
      </c>
      <c r="AD447" s="636">
        <v>347</v>
      </c>
      <c r="AE447" s="636">
        <v>45812.293948126804</v>
      </c>
      <c r="AF447" s="637">
        <f t="shared" si="167"/>
        <v>15896866.000000002</v>
      </c>
      <c r="AG447" s="638">
        <v>337</v>
      </c>
      <c r="AH447" s="638">
        <v>46145</v>
      </c>
      <c r="AI447" s="635">
        <f t="shared" si="168"/>
        <v>15550865</v>
      </c>
      <c r="AJ447" s="636"/>
      <c r="AK447" s="636"/>
      <c r="AL447" s="637">
        <f t="shared" si="169"/>
        <v>0</v>
      </c>
      <c r="AM447" s="638"/>
      <c r="AN447" s="638"/>
      <c r="AO447" s="640">
        <f t="shared" si="170"/>
        <v>0</v>
      </c>
      <c r="AP447" s="636"/>
      <c r="AQ447" s="636"/>
      <c r="AR447" s="637">
        <f t="shared" si="171"/>
        <v>0</v>
      </c>
      <c r="AS447" s="638"/>
      <c r="AT447" s="638"/>
      <c r="AU447" s="635">
        <f t="shared" si="172"/>
        <v>0</v>
      </c>
      <c r="AV447" s="636"/>
      <c r="AW447" s="636"/>
      <c r="AX447" s="637">
        <f t="shared" si="173"/>
        <v>0</v>
      </c>
      <c r="AY447" s="638"/>
      <c r="AZ447" s="638"/>
      <c r="BA447" s="635">
        <f t="shared" si="174"/>
        <v>0</v>
      </c>
      <c r="BB447" s="636"/>
      <c r="BC447" s="636"/>
      <c r="BD447" s="637">
        <f t="shared" si="175"/>
        <v>0</v>
      </c>
      <c r="BE447" s="638"/>
      <c r="BF447" s="638"/>
      <c r="BG447" s="635">
        <f t="shared" si="176"/>
        <v>0</v>
      </c>
      <c r="BH447" s="636"/>
      <c r="BI447" s="636"/>
      <c r="BJ447" s="637">
        <f t="shared" si="177"/>
        <v>0</v>
      </c>
      <c r="BK447" s="638"/>
      <c r="BL447" s="638"/>
      <c r="BM447" s="635">
        <f t="shared" si="178"/>
        <v>0</v>
      </c>
      <c r="BN447" s="636"/>
      <c r="BO447" s="636"/>
      <c r="BP447" s="637">
        <f t="shared" si="179"/>
        <v>0</v>
      </c>
      <c r="BQ447" s="638"/>
      <c r="BR447" s="638"/>
      <c r="BS447" s="635">
        <f t="shared" si="180"/>
        <v>0</v>
      </c>
      <c r="BT447" s="636"/>
      <c r="BU447" s="636"/>
      <c r="BV447" s="637">
        <f t="shared" si="181"/>
        <v>0</v>
      </c>
      <c r="BW447" s="638"/>
      <c r="BX447" s="638"/>
      <c r="BY447" s="641">
        <f t="shared" si="182"/>
        <v>0</v>
      </c>
    </row>
    <row r="448" spans="1:77" x14ac:dyDescent="0.2">
      <c r="A448" s="322" t="s">
        <v>113</v>
      </c>
      <c r="B448" s="334" t="s">
        <v>636</v>
      </c>
      <c r="C448" s="491" t="s">
        <v>944</v>
      </c>
      <c r="D448" s="488">
        <v>218140</v>
      </c>
      <c r="E448" s="493">
        <v>8</v>
      </c>
      <c r="F448" s="631"/>
      <c r="G448" s="632"/>
      <c r="H448" s="633">
        <f t="shared" si="159"/>
        <v>0</v>
      </c>
      <c r="I448" s="634"/>
      <c r="J448" s="634"/>
      <c r="K448" s="635">
        <f t="shared" si="160"/>
        <v>0</v>
      </c>
      <c r="L448" s="636"/>
      <c r="M448" s="636"/>
      <c r="N448" s="637">
        <f t="shared" si="161"/>
        <v>0</v>
      </c>
      <c r="O448" s="638"/>
      <c r="P448" s="638"/>
      <c r="Q448" s="635">
        <f t="shared" si="162"/>
        <v>0</v>
      </c>
      <c r="R448" s="636"/>
      <c r="S448" s="636"/>
      <c r="T448" s="637">
        <f t="shared" si="163"/>
        <v>0</v>
      </c>
      <c r="U448" s="638"/>
      <c r="V448" s="638"/>
      <c r="W448" s="635">
        <f t="shared" si="164"/>
        <v>0</v>
      </c>
      <c r="X448" s="636"/>
      <c r="Y448" s="636"/>
      <c r="Z448" s="637">
        <f t="shared" si="165"/>
        <v>0</v>
      </c>
      <c r="AA448" s="638"/>
      <c r="AB448" s="638"/>
      <c r="AC448" s="635">
        <f t="shared" si="166"/>
        <v>0</v>
      </c>
      <c r="AD448" s="636">
        <v>141</v>
      </c>
      <c r="AE448" s="636">
        <v>48790.070921985818</v>
      </c>
      <c r="AF448" s="637">
        <f t="shared" si="167"/>
        <v>6879400</v>
      </c>
      <c r="AG448" s="638">
        <v>143</v>
      </c>
      <c r="AH448" s="638">
        <v>49426</v>
      </c>
      <c r="AI448" s="635">
        <f t="shared" si="168"/>
        <v>7067918</v>
      </c>
      <c r="AJ448" s="636"/>
      <c r="AK448" s="636"/>
      <c r="AL448" s="637">
        <f t="shared" si="169"/>
        <v>0</v>
      </c>
      <c r="AM448" s="638"/>
      <c r="AN448" s="638"/>
      <c r="AO448" s="640">
        <f t="shared" si="170"/>
        <v>0</v>
      </c>
      <c r="AP448" s="636"/>
      <c r="AQ448" s="636"/>
      <c r="AR448" s="637">
        <f t="shared" si="171"/>
        <v>0</v>
      </c>
      <c r="AS448" s="638"/>
      <c r="AT448" s="638"/>
      <c r="AU448" s="635">
        <f t="shared" si="172"/>
        <v>0</v>
      </c>
      <c r="AV448" s="636"/>
      <c r="AW448" s="636"/>
      <c r="AX448" s="637">
        <f t="shared" si="173"/>
        <v>0</v>
      </c>
      <c r="AY448" s="638"/>
      <c r="AZ448" s="638"/>
      <c r="BA448" s="635">
        <f t="shared" si="174"/>
        <v>0</v>
      </c>
      <c r="BB448" s="636"/>
      <c r="BC448" s="636"/>
      <c r="BD448" s="637">
        <f t="shared" si="175"/>
        <v>0</v>
      </c>
      <c r="BE448" s="638"/>
      <c r="BF448" s="638"/>
      <c r="BG448" s="635">
        <f t="shared" si="176"/>
        <v>0</v>
      </c>
      <c r="BH448" s="636"/>
      <c r="BI448" s="636"/>
      <c r="BJ448" s="637">
        <f t="shared" si="177"/>
        <v>0</v>
      </c>
      <c r="BK448" s="638"/>
      <c r="BL448" s="638"/>
      <c r="BM448" s="635">
        <f t="shared" si="178"/>
        <v>0</v>
      </c>
      <c r="BN448" s="636"/>
      <c r="BO448" s="636"/>
      <c r="BP448" s="637">
        <f t="shared" si="179"/>
        <v>0</v>
      </c>
      <c r="BQ448" s="638"/>
      <c r="BR448" s="638"/>
      <c r="BS448" s="635">
        <f t="shared" si="180"/>
        <v>0</v>
      </c>
      <c r="BT448" s="636"/>
      <c r="BU448" s="636"/>
      <c r="BV448" s="637">
        <f t="shared" si="181"/>
        <v>0</v>
      </c>
      <c r="BW448" s="638"/>
      <c r="BX448" s="638"/>
      <c r="BY448" s="641">
        <f t="shared" si="182"/>
        <v>0</v>
      </c>
    </row>
    <row r="449" spans="1:77" x14ac:dyDescent="0.2">
      <c r="A449" s="322" t="s">
        <v>113</v>
      </c>
      <c r="B449" s="307" t="s">
        <v>631</v>
      </c>
      <c r="C449" s="490"/>
      <c r="D449" s="488">
        <v>218353</v>
      </c>
      <c r="E449" s="492">
        <v>8</v>
      </c>
      <c r="F449" s="631"/>
      <c r="G449" s="632"/>
      <c r="H449" s="633">
        <f t="shared" si="159"/>
        <v>0</v>
      </c>
      <c r="I449" s="634"/>
      <c r="J449" s="634"/>
      <c r="K449" s="635">
        <f t="shared" si="160"/>
        <v>0</v>
      </c>
      <c r="L449" s="636"/>
      <c r="M449" s="636"/>
      <c r="N449" s="637">
        <f t="shared" si="161"/>
        <v>0</v>
      </c>
      <c r="O449" s="638"/>
      <c r="P449" s="638"/>
      <c r="Q449" s="635">
        <f t="shared" si="162"/>
        <v>0</v>
      </c>
      <c r="R449" s="636"/>
      <c r="S449" s="636"/>
      <c r="T449" s="637">
        <f t="shared" si="163"/>
        <v>0</v>
      </c>
      <c r="U449" s="638"/>
      <c r="V449" s="638"/>
      <c r="W449" s="635">
        <f t="shared" si="164"/>
        <v>0</v>
      </c>
      <c r="X449" s="636"/>
      <c r="Y449" s="636"/>
      <c r="Z449" s="637">
        <f t="shared" si="165"/>
        <v>0</v>
      </c>
      <c r="AA449" s="638"/>
      <c r="AB449" s="638"/>
      <c r="AC449" s="635">
        <f t="shared" si="166"/>
        <v>0</v>
      </c>
      <c r="AD449" s="636">
        <v>215</v>
      </c>
      <c r="AE449" s="636">
        <v>48853.139534883718</v>
      </c>
      <c r="AF449" s="637">
        <f t="shared" si="167"/>
        <v>10503425</v>
      </c>
      <c r="AG449" s="638">
        <v>214</v>
      </c>
      <c r="AH449" s="638">
        <v>49595</v>
      </c>
      <c r="AI449" s="635">
        <f t="shared" si="168"/>
        <v>10613330</v>
      </c>
      <c r="AJ449" s="636"/>
      <c r="AK449" s="636"/>
      <c r="AL449" s="637">
        <f t="shared" si="169"/>
        <v>0</v>
      </c>
      <c r="AM449" s="638"/>
      <c r="AN449" s="638"/>
      <c r="AO449" s="640">
        <f t="shared" si="170"/>
        <v>0</v>
      </c>
      <c r="AP449" s="636"/>
      <c r="AQ449" s="636"/>
      <c r="AR449" s="637">
        <f t="shared" si="171"/>
        <v>0</v>
      </c>
      <c r="AS449" s="638"/>
      <c r="AT449" s="638"/>
      <c r="AU449" s="635">
        <f t="shared" si="172"/>
        <v>0</v>
      </c>
      <c r="AV449" s="636"/>
      <c r="AW449" s="636"/>
      <c r="AX449" s="637">
        <f t="shared" si="173"/>
        <v>0</v>
      </c>
      <c r="AY449" s="638"/>
      <c r="AZ449" s="638"/>
      <c r="BA449" s="635">
        <f t="shared" si="174"/>
        <v>0</v>
      </c>
      <c r="BB449" s="636"/>
      <c r="BC449" s="636"/>
      <c r="BD449" s="637">
        <f t="shared" si="175"/>
        <v>0</v>
      </c>
      <c r="BE449" s="638"/>
      <c r="BF449" s="638"/>
      <c r="BG449" s="635">
        <f t="shared" si="176"/>
        <v>0</v>
      </c>
      <c r="BH449" s="636"/>
      <c r="BI449" s="636"/>
      <c r="BJ449" s="637">
        <f t="shared" si="177"/>
        <v>0</v>
      </c>
      <c r="BK449" s="638"/>
      <c r="BL449" s="638"/>
      <c r="BM449" s="635">
        <f t="shared" si="178"/>
        <v>0</v>
      </c>
      <c r="BN449" s="636"/>
      <c r="BO449" s="636"/>
      <c r="BP449" s="637">
        <f t="shared" si="179"/>
        <v>0</v>
      </c>
      <c r="BQ449" s="638"/>
      <c r="BR449" s="638"/>
      <c r="BS449" s="635">
        <f t="shared" si="180"/>
        <v>0</v>
      </c>
      <c r="BT449" s="636"/>
      <c r="BU449" s="636"/>
      <c r="BV449" s="637">
        <f t="shared" si="181"/>
        <v>0</v>
      </c>
      <c r="BW449" s="638"/>
      <c r="BX449" s="638"/>
      <c r="BY449" s="641">
        <f t="shared" si="182"/>
        <v>0</v>
      </c>
    </row>
    <row r="450" spans="1:77" x14ac:dyDescent="0.2">
      <c r="A450" s="322" t="s">
        <v>113</v>
      </c>
      <c r="B450" s="334" t="s">
        <v>640</v>
      </c>
      <c r="C450" s="491" t="s">
        <v>944</v>
      </c>
      <c r="D450" s="488">
        <v>218885</v>
      </c>
      <c r="E450" s="493">
        <v>8</v>
      </c>
      <c r="F450" s="631"/>
      <c r="G450" s="632"/>
      <c r="H450" s="633">
        <f t="shared" si="159"/>
        <v>0</v>
      </c>
      <c r="I450" s="634"/>
      <c r="J450" s="634"/>
      <c r="K450" s="635">
        <f t="shared" si="160"/>
        <v>0</v>
      </c>
      <c r="L450" s="636"/>
      <c r="M450" s="636"/>
      <c r="N450" s="637">
        <f t="shared" si="161"/>
        <v>0</v>
      </c>
      <c r="O450" s="638"/>
      <c r="P450" s="638"/>
      <c r="Q450" s="635">
        <f t="shared" si="162"/>
        <v>0</v>
      </c>
      <c r="R450" s="636"/>
      <c r="S450" s="636"/>
      <c r="T450" s="637">
        <f t="shared" si="163"/>
        <v>0</v>
      </c>
      <c r="U450" s="638"/>
      <c r="V450" s="638"/>
      <c r="W450" s="635">
        <f t="shared" si="164"/>
        <v>0</v>
      </c>
      <c r="X450" s="636"/>
      <c r="Y450" s="636"/>
      <c r="Z450" s="637">
        <f t="shared" si="165"/>
        <v>0</v>
      </c>
      <c r="AA450" s="638"/>
      <c r="AB450" s="638"/>
      <c r="AC450" s="635">
        <f t="shared" si="166"/>
        <v>0</v>
      </c>
      <c r="AD450" s="636">
        <v>130</v>
      </c>
      <c r="AE450" s="636">
        <v>43344.776923076926</v>
      </c>
      <c r="AF450" s="637">
        <f t="shared" si="167"/>
        <v>5634821</v>
      </c>
      <c r="AG450" s="638">
        <v>138</v>
      </c>
      <c r="AH450" s="638">
        <v>42829</v>
      </c>
      <c r="AI450" s="635">
        <f t="shared" si="168"/>
        <v>5910402</v>
      </c>
      <c r="AJ450" s="636"/>
      <c r="AK450" s="636"/>
      <c r="AL450" s="637">
        <f t="shared" si="169"/>
        <v>0</v>
      </c>
      <c r="AM450" s="638"/>
      <c r="AN450" s="638"/>
      <c r="AO450" s="640">
        <f t="shared" si="170"/>
        <v>0</v>
      </c>
      <c r="AP450" s="636"/>
      <c r="AQ450" s="636"/>
      <c r="AR450" s="637">
        <f t="shared" si="171"/>
        <v>0</v>
      </c>
      <c r="AS450" s="638"/>
      <c r="AT450" s="638"/>
      <c r="AU450" s="635">
        <f t="shared" si="172"/>
        <v>0</v>
      </c>
      <c r="AV450" s="636"/>
      <c r="AW450" s="636"/>
      <c r="AX450" s="637">
        <f t="shared" si="173"/>
        <v>0</v>
      </c>
      <c r="AY450" s="638"/>
      <c r="AZ450" s="638"/>
      <c r="BA450" s="635">
        <f t="shared" si="174"/>
        <v>0</v>
      </c>
      <c r="BB450" s="636"/>
      <c r="BC450" s="636"/>
      <c r="BD450" s="637">
        <f t="shared" si="175"/>
        <v>0</v>
      </c>
      <c r="BE450" s="638"/>
      <c r="BF450" s="638"/>
      <c r="BG450" s="635">
        <f t="shared" si="176"/>
        <v>0</v>
      </c>
      <c r="BH450" s="636"/>
      <c r="BI450" s="636"/>
      <c r="BJ450" s="637">
        <f t="shared" si="177"/>
        <v>0</v>
      </c>
      <c r="BK450" s="638"/>
      <c r="BL450" s="638"/>
      <c r="BM450" s="635">
        <f t="shared" si="178"/>
        <v>0</v>
      </c>
      <c r="BN450" s="636"/>
      <c r="BO450" s="636"/>
      <c r="BP450" s="637">
        <f t="shared" si="179"/>
        <v>0</v>
      </c>
      <c r="BQ450" s="638"/>
      <c r="BR450" s="638"/>
      <c r="BS450" s="635">
        <f t="shared" si="180"/>
        <v>0</v>
      </c>
      <c r="BT450" s="636"/>
      <c r="BU450" s="636"/>
      <c r="BV450" s="637">
        <f t="shared" si="181"/>
        <v>0</v>
      </c>
      <c r="BW450" s="638"/>
      <c r="BX450" s="638"/>
      <c r="BY450" s="641">
        <f t="shared" si="182"/>
        <v>0</v>
      </c>
    </row>
    <row r="451" spans="1:77" x14ac:dyDescent="0.2">
      <c r="A451" s="322" t="s">
        <v>113</v>
      </c>
      <c r="B451" s="307" t="s">
        <v>632</v>
      </c>
      <c r="C451" s="490"/>
      <c r="D451" s="488">
        <v>218894</v>
      </c>
      <c r="E451" s="492">
        <v>8</v>
      </c>
      <c r="F451" s="631"/>
      <c r="G451" s="632"/>
      <c r="H451" s="633">
        <f t="shared" si="159"/>
        <v>0</v>
      </c>
      <c r="I451" s="634"/>
      <c r="J451" s="634"/>
      <c r="K451" s="635">
        <f t="shared" si="160"/>
        <v>0</v>
      </c>
      <c r="L451" s="636"/>
      <c r="M451" s="636"/>
      <c r="N451" s="637">
        <f t="shared" si="161"/>
        <v>0</v>
      </c>
      <c r="O451" s="638"/>
      <c r="P451" s="638"/>
      <c r="Q451" s="635">
        <f t="shared" si="162"/>
        <v>0</v>
      </c>
      <c r="R451" s="636"/>
      <c r="S451" s="636"/>
      <c r="T451" s="637">
        <f t="shared" si="163"/>
        <v>0</v>
      </c>
      <c r="U451" s="638"/>
      <c r="V451" s="638"/>
      <c r="W451" s="635">
        <f t="shared" si="164"/>
        <v>0</v>
      </c>
      <c r="X451" s="636"/>
      <c r="Y451" s="636"/>
      <c r="Z451" s="637">
        <f t="shared" si="165"/>
        <v>0</v>
      </c>
      <c r="AA451" s="638"/>
      <c r="AB451" s="638"/>
      <c r="AC451" s="635">
        <f t="shared" si="166"/>
        <v>0</v>
      </c>
      <c r="AD451" s="636">
        <v>304</v>
      </c>
      <c r="AE451" s="636">
        <v>47236.805921052633</v>
      </c>
      <c r="AF451" s="637">
        <f t="shared" si="167"/>
        <v>14359989</v>
      </c>
      <c r="AG451" s="638">
        <v>316</v>
      </c>
      <c r="AH451" s="638">
        <v>47752</v>
      </c>
      <c r="AI451" s="635">
        <f t="shared" si="168"/>
        <v>15089632</v>
      </c>
      <c r="AJ451" s="636"/>
      <c r="AK451" s="636"/>
      <c r="AL451" s="637">
        <f t="shared" si="169"/>
        <v>0</v>
      </c>
      <c r="AM451" s="638"/>
      <c r="AN451" s="638"/>
      <c r="AO451" s="640">
        <f t="shared" si="170"/>
        <v>0</v>
      </c>
      <c r="AP451" s="636"/>
      <c r="AQ451" s="636"/>
      <c r="AR451" s="637">
        <f t="shared" si="171"/>
        <v>0</v>
      </c>
      <c r="AS451" s="638"/>
      <c r="AT451" s="638"/>
      <c r="AU451" s="635">
        <f t="shared" si="172"/>
        <v>0</v>
      </c>
      <c r="AV451" s="636"/>
      <c r="AW451" s="636"/>
      <c r="AX451" s="637">
        <f t="shared" si="173"/>
        <v>0</v>
      </c>
      <c r="AY451" s="638"/>
      <c r="AZ451" s="638"/>
      <c r="BA451" s="635">
        <f t="shared" si="174"/>
        <v>0</v>
      </c>
      <c r="BB451" s="636"/>
      <c r="BC451" s="636"/>
      <c r="BD451" s="637">
        <f t="shared" si="175"/>
        <v>0</v>
      </c>
      <c r="BE451" s="638"/>
      <c r="BF451" s="638"/>
      <c r="BG451" s="635">
        <f t="shared" si="176"/>
        <v>0</v>
      </c>
      <c r="BH451" s="636"/>
      <c r="BI451" s="636"/>
      <c r="BJ451" s="637">
        <f t="shared" si="177"/>
        <v>0</v>
      </c>
      <c r="BK451" s="638"/>
      <c r="BL451" s="638"/>
      <c r="BM451" s="635">
        <f t="shared" si="178"/>
        <v>0</v>
      </c>
      <c r="BN451" s="636"/>
      <c r="BO451" s="636"/>
      <c r="BP451" s="637">
        <f t="shared" si="179"/>
        <v>0</v>
      </c>
      <c r="BQ451" s="638"/>
      <c r="BR451" s="638"/>
      <c r="BS451" s="635">
        <f t="shared" si="180"/>
        <v>0</v>
      </c>
      <c r="BT451" s="636"/>
      <c r="BU451" s="636"/>
      <c r="BV451" s="637">
        <f t="shared" si="181"/>
        <v>0</v>
      </c>
      <c r="BW451" s="638"/>
      <c r="BX451" s="638"/>
      <c r="BY451" s="641">
        <f t="shared" si="182"/>
        <v>0</v>
      </c>
    </row>
    <row r="452" spans="1:77" x14ac:dyDescent="0.2">
      <c r="A452" s="322" t="s">
        <v>113</v>
      </c>
      <c r="B452" s="329" t="s">
        <v>633</v>
      </c>
      <c r="C452" s="486"/>
      <c r="D452" s="488">
        <v>217615</v>
      </c>
      <c r="E452" s="492">
        <v>9</v>
      </c>
      <c r="F452" s="631"/>
      <c r="G452" s="632"/>
      <c r="H452" s="633">
        <f t="shared" si="159"/>
        <v>0</v>
      </c>
      <c r="I452" s="634"/>
      <c r="J452" s="634"/>
      <c r="K452" s="635">
        <f t="shared" si="160"/>
        <v>0</v>
      </c>
      <c r="L452" s="636"/>
      <c r="M452" s="636"/>
      <c r="N452" s="637">
        <f t="shared" si="161"/>
        <v>0</v>
      </c>
      <c r="O452" s="638"/>
      <c r="P452" s="638"/>
      <c r="Q452" s="635">
        <f t="shared" si="162"/>
        <v>0</v>
      </c>
      <c r="R452" s="636"/>
      <c r="S452" s="636"/>
      <c r="T452" s="637">
        <f t="shared" si="163"/>
        <v>0</v>
      </c>
      <c r="U452" s="638"/>
      <c r="V452" s="638"/>
      <c r="W452" s="635">
        <f t="shared" si="164"/>
        <v>0</v>
      </c>
      <c r="X452" s="636"/>
      <c r="Y452" s="636"/>
      <c r="Z452" s="637">
        <f t="shared" si="165"/>
        <v>0</v>
      </c>
      <c r="AA452" s="638"/>
      <c r="AB452" s="638"/>
      <c r="AC452" s="635">
        <f t="shared" si="166"/>
        <v>0</v>
      </c>
      <c r="AD452" s="636">
        <v>55</v>
      </c>
      <c r="AE452" s="636">
        <v>47586.872727272726</v>
      </c>
      <c r="AF452" s="637">
        <f t="shared" si="167"/>
        <v>2617278</v>
      </c>
      <c r="AG452" s="638">
        <v>56</v>
      </c>
      <c r="AH452" s="638">
        <v>47302</v>
      </c>
      <c r="AI452" s="635">
        <f t="shared" si="168"/>
        <v>2648912</v>
      </c>
      <c r="AJ452" s="636"/>
      <c r="AK452" s="636"/>
      <c r="AL452" s="637">
        <f t="shared" si="169"/>
        <v>0</v>
      </c>
      <c r="AM452" s="638"/>
      <c r="AN452" s="638"/>
      <c r="AO452" s="640">
        <f t="shared" si="170"/>
        <v>0</v>
      </c>
      <c r="AP452" s="636"/>
      <c r="AQ452" s="636"/>
      <c r="AR452" s="637">
        <f t="shared" si="171"/>
        <v>0</v>
      </c>
      <c r="AS452" s="638"/>
      <c r="AT452" s="638"/>
      <c r="AU452" s="635">
        <f t="shared" si="172"/>
        <v>0</v>
      </c>
      <c r="AV452" s="636"/>
      <c r="AW452" s="636"/>
      <c r="AX452" s="637">
        <f t="shared" si="173"/>
        <v>0</v>
      </c>
      <c r="AY452" s="638"/>
      <c r="AZ452" s="638"/>
      <c r="BA452" s="635">
        <f t="shared" si="174"/>
        <v>0</v>
      </c>
      <c r="BB452" s="636"/>
      <c r="BC452" s="636"/>
      <c r="BD452" s="637">
        <f t="shared" si="175"/>
        <v>0</v>
      </c>
      <c r="BE452" s="638"/>
      <c r="BF452" s="638"/>
      <c r="BG452" s="635">
        <f t="shared" si="176"/>
        <v>0</v>
      </c>
      <c r="BH452" s="636"/>
      <c r="BI452" s="636"/>
      <c r="BJ452" s="637">
        <f t="shared" si="177"/>
        <v>0</v>
      </c>
      <c r="BK452" s="638"/>
      <c r="BL452" s="638"/>
      <c r="BM452" s="635">
        <f t="shared" si="178"/>
        <v>0</v>
      </c>
      <c r="BN452" s="636"/>
      <c r="BO452" s="636"/>
      <c r="BP452" s="637">
        <f t="shared" si="179"/>
        <v>0</v>
      </c>
      <c r="BQ452" s="638"/>
      <c r="BR452" s="638"/>
      <c r="BS452" s="635">
        <f t="shared" si="180"/>
        <v>0</v>
      </c>
      <c r="BT452" s="636"/>
      <c r="BU452" s="636"/>
      <c r="BV452" s="637">
        <f t="shared" si="181"/>
        <v>0</v>
      </c>
      <c r="BW452" s="638"/>
      <c r="BX452" s="638"/>
      <c r="BY452" s="641">
        <f t="shared" si="182"/>
        <v>0</v>
      </c>
    </row>
    <row r="453" spans="1:77" x14ac:dyDescent="0.2">
      <c r="A453" s="322" t="s">
        <v>113</v>
      </c>
      <c r="B453" s="307" t="s">
        <v>634</v>
      </c>
      <c r="C453" s="490"/>
      <c r="D453" s="488">
        <v>218858</v>
      </c>
      <c r="E453" s="492">
        <v>9</v>
      </c>
      <c r="F453" s="631"/>
      <c r="G453" s="632"/>
      <c r="H453" s="633">
        <f t="shared" si="159"/>
        <v>0</v>
      </c>
      <c r="I453" s="634"/>
      <c r="J453" s="634"/>
      <c r="K453" s="635">
        <f t="shared" si="160"/>
        <v>0</v>
      </c>
      <c r="L453" s="636"/>
      <c r="M453" s="636"/>
      <c r="N453" s="637">
        <f t="shared" si="161"/>
        <v>0</v>
      </c>
      <c r="O453" s="638"/>
      <c r="P453" s="638"/>
      <c r="Q453" s="635">
        <f t="shared" si="162"/>
        <v>0</v>
      </c>
      <c r="R453" s="636"/>
      <c r="S453" s="636"/>
      <c r="T453" s="637">
        <f t="shared" si="163"/>
        <v>0</v>
      </c>
      <c r="U453" s="638"/>
      <c r="V453" s="638"/>
      <c r="W453" s="635">
        <f t="shared" si="164"/>
        <v>0</v>
      </c>
      <c r="X453" s="636"/>
      <c r="Y453" s="636"/>
      <c r="Z453" s="637">
        <f t="shared" si="165"/>
        <v>0</v>
      </c>
      <c r="AA453" s="638"/>
      <c r="AB453" s="638"/>
      <c r="AC453" s="635">
        <f t="shared" si="166"/>
        <v>0</v>
      </c>
      <c r="AD453" s="636">
        <v>92</v>
      </c>
      <c r="AE453" s="636">
        <v>44797.90217391304</v>
      </c>
      <c r="AF453" s="637">
        <f t="shared" si="167"/>
        <v>4121406.9999999995</v>
      </c>
      <c r="AG453" s="638">
        <v>99</v>
      </c>
      <c r="AH453" s="638">
        <v>45413</v>
      </c>
      <c r="AI453" s="635">
        <f t="shared" si="168"/>
        <v>4495887</v>
      </c>
      <c r="AJ453" s="636"/>
      <c r="AK453" s="636"/>
      <c r="AL453" s="637">
        <f t="shared" si="169"/>
        <v>0</v>
      </c>
      <c r="AM453" s="638"/>
      <c r="AN453" s="638"/>
      <c r="AO453" s="640">
        <f t="shared" si="170"/>
        <v>0</v>
      </c>
      <c r="AP453" s="636"/>
      <c r="AQ453" s="636"/>
      <c r="AR453" s="637">
        <f t="shared" si="171"/>
        <v>0</v>
      </c>
      <c r="AS453" s="638"/>
      <c r="AT453" s="638"/>
      <c r="AU453" s="635">
        <f t="shared" si="172"/>
        <v>0</v>
      </c>
      <c r="AV453" s="636"/>
      <c r="AW453" s="636"/>
      <c r="AX453" s="637">
        <f t="shared" si="173"/>
        <v>0</v>
      </c>
      <c r="AY453" s="638"/>
      <c r="AZ453" s="638"/>
      <c r="BA453" s="635">
        <f t="shared" si="174"/>
        <v>0</v>
      </c>
      <c r="BB453" s="636"/>
      <c r="BC453" s="636"/>
      <c r="BD453" s="637">
        <f t="shared" si="175"/>
        <v>0</v>
      </c>
      <c r="BE453" s="638"/>
      <c r="BF453" s="638"/>
      <c r="BG453" s="635">
        <f t="shared" si="176"/>
        <v>0</v>
      </c>
      <c r="BH453" s="636"/>
      <c r="BI453" s="636"/>
      <c r="BJ453" s="637">
        <f t="shared" si="177"/>
        <v>0</v>
      </c>
      <c r="BK453" s="638"/>
      <c r="BL453" s="638"/>
      <c r="BM453" s="635">
        <f t="shared" si="178"/>
        <v>0</v>
      </c>
      <c r="BN453" s="636"/>
      <c r="BO453" s="636"/>
      <c r="BP453" s="637">
        <f t="shared" si="179"/>
        <v>0</v>
      </c>
      <c r="BQ453" s="638"/>
      <c r="BR453" s="638"/>
      <c r="BS453" s="635">
        <f t="shared" si="180"/>
        <v>0</v>
      </c>
      <c r="BT453" s="636"/>
      <c r="BU453" s="636"/>
      <c r="BV453" s="637">
        <f t="shared" si="181"/>
        <v>0</v>
      </c>
      <c r="BW453" s="638"/>
      <c r="BX453" s="638"/>
      <c r="BY453" s="641">
        <f t="shared" si="182"/>
        <v>0</v>
      </c>
    </row>
    <row r="454" spans="1:77" x14ac:dyDescent="0.2">
      <c r="A454" s="322" t="s">
        <v>113</v>
      </c>
      <c r="B454" s="334" t="s">
        <v>635</v>
      </c>
      <c r="C454" s="487" t="s">
        <v>1032</v>
      </c>
      <c r="D454" s="488">
        <v>218025</v>
      </c>
      <c r="E454" s="492">
        <v>9</v>
      </c>
      <c r="F454" s="631"/>
      <c r="G454" s="632"/>
      <c r="H454" s="633">
        <f t="shared" si="159"/>
        <v>0</v>
      </c>
      <c r="I454" s="634"/>
      <c r="J454" s="634"/>
      <c r="K454" s="635">
        <f t="shared" si="160"/>
        <v>0</v>
      </c>
      <c r="L454" s="636"/>
      <c r="M454" s="636"/>
      <c r="N454" s="637">
        <f t="shared" si="161"/>
        <v>0</v>
      </c>
      <c r="O454" s="638"/>
      <c r="P454" s="638"/>
      <c r="Q454" s="635">
        <f t="shared" si="162"/>
        <v>0</v>
      </c>
      <c r="R454" s="636"/>
      <c r="S454" s="636"/>
      <c r="T454" s="637">
        <f t="shared" si="163"/>
        <v>0</v>
      </c>
      <c r="U454" s="638"/>
      <c r="V454" s="638"/>
      <c r="W454" s="635">
        <f t="shared" si="164"/>
        <v>0</v>
      </c>
      <c r="X454" s="636"/>
      <c r="Y454" s="636"/>
      <c r="Z454" s="637">
        <f t="shared" si="165"/>
        <v>0</v>
      </c>
      <c r="AA454" s="638"/>
      <c r="AB454" s="638"/>
      <c r="AC454" s="635">
        <f t="shared" si="166"/>
        <v>0</v>
      </c>
      <c r="AD454" s="636">
        <v>96</v>
      </c>
      <c r="AE454" s="636">
        <v>47976.5625</v>
      </c>
      <c r="AF454" s="637">
        <f t="shared" si="167"/>
        <v>4605750</v>
      </c>
      <c r="AG454" s="638">
        <v>95</v>
      </c>
      <c r="AH454" s="638">
        <v>47662</v>
      </c>
      <c r="AI454" s="635">
        <f t="shared" si="168"/>
        <v>4527890</v>
      </c>
      <c r="AJ454" s="636"/>
      <c r="AK454" s="636"/>
      <c r="AL454" s="637">
        <f t="shared" si="169"/>
        <v>0</v>
      </c>
      <c r="AM454" s="638"/>
      <c r="AN454" s="638"/>
      <c r="AO454" s="640">
        <f t="shared" si="170"/>
        <v>0</v>
      </c>
      <c r="AP454" s="636"/>
      <c r="AQ454" s="636"/>
      <c r="AR454" s="637">
        <f t="shared" si="171"/>
        <v>0</v>
      </c>
      <c r="AS454" s="638"/>
      <c r="AT454" s="638"/>
      <c r="AU454" s="635">
        <f t="shared" si="172"/>
        <v>0</v>
      </c>
      <c r="AV454" s="636"/>
      <c r="AW454" s="636"/>
      <c r="AX454" s="637">
        <f t="shared" si="173"/>
        <v>0</v>
      </c>
      <c r="AY454" s="638"/>
      <c r="AZ454" s="638"/>
      <c r="BA454" s="635">
        <f t="shared" si="174"/>
        <v>0</v>
      </c>
      <c r="BB454" s="636"/>
      <c r="BC454" s="636"/>
      <c r="BD454" s="637">
        <f t="shared" si="175"/>
        <v>0</v>
      </c>
      <c r="BE454" s="638"/>
      <c r="BF454" s="638"/>
      <c r="BG454" s="635">
        <f t="shared" si="176"/>
        <v>0</v>
      </c>
      <c r="BH454" s="636"/>
      <c r="BI454" s="636"/>
      <c r="BJ454" s="637">
        <f t="shared" si="177"/>
        <v>0</v>
      </c>
      <c r="BK454" s="638"/>
      <c r="BL454" s="638"/>
      <c r="BM454" s="635">
        <f t="shared" si="178"/>
        <v>0</v>
      </c>
      <c r="BN454" s="636"/>
      <c r="BO454" s="636"/>
      <c r="BP454" s="637">
        <f t="shared" si="179"/>
        <v>0</v>
      </c>
      <c r="BQ454" s="638"/>
      <c r="BR454" s="638"/>
      <c r="BS454" s="635">
        <f t="shared" si="180"/>
        <v>0</v>
      </c>
      <c r="BT454" s="636"/>
      <c r="BU454" s="636"/>
      <c r="BV454" s="637">
        <f t="shared" si="181"/>
        <v>0</v>
      </c>
      <c r="BW454" s="638"/>
      <c r="BX454" s="638"/>
      <c r="BY454" s="641">
        <f t="shared" si="182"/>
        <v>0</v>
      </c>
    </row>
    <row r="455" spans="1:77" x14ac:dyDescent="0.2">
      <c r="A455" s="322" t="s">
        <v>113</v>
      </c>
      <c r="B455" s="307" t="s">
        <v>637</v>
      </c>
      <c r="C455" s="490"/>
      <c r="D455" s="488">
        <v>218487</v>
      </c>
      <c r="E455" s="492">
        <v>9</v>
      </c>
      <c r="F455" s="631"/>
      <c r="G455" s="632"/>
      <c r="H455" s="633">
        <f t="shared" si="159"/>
        <v>0</v>
      </c>
      <c r="I455" s="634"/>
      <c r="J455" s="634"/>
      <c r="K455" s="635">
        <f t="shared" si="160"/>
        <v>0</v>
      </c>
      <c r="L455" s="636"/>
      <c r="M455" s="636"/>
      <c r="N455" s="637">
        <f t="shared" si="161"/>
        <v>0</v>
      </c>
      <c r="O455" s="638"/>
      <c r="P455" s="638"/>
      <c r="Q455" s="635">
        <f t="shared" si="162"/>
        <v>0</v>
      </c>
      <c r="R455" s="636"/>
      <c r="S455" s="636"/>
      <c r="T455" s="637">
        <f t="shared" si="163"/>
        <v>0</v>
      </c>
      <c r="U455" s="638"/>
      <c r="V455" s="638"/>
      <c r="W455" s="635">
        <f t="shared" si="164"/>
        <v>0</v>
      </c>
      <c r="X455" s="636"/>
      <c r="Y455" s="636"/>
      <c r="Z455" s="637">
        <f t="shared" si="165"/>
        <v>0</v>
      </c>
      <c r="AA455" s="638"/>
      <c r="AB455" s="638"/>
      <c r="AC455" s="635">
        <f t="shared" si="166"/>
        <v>0</v>
      </c>
      <c r="AD455" s="636">
        <v>75</v>
      </c>
      <c r="AE455" s="636">
        <v>43055.746666666666</v>
      </c>
      <c r="AF455" s="637">
        <f t="shared" si="167"/>
        <v>3229181</v>
      </c>
      <c r="AG455" s="638">
        <v>76</v>
      </c>
      <c r="AH455" s="638">
        <v>42360</v>
      </c>
      <c r="AI455" s="635">
        <f t="shared" si="168"/>
        <v>3219360</v>
      </c>
      <c r="AJ455" s="636"/>
      <c r="AK455" s="636"/>
      <c r="AL455" s="637">
        <f t="shared" si="169"/>
        <v>0</v>
      </c>
      <c r="AM455" s="638"/>
      <c r="AN455" s="638"/>
      <c r="AO455" s="640">
        <f t="shared" si="170"/>
        <v>0</v>
      </c>
      <c r="AP455" s="636"/>
      <c r="AQ455" s="636"/>
      <c r="AR455" s="637">
        <f t="shared" si="171"/>
        <v>0</v>
      </c>
      <c r="AS455" s="638"/>
      <c r="AT455" s="638"/>
      <c r="AU455" s="635">
        <f t="shared" si="172"/>
        <v>0</v>
      </c>
      <c r="AV455" s="636"/>
      <c r="AW455" s="636"/>
      <c r="AX455" s="637">
        <f t="shared" si="173"/>
        <v>0</v>
      </c>
      <c r="AY455" s="638"/>
      <c r="AZ455" s="638"/>
      <c r="BA455" s="635">
        <f t="shared" si="174"/>
        <v>0</v>
      </c>
      <c r="BB455" s="636"/>
      <c r="BC455" s="636"/>
      <c r="BD455" s="637">
        <f t="shared" si="175"/>
        <v>0</v>
      </c>
      <c r="BE455" s="638"/>
      <c r="BF455" s="638"/>
      <c r="BG455" s="635">
        <f t="shared" si="176"/>
        <v>0</v>
      </c>
      <c r="BH455" s="636"/>
      <c r="BI455" s="636"/>
      <c r="BJ455" s="637">
        <f t="shared" si="177"/>
        <v>0</v>
      </c>
      <c r="BK455" s="638"/>
      <c r="BL455" s="638"/>
      <c r="BM455" s="635">
        <f t="shared" si="178"/>
        <v>0</v>
      </c>
      <c r="BN455" s="636"/>
      <c r="BO455" s="636"/>
      <c r="BP455" s="637">
        <f t="shared" si="179"/>
        <v>0</v>
      </c>
      <c r="BQ455" s="638"/>
      <c r="BR455" s="638"/>
      <c r="BS455" s="635">
        <f t="shared" si="180"/>
        <v>0</v>
      </c>
      <c r="BT455" s="636"/>
      <c r="BU455" s="636"/>
      <c r="BV455" s="637">
        <f t="shared" si="181"/>
        <v>0</v>
      </c>
      <c r="BW455" s="638"/>
      <c r="BX455" s="638"/>
      <c r="BY455" s="641">
        <f t="shared" si="182"/>
        <v>0</v>
      </c>
    </row>
    <row r="456" spans="1:77" x14ac:dyDescent="0.2">
      <c r="A456" s="322" t="s">
        <v>113</v>
      </c>
      <c r="B456" s="334" t="s">
        <v>638</v>
      </c>
      <c r="C456" s="487" t="s">
        <v>1032</v>
      </c>
      <c r="D456" s="488">
        <v>218520</v>
      </c>
      <c r="E456" s="492">
        <v>9</v>
      </c>
      <c r="F456" s="631"/>
      <c r="G456" s="632"/>
      <c r="H456" s="633">
        <f t="shared" ref="H456:H519" si="183">F456*G456</f>
        <v>0</v>
      </c>
      <c r="I456" s="634"/>
      <c r="J456" s="634"/>
      <c r="K456" s="635">
        <f t="shared" ref="K456:K519" si="184">I456*J456</f>
        <v>0</v>
      </c>
      <c r="L456" s="636"/>
      <c r="M456" s="636"/>
      <c r="N456" s="637">
        <f t="shared" ref="N456:N519" si="185">L456*M456</f>
        <v>0</v>
      </c>
      <c r="O456" s="638"/>
      <c r="P456" s="638"/>
      <c r="Q456" s="635">
        <f t="shared" ref="Q456:Q519" si="186">O456*P456</f>
        <v>0</v>
      </c>
      <c r="R456" s="636"/>
      <c r="S456" s="636"/>
      <c r="T456" s="637">
        <f t="shared" ref="T456:T519" si="187">R456*S456</f>
        <v>0</v>
      </c>
      <c r="U456" s="638"/>
      <c r="V456" s="638"/>
      <c r="W456" s="635">
        <f t="shared" ref="W456:W519" si="188">U456*V456</f>
        <v>0</v>
      </c>
      <c r="X456" s="636"/>
      <c r="Y456" s="636"/>
      <c r="Z456" s="637">
        <f t="shared" ref="Z456:Z519" si="189">X456*Y456</f>
        <v>0</v>
      </c>
      <c r="AA456" s="638"/>
      <c r="AB456" s="638"/>
      <c r="AC456" s="635">
        <f t="shared" ref="AC456:AC519" si="190">AA456*AB456</f>
        <v>0</v>
      </c>
      <c r="AD456" s="636">
        <v>121</v>
      </c>
      <c r="AE456" s="636">
        <v>43649.512396694212</v>
      </c>
      <c r="AF456" s="637">
        <f t="shared" ref="AF456:AF519" si="191">AD456*AE456</f>
        <v>5281591</v>
      </c>
      <c r="AG456" s="638">
        <v>117</v>
      </c>
      <c r="AH456" s="638">
        <v>43501</v>
      </c>
      <c r="AI456" s="635">
        <f t="shared" ref="AI456:AI519" si="192">AG456*AH456</f>
        <v>5089617</v>
      </c>
      <c r="AJ456" s="636"/>
      <c r="AK456" s="636"/>
      <c r="AL456" s="637">
        <f t="shared" ref="AL456:AL515" si="193">AJ456*AK456</f>
        <v>0</v>
      </c>
      <c r="AM456" s="638"/>
      <c r="AN456" s="638"/>
      <c r="AO456" s="640">
        <f t="shared" ref="AO456:AO519" si="194">AM456*AN456</f>
        <v>0</v>
      </c>
      <c r="AP456" s="636"/>
      <c r="AQ456" s="636"/>
      <c r="AR456" s="637">
        <f t="shared" ref="AR456:AR519" si="195">(AP456*AQ456)*0.8182</f>
        <v>0</v>
      </c>
      <c r="AS456" s="638"/>
      <c r="AT456" s="638"/>
      <c r="AU456" s="635">
        <f t="shared" ref="AU456:AU519" si="196">(AS456*AT456)*0.8182</f>
        <v>0</v>
      </c>
      <c r="AV456" s="636"/>
      <c r="AW456" s="636"/>
      <c r="AX456" s="637">
        <f t="shared" ref="AX456:AX519" si="197">(AV456*AW456)*0.8182</f>
        <v>0</v>
      </c>
      <c r="AY456" s="638"/>
      <c r="AZ456" s="638"/>
      <c r="BA456" s="635">
        <f t="shared" ref="BA456:BA519" si="198">(AY456*AZ456)*0.8182</f>
        <v>0</v>
      </c>
      <c r="BB456" s="636"/>
      <c r="BC456" s="636"/>
      <c r="BD456" s="637">
        <f t="shared" ref="BD456:BD519" si="199">(BB456*BC456)*0.8182</f>
        <v>0</v>
      </c>
      <c r="BE456" s="638"/>
      <c r="BF456" s="638"/>
      <c r="BG456" s="635">
        <f t="shared" ref="BG456:BG519" si="200">(BE456*BF456)*0.8182</f>
        <v>0</v>
      </c>
      <c r="BH456" s="636"/>
      <c r="BI456" s="636"/>
      <c r="BJ456" s="637">
        <f t="shared" ref="BJ456:BJ519" si="201">(BH456*BI456)*0.8182</f>
        <v>0</v>
      </c>
      <c r="BK456" s="638"/>
      <c r="BL456" s="638"/>
      <c r="BM456" s="635">
        <f t="shared" ref="BM456:BM519" si="202">(BK456*BL456)*0.8182</f>
        <v>0</v>
      </c>
      <c r="BN456" s="636"/>
      <c r="BO456" s="636"/>
      <c r="BP456" s="637">
        <f t="shared" ref="BP456:BP519" si="203">(BN456*BO456)*0.8182</f>
        <v>0</v>
      </c>
      <c r="BQ456" s="638"/>
      <c r="BR456" s="638"/>
      <c r="BS456" s="635">
        <f t="shared" ref="BS456:BS519" si="204">(BQ456*BR456)*0.8182</f>
        <v>0</v>
      </c>
      <c r="BT456" s="636"/>
      <c r="BU456" s="636"/>
      <c r="BV456" s="637">
        <f t="shared" ref="BV456:BV519" si="205">(BT456*BU456)*0.8182</f>
        <v>0</v>
      </c>
      <c r="BW456" s="638"/>
      <c r="BX456" s="638"/>
      <c r="BY456" s="641">
        <f t="shared" ref="BY456:BY519" si="206">(BW456*BX456)*0.8182</f>
        <v>0</v>
      </c>
    </row>
    <row r="457" spans="1:77" x14ac:dyDescent="0.2">
      <c r="A457" s="322" t="s">
        <v>113</v>
      </c>
      <c r="B457" s="334" t="s">
        <v>639</v>
      </c>
      <c r="C457" s="487"/>
      <c r="D457" s="488">
        <v>218830</v>
      </c>
      <c r="E457" s="492">
        <v>9</v>
      </c>
      <c r="F457" s="631"/>
      <c r="G457" s="632"/>
      <c r="H457" s="633">
        <f t="shared" si="183"/>
        <v>0</v>
      </c>
      <c r="I457" s="634"/>
      <c r="J457" s="634"/>
      <c r="K457" s="635">
        <f t="shared" si="184"/>
        <v>0</v>
      </c>
      <c r="L457" s="636"/>
      <c r="M457" s="636"/>
      <c r="N457" s="637">
        <f t="shared" si="185"/>
        <v>0</v>
      </c>
      <c r="O457" s="638"/>
      <c r="P457" s="638"/>
      <c r="Q457" s="635">
        <f t="shared" si="186"/>
        <v>0</v>
      </c>
      <c r="R457" s="636"/>
      <c r="S457" s="636"/>
      <c r="T457" s="637">
        <f t="shared" si="187"/>
        <v>0</v>
      </c>
      <c r="U457" s="638"/>
      <c r="V457" s="638"/>
      <c r="W457" s="635">
        <f t="shared" si="188"/>
        <v>0</v>
      </c>
      <c r="X457" s="636"/>
      <c r="Y457" s="636"/>
      <c r="Z457" s="637">
        <f t="shared" si="189"/>
        <v>0</v>
      </c>
      <c r="AA457" s="638"/>
      <c r="AB457" s="638"/>
      <c r="AC457" s="635">
        <f t="shared" si="190"/>
        <v>0</v>
      </c>
      <c r="AD457" s="636">
        <v>119</v>
      </c>
      <c r="AE457" s="636">
        <v>44870.529411764706</v>
      </c>
      <c r="AF457" s="637">
        <f t="shared" si="191"/>
        <v>5339593</v>
      </c>
      <c r="AG457" s="638">
        <v>120</v>
      </c>
      <c r="AH457" s="638">
        <v>44560</v>
      </c>
      <c r="AI457" s="635">
        <f t="shared" si="192"/>
        <v>5347200</v>
      </c>
      <c r="AJ457" s="636"/>
      <c r="AK457" s="636"/>
      <c r="AL457" s="637">
        <f t="shared" si="193"/>
        <v>0</v>
      </c>
      <c r="AM457" s="638"/>
      <c r="AN457" s="638"/>
      <c r="AO457" s="640">
        <f t="shared" si="194"/>
        <v>0</v>
      </c>
      <c r="AP457" s="636"/>
      <c r="AQ457" s="636"/>
      <c r="AR457" s="637">
        <f t="shared" si="195"/>
        <v>0</v>
      </c>
      <c r="AS457" s="638"/>
      <c r="AT457" s="638"/>
      <c r="AU457" s="635">
        <f t="shared" si="196"/>
        <v>0</v>
      </c>
      <c r="AV457" s="636"/>
      <c r="AW457" s="636"/>
      <c r="AX457" s="637">
        <f t="shared" si="197"/>
        <v>0</v>
      </c>
      <c r="AY457" s="638"/>
      <c r="AZ457" s="638"/>
      <c r="BA457" s="635">
        <f t="shared" si="198"/>
        <v>0</v>
      </c>
      <c r="BB457" s="636"/>
      <c r="BC457" s="636"/>
      <c r="BD457" s="637">
        <f t="shared" si="199"/>
        <v>0</v>
      </c>
      <c r="BE457" s="638"/>
      <c r="BF457" s="638"/>
      <c r="BG457" s="635">
        <f t="shared" si="200"/>
        <v>0</v>
      </c>
      <c r="BH457" s="636"/>
      <c r="BI457" s="636"/>
      <c r="BJ457" s="637">
        <f t="shared" si="201"/>
        <v>0</v>
      </c>
      <c r="BK457" s="638"/>
      <c r="BL457" s="638"/>
      <c r="BM457" s="635">
        <f t="shared" si="202"/>
        <v>0</v>
      </c>
      <c r="BN457" s="636"/>
      <c r="BO457" s="636"/>
      <c r="BP457" s="637">
        <f t="shared" si="203"/>
        <v>0</v>
      </c>
      <c r="BQ457" s="638"/>
      <c r="BR457" s="638"/>
      <c r="BS457" s="635">
        <f t="shared" si="204"/>
        <v>0</v>
      </c>
      <c r="BT457" s="636"/>
      <c r="BU457" s="636"/>
      <c r="BV457" s="637">
        <f t="shared" si="205"/>
        <v>0</v>
      </c>
      <c r="BW457" s="638"/>
      <c r="BX457" s="638"/>
      <c r="BY457" s="641">
        <f t="shared" si="206"/>
        <v>0</v>
      </c>
    </row>
    <row r="458" spans="1:77" x14ac:dyDescent="0.2">
      <c r="A458" s="322" t="s">
        <v>113</v>
      </c>
      <c r="B458" s="334" t="s">
        <v>641</v>
      </c>
      <c r="C458" s="487"/>
      <c r="D458" s="488">
        <v>218991</v>
      </c>
      <c r="E458" s="492">
        <v>9</v>
      </c>
      <c r="F458" s="631"/>
      <c r="G458" s="632"/>
      <c r="H458" s="633">
        <f t="shared" si="183"/>
        <v>0</v>
      </c>
      <c r="I458" s="634"/>
      <c r="J458" s="634"/>
      <c r="K458" s="635">
        <f t="shared" si="184"/>
        <v>0</v>
      </c>
      <c r="L458" s="636"/>
      <c r="M458" s="636"/>
      <c r="N458" s="637">
        <f t="shared" si="185"/>
        <v>0</v>
      </c>
      <c r="O458" s="638"/>
      <c r="P458" s="638"/>
      <c r="Q458" s="635">
        <f t="shared" si="186"/>
        <v>0</v>
      </c>
      <c r="R458" s="636"/>
      <c r="S458" s="636"/>
      <c r="T458" s="637">
        <f t="shared" si="187"/>
        <v>0</v>
      </c>
      <c r="U458" s="638"/>
      <c r="V458" s="638"/>
      <c r="W458" s="635">
        <f t="shared" si="188"/>
        <v>0</v>
      </c>
      <c r="X458" s="636"/>
      <c r="Y458" s="636"/>
      <c r="Z458" s="637">
        <f t="shared" si="189"/>
        <v>0</v>
      </c>
      <c r="AA458" s="638"/>
      <c r="AB458" s="638"/>
      <c r="AC458" s="635">
        <f t="shared" si="190"/>
        <v>0</v>
      </c>
      <c r="AD458" s="636">
        <v>122</v>
      </c>
      <c r="AE458" s="636">
        <v>47441.754098360652</v>
      </c>
      <c r="AF458" s="637">
        <f t="shared" si="191"/>
        <v>5787894</v>
      </c>
      <c r="AG458" s="638">
        <v>126</v>
      </c>
      <c r="AH458" s="638">
        <v>47663</v>
      </c>
      <c r="AI458" s="635">
        <f t="shared" si="192"/>
        <v>6005538</v>
      </c>
      <c r="AJ458" s="636"/>
      <c r="AK458" s="636"/>
      <c r="AL458" s="637">
        <f t="shared" si="193"/>
        <v>0</v>
      </c>
      <c r="AM458" s="638"/>
      <c r="AN458" s="638"/>
      <c r="AO458" s="640">
        <f t="shared" si="194"/>
        <v>0</v>
      </c>
      <c r="AP458" s="636"/>
      <c r="AQ458" s="636"/>
      <c r="AR458" s="637">
        <f t="shared" si="195"/>
        <v>0</v>
      </c>
      <c r="AS458" s="638"/>
      <c r="AT458" s="638"/>
      <c r="AU458" s="635">
        <f t="shared" si="196"/>
        <v>0</v>
      </c>
      <c r="AV458" s="636"/>
      <c r="AW458" s="636"/>
      <c r="AX458" s="637">
        <f t="shared" si="197"/>
        <v>0</v>
      </c>
      <c r="AY458" s="638"/>
      <c r="AZ458" s="638"/>
      <c r="BA458" s="635">
        <f t="shared" si="198"/>
        <v>0</v>
      </c>
      <c r="BB458" s="636"/>
      <c r="BC458" s="636"/>
      <c r="BD458" s="637">
        <f t="shared" si="199"/>
        <v>0</v>
      </c>
      <c r="BE458" s="638"/>
      <c r="BF458" s="638"/>
      <c r="BG458" s="635">
        <f t="shared" si="200"/>
        <v>0</v>
      </c>
      <c r="BH458" s="636"/>
      <c r="BI458" s="636"/>
      <c r="BJ458" s="637">
        <f t="shared" si="201"/>
        <v>0</v>
      </c>
      <c r="BK458" s="638"/>
      <c r="BL458" s="638"/>
      <c r="BM458" s="635">
        <f t="shared" si="202"/>
        <v>0</v>
      </c>
      <c r="BN458" s="636"/>
      <c r="BO458" s="636"/>
      <c r="BP458" s="637">
        <f t="shared" si="203"/>
        <v>0</v>
      </c>
      <c r="BQ458" s="638"/>
      <c r="BR458" s="638"/>
      <c r="BS458" s="635">
        <f t="shared" si="204"/>
        <v>0</v>
      </c>
      <c r="BT458" s="636"/>
      <c r="BU458" s="636"/>
      <c r="BV458" s="637">
        <f t="shared" si="205"/>
        <v>0</v>
      </c>
      <c r="BW458" s="638"/>
      <c r="BX458" s="638"/>
      <c r="BY458" s="641">
        <f t="shared" si="206"/>
        <v>0</v>
      </c>
    </row>
    <row r="459" spans="1:77" x14ac:dyDescent="0.2">
      <c r="A459" s="322" t="s">
        <v>113</v>
      </c>
      <c r="B459" s="307" t="s">
        <v>642</v>
      </c>
      <c r="C459" s="490"/>
      <c r="D459" s="488">
        <v>217989</v>
      </c>
      <c r="E459" s="492">
        <v>10</v>
      </c>
      <c r="F459" s="631"/>
      <c r="G459" s="632"/>
      <c r="H459" s="633">
        <f t="shared" si="183"/>
        <v>0</v>
      </c>
      <c r="I459" s="634"/>
      <c r="J459" s="634"/>
      <c r="K459" s="635">
        <f t="shared" si="184"/>
        <v>0</v>
      </c>
      <c r="L459" s="636"/>
      <c r="M459" s="636"/>
      <c r="N459" s="637">
        <f t="shared" si="185"/>
        <v>0</v>
      </c>
      <c r="O459" s="638"/>
      <c r="P459" s="638"/>
      <c r="Q459" s="635">
        <f t="shared" si="186"/>
        <v>0</v>
      </c>
      <c r="R459" s="636"/>
      <c r="S459" s="636"/>
      <c r="T459" s="637">
        <f t="shared" si="187"/>
        <v>0</v>
      </c>
      <c r="U459" s="638"/>
      <c r="V459" s="638"/>
      <c r="W459" s="635">
        <f t="shared" si="188"/>
        <v>0</v>
      </c>
      <c r="X459" s="636"/>
      <c r="Y459" s="636"/>
      <c r="Z459" s="637">
        <f t="shared" si="189"/>
        <v>0</v>
      </c>
      <c r="AA459" s="638"/>
      <c r="AB459" s="638"/>
      <c r="AC459" s="635">
        <f t="shared" si="190"/>
        <v>0</v>
      </c>
      <c r="AD459" s="636">
        <v>35</v>
      </c>
      <c r="AE459" s="636">
        <v>38597.085714285713</v>
      </c>
      <c r="AF459" s="637">
        <f t="shared" si="191"/>
        <v>1350898</v>
      </c>
      <c r="AG459" s="638">
        <v>35</v>
      </c>
      <c r="AH459" s="638">
        <v>39069</v>
      </c>
      <c r="AI459" s="635">
        <f t="shared" si="192"/>
        <v>1367415</v>
      </c>
      <c r="AJ459" s="636"/>
      <c r="AK459" s="636"/>
      <c r="AL459" s="637">
        <f t="shared" si="193"/>
        <v>0</v>
      </c>
      <c r="AM459" s="638"/>
      <c r="AN459" s="638"/>
      <c r="AO459" s="640">
        <f t="shared" si="194"/>
        <v>0</v>
      </c>
      <c r="AP459" s="636"/>
      <c r="AQ459" s="636"/>
      <c r="AR459" s="637">
        <f t="shared" si="195"/>
        <v>0</v>
      </c>
      <c r="AS459" s="638"/>
      <c r="AT459" s="638"/>
      <c r="AU459" s="635">
        <f t="shared" si="196"/>
        <v>0</v>
      </c>
      <c r="AV459" s="636"/>
      <c r="AW459" s="636"/>
      <c r="AX459" s="637">
        <f t="shared" si="197"/>
        <v>0</v>
      </c>
      <c r="AY459" s="638"/>
      <c r="AZ459" s="638"/>
      <c r="BA459" s="635">
        <f t="shared" si="198"/>
        <v>0</v>
      </c>
      <c r="BB459" s="636"/>
      <c r="BC459" s="636"/>
      <c r="BD459" s="637">
        <f t="shared" si="199"/>
        <v>0</v>
      </c>
      <c r="BE459" s="638"/>
      <c r="BF459" s="638"/>
      <c r="BG459" s="635">
        <f t="shared" si="200"/>
        <v>0</v>
      </c>
      <c r="BH459" s="636"/>
      <c r="BI459" s="636"/>
      <c r="BJ459" s="637">
        <f t="shared" si="201"/>
        <v>0</v>
      </c>
      <c r="BK459" s="638"/>
      <c r="BL459" s="638"/>
      <c r="BM459" s="635">
        <f t="shared" si="202"/>
        <v>0</v>
      </c>
      <c r="BN459" s="636"/>
      <c r="BO459" s="636"/>
      <c r="BP459" s="637">
        <f t="shared" si="203"/>
        <v>0</v>
      </c>
      <c r="BQ459" s="638"/>
      <c r="BR459" s="638"/>
      <c r="BS459" s="635">
        <f t="shared" si="204"/>
        <v>0</v>
      </c>
      <c r="BT459" s="636"/>
      <c r="BU459" s="636"/>
      <c r="BV459" s="637">
        <f t="shared" si="205"/>
        <v>0</v>
      </c>
      <c r="BW459" s="638"/>
      <c r="BX459" s="638"/>
      <c r="BY459" s="641">
        <f t="shared" si="206"/>
        <v>0</v>
      </c>
    </row>
    <row r="460" spans="1:77" x14ac:dyDescent="0.2">
      <c r="A460" s="322" t="s">
        <v>113</v>
      </c>
      <c r="B460" s="307" t="s">
        <v>643</v>
      </c>
      <c r="C460" s="490"/>
      <c r="D460" s="488">
        <v>217837</v>
      </c>
      <c r="E460" s="492">
        <v>10</v>
      </c>
      <c r="F460" s="631"/>
      <c r="G460" s="632"/>
      <c r="H460" s="633">
        <f t="shared" si="183"/>
        <v>0</v>
      </c>
      <c r="I460" s="634"/>
      <c r="J460" s="634"/>
      <c r="K460" s="635">
        <f t="shared" si="184"/>
        <v>0</v>
      </c>
      <c r="L460" s="636"/>
      <c r="M460" s="636"/>
      <c r="N460" s="637">
        <f t="shared" si="185"/>
        <v>0</v>
      </c>
      <c r="O460" s="638"/>
      <c r="P460" s="638"/>
      <c r="Q460" s="635">
        <f t="shared" si="186"/>
        <v>0</v>
      </c>
      <c r="R460" s="636"/>
      <c r="S460" s="636"/>
      <c r="T460" s="637">
        <f t="shared" si="187"/>
        <v>0</v>
      </c>
      <c r="U460" s="638"/>
      <c r="V460" s="638"/>
      <c r="W460" s="635">
        <f t="shared" si="188"/>
        <v>0</v>
      </c>
      <c r="X460" s="636"/>
      <c r="Y460" s="636"/>
      <c r="Z460" s="637">
        <f t="shared" si="189"/>
        <v>0</v>
      </c>
      <c r="AA460" s="638"/>
      <c r="AB460" s="638"/>
      <c r="AC460" s="635">
        <f t="shared" si="190"/>
        <v>0</v>
      </c>
      <c r="AD460" s="636">
        <v>28</v>
      </c>
      <c r="AE460" s="636">
        <v>35355.5</v>
      </c>
      <c r="AF460" s="637">
        <f t="shared" si="191"/>
        <v>989954</v>
      </c>
      <c r="AG460" s="638">
        <v>27</v>
      </c>
      <c r="AH460" s="638">
        <v>35077</v>
      </c>
      <c r="AI460" s="635">
        <f t="shared" si="192"/>
        <v>947079</v>
      </c>
      <c r="AJ460" s="636"/>
      <c r="AK460" s="636"/>
      <c r="AL460" s="637">
        <f t="shared" si="193"/>
        <v>0</v>
      </c>
      <c r="AM460" s="638"/>
      <c r="AN460" s="638"/>
      <c r="AO460" s="640">
        <f t="shared" si="194"/>
        <v>0</v>
      </c>
      <c r="AP460" s="636"/>
      <c r="AQ460" s="636"/>
      <c r="AR460" s="637">
        <f t="shared" si="195"/>
        <v>0</v>
      </c>
      <c r="AS460" s="638"/>
      <c r="AT460" s="638"/>
      <c r="AU460" s="635">
        <f t="shared" si="196"/>
        <v>0</v>
      </c>
      <c r="AV460" s="636"/>
      <c r="AW460" s="636"/>
      <c r="AX460" s="637">
        <f t="shared" si="197"/>
        <v>0</v>
      </c>
      <c r="AY460" s="638"/>
      <c r="AZ460" s="638"/>
      <c r="BA460" s="635">
        <f t="shared" si="198"/>
        <v>0</v>
      </c>
      <c r="BB460" s="636"/>
      <c r="BC460" s="636"/>
      <c r="BD460" s="637">
        <f t="shared" si="199"/>
        <v>0</v>
      </c>
      <c r="BE460" s="638"/>
      <c r="BF460" s="638"/>
      <c r="BG460" s="635">
        <f t="shared" si="200"/>
        <v>0</v>
      </c>
      <c r="BH460" s="636"/>
      <c r="BI460" s="636"/>
      <c r="BJ460" s="637">
        <f t="shared" si="201"/>
        <v>0</v>
      </c>
      <c r="BK460" s="638"/>
      <c r="BL460" s="638"/>
      <c r="BM460" s="635">
        <f t="shared" si="202"/>
        <v>0</v>
      </c>
      <c r="BN460" s="636"/>
      <c r="BO460" s="636"/>
      <c r="BP460" s="637">
        <f t="shared" si="203"/>
        <v>0</v>
      </c>
      <c r="BQ460" s="638"/>
      <c r="BR460" s="638"/>
      <c r="BS460" s="635">
        <f t="shared" si="204"/>
        <v>0</v>
      </c>
      <c r="BT460" s="636"/>
      <c r="BU460" s="636"/>
      <c r="BV460" s="637">
        <f t="shared" si="205"/>
        <v>0</v>
      </c>
      <c r="BW460" s="638"/>
      <c r="BX460" s="638"/>
      <c r="BY460" s="641">
        <f t="shared" si="206"/>
        <v>0</v>
      </c>
    </row>
    <row r="461" spans="1:77" x14ac:dyDescent="0.2">
      <c r="A461" s="322" t="s">
        <v>113</v>
      </c>
      <c r="B461" s="307" t="s">
        <v>644</v>
      </c>
      <c r="C461" s="490" t="s">
        <v>391</v>
      </c>
      <c r="D461" s="488">
        <v>217712</v>
      </c>
      <c r="E461" s="492">
        <v>10</v>
      </c>
      <c r="F461" s="631"/>
      <c r="G461" s="632"/>
      <c r="H461" s="633">
        <f t="shared" si="183"/>
        <v>0</v>
      </c>
      <c r="I461" s="634"/>
      <c r="J461" s="634"/>
      <c r="K461" s="635">
        <f t="shared" si="184"/>
        <v>0</v>
      </c>
      <c r="L461" s="636"/>
      <c r="M461" s="636"/>
      <c r="N461" s="637">
        <f t="shared" si="185"/>
        <v>0</v>
      </c>
      <c r="O461" s="638"/>
      <c r="P461" s="638"/>
      <c r="Q461" s="635">
        <f t="shared" si="186"/>
        <v>0</v>
      </c>
      <c r="R461" s="636"/>
      <c r="S461" s="636"/>
      <c r="T461" s="637">
        <f t="shared" si="187"/>
        <v>0</v>
      </c>
      <c r="U461" s="638"/>
      <c r="V461" s="638"/>
      <c r="W461" s="635">
        <f t="shared" si="188"/>
        <v>0</v>
      </c>
      <c r="X461" s="636"/>
      <c r="Y461" s="636"/>
      <c r="Z461" s="637">
        <f t="shared" si="189"/>
        <v>0</v>
      </c>
      <c r="AA461" s="638"/>
      <c r="AB461" s="638"/>
      <c r="AC461" s="635">
        <f t="shared" si="190"/>
        <v>0</v>
      </c>
      <c r="AD461" s="636">
        <v>48</v>
      </c>
      <c r="AE461" s="636">
        <v>49363.979166666664</v>
      </c>
      <c r="AF461" s="637">
        <f t="shared" si="191"/>
        <v>2369471</v>
      </c>
      <c r="AG461" s="638">
        <v>48</v>
      </c>
      <c r="AH461" s="638">
        <v>49207</v>
      </c>
      <c r="AI461" s="635">
        <f t="shared" si="192"/>
        <v>2361936</v>
      </c>
      <c r="AJ461" s="636"/>
      <c r="AK461" s="636"/>
      <c r="AL461" s="637">
        <f t="shared" si="193"/>
        <v>0</v>
      </c>
      <c r="AM461" s="638"/>
      <c r="AN461" s="638"/>
      <c r="AO461" s="640">
        <f t="shared" si="194"/>
        <v>0</v>
      </c>
      <c r="AP461" s="636"/>
      <c r="AQ461" s="636"/>
      <c r="AR461" s="637">
        <f t="shared" si="195"/>
        <v>0</v>
      </c>
      <c r="AS461" s="638"/>
      <c r="AT461" s="638"/>
      <c r="AU461" s="635">
        <f t="shared" si="196"/>
        <v>0</v>
      </c>
      <c r="AV461" s="636"/>
      <c r="AW461" s="636"/>
      <c r="AX461" s="637">
        <f t="shared" si="197"/>
        <v>0</v>
      </c>
      <c r="AY461" s="638"/>
      <c r="AZ461" s="638"/>
      <c r="BA461" s="635">
        <f t="shared" si="198"/>
        <v>0</v>
      </c>
      <c r="BB461" s="636"/>
      <c r="BC461" s="636"/>
      <c r="BD461" s="637">
        <f t="shared" si="199"/>
        <v>0</v>
      </c>
      <c r="BE461" s="638"/>
      <c r="BF461" s="638"/>
      <c r="BG461" s="635">
        <f t="shared" si="200"/>
        <v>0</v>
      </c>
      <c r="BH461" s="636"/>
      <c r="BI461" s="636"/>
      <c r="BJ461" s="637">
        <f t="shared" si="201"/>
        <v>0</v>
      </c>
      <c r="BK461" s="638"/>
      <c r="BL461" s="638"/>
      <c r="BM461" s="635">
        <f t="shared" si="202"/>
        <v>0</v>
      </c>
      <c r="BN461" s="636"/>
      <c r="BO461" s="636"/>
      <c r="BP461" s="637">
        <f t="shared" si="203"/>
        <v>0</v>
      </c>
      <c r="BQ461" s="638"/>
      <c r="BR461" s="638"/>
      <c r="BS461" s="635">
        <f t="shared" si="204"/>
        <v>0</v>
      </c>
      <c r="BT461" s="636"/>
      <c r="BU461" s="636"/>
      <c r="BV461" s="637">
        <f t="shared" si="205"/>
        <v>0</v>
      </c>
      <c r="BW461" s="638"/>
      <c r="BX461" s="638"/>
      <c r="BY461" s="641">
        <f t="shared" si="206"/>
        <v>0</v>
      </c>
    </row>
    <row r="462" spans="1:77" x14ac:dyDescent="0.2">
      <c r="A462" s="322" t="s">
        <v>113</v>
      </c>
      <c r="B462" s="307" t="s">
        <v>645</v>
      </c>
      <c r="C462" s="490"/>
      <c r="D462" s="488">
        <v>218672</v>
      </c>
      <c r="E462" s="492">
        <v>10</v>
      </c>
      <c r="F462" s="631">
        <v>5</v>
      </c>
      <c r="G462" s="632">
        <v>64343.8</v>
      </c>
      <c r="H462" s="633">
        <f t="shared" si="183"/>
        <v>321719</v>
      </c>
      <c r="I462" s="634">
        <v>5</v>
      </c>
      <c r="J462" s="634">
        <v>65644</v>
      </c>
      <c r="K462" s="635">
        <f t="shared" si="184"/>
        <v>328220</v>
      </c>
      <c r="L462" s="636">
        <v>3</v>
      </c>
      <c r="M462" s="636">
        <v>56277</v>
      </c>
      <c r="N462" s="637">
        <f t="shared" si="185"/>
        <v>168831</v>
      </c>
      <c r="O462" s="638">
        <v>4</v>
      </c>
      <c r="P462" s="638">
        <v>58202</v>
      </c>
      <c r="Q462" s="635">
        <f t="shared" si="186"/>
        <v>232808</v>
      </c>
      <c r="R462" s="636">
        <v>16</v>
      </c>
      <c r="S462" s="636">
        <v>46750.125</v>
      </c>
      <c r="T462" s="637">
        <f t="shared" si="187"/>
        <v>748002</v>
      </c>
      <c r="U462" s="638">
        <v>17</v>
      </c>
      <c r="V462" s="638">
        <v>45796</v>
      </c>
      <c r="W462" s="635">
        <f t="shared" si="188"/>
        <v>778532</v>
      </c>
      <c r="X462" s="636">
        <v>18</v>
      </c>
      <c r="Y462" s="636">
        <v>46715.333333333336</v>
      </c>
      <c r="Z462" s="637">
        <f t="shared" si="189"/>
        <v>840876</v>
      </c>
      <c r="AA462" s="638">
        <v>19</v>
      </c>
      <c r="AB462" s="638">
        <v>47230</v>
      </c>
      <c r="AC462" s="635">
        <f t="shared" si="190"/>
        <v>897370</v>
      </c>
      <c r="AD462" s="636"/>
      <c r="AE462" s="636"/>
      <c r="AF462" s="637">
        <f t="shared" si="191"/>
        <v>0</v>
      </c>
      <c r="AG462" s="638"/>
      <c r="AH462" s="638"/>
      <c r="AI462" s="635">
        <f t="shared" si="192"/>
        <v>0</v>
      </c>
      <c r="AJ462" s="636"/>
      <c r="AK462" s="636"/>
      <c r="AL462" s="637">
        <f t="shared" si="193"/>
        <v>0</v>
      </c>
      <c r="AM462" s="638"/>
      <c r="AN462" s="638"/>
      <c r="AO462" s="640">
        <f t="shared" si="194"/>
        <v>0</v>
      </c>
      <c r="AP462" s="636"/>
      <c r="AQ462" s="636"/>
      <c r="AR462" s="637">
        <f t="shared" si="195"/>
        <v>0</v>
      </c>
      <c r="AS462" s="638"/>
      <c r="AT462" s="638"/>
      <c r="AU462" s="635">
        <f t="shared" si="196"/>
        <v>0</v>
      </c>
      <c r="AV462" s="636">
        <v>1</v>
      </c>
      <c r="AW462" s="636">
        <v>71556</v>
      </c>
      <c r="AX462" s="637">
        <f t="shared" si="197"/>
        <v>58547.119200000001</v>
      </c>
      <c r="AY462" s="638">
        <v>1</v>
      </c>
      <c r="AZ462" s="638">
        <v>75000</v>
      </c>
      <c r="BA462" s="635">
        <f t="shared" si="198"/>
        <v>61365</v>
      </c>
      <c r="BB462" s="636">
        <v>1</v>
      </c>
      <c r="BC462" s="636">
        <v>60600</v>
      </c>
      <c r="BD462" s="637">
        <f t="shared" si="199"/>
        <v>49582.920000000006</v>
      </c>
      <c r="BE462" s="638">
        <v>1</v>
      </c>
      <c r="BF462" s="638">
        <v>60600</v>
      </c>
      <c r="BG462" s="635">
        <f t="shared" si="200"/>
        <v>49582.920000000006</v>
      </c>
      <c r="BH462" s="636">
        <v>2</v>
      </c>
      <c r="BI462" s="636">
        <v>61950</v>
      </c>
      <c r="BJ462" s="637">
        <f t="shared" si="201"/>
        <v>101374.98000000001</v>
      </c>
      <c r="BK462" s="638">
        <v>2</v>
      </c>
      <c r="BL462" s="638">
        <v>61950</v>
      </c>
      <c r="BM462" s="635">
        <f t="shared" si="202"/>
        <v>101374.98000000001</v>
      </c>
      <c r="BN462" s="636"/>
      <c r="BO462" s="636"/>
      <c r="BP462" s="637">
        <f t="shared" si="203"/>
        <v>0</v>
      </c>
      <c r="BQ462" s="638"/>
      <c r="BR462" s="638"/>
      <c r="BS462" s="635">
        <f t="shared" si="204"/>
        <v>0</v>
      </c>
      <c r="BT462" s="636"/>
      <c r="BU462" s="636"/>
      <c r="BV462" s="637">
        <f t="shared" si="205"/>
        <v>0</v>
      </c>
      <c r="BW462" s="638"/>
      <c r="BX462" s="638"/>
      <c r="BY462" s="641">
        <f t="shared" si="206"/>
        <v>0</v>
      </c>
    </row>
    <row r="463" spans="1:77" x14ac:dyDescent="0.2">
      <c r="A463" s="322" t="s">
        <v>113</v>
      </c>
      <c r="B463" s="307" t="s">
        <v>646</v>
      </c>
      <c r="C463" s="490"/>
      <c r="D463" s="488">
        <v>218681</v>
      </c>
      <c r="E463" s="492">
        <v>10</v>
      </c>
      <c r="F463" s="631">
        <v>1</v>
      </c>
      <c r="G463" s="632">
        <v>57256</v>
      </c>
      <c r="H463" s="633">
        <f t="shared" si="183"/>
        <v>57256</v>
      </c>
      <c r="I463" s="634">
        <v>1</v>
      </c>
      <c r="J463" s="634">
        <v>57256</v>
      </c>
      <c r="K463" s="635">
        <f t="shared" si="184"/>
        <v>57256</v>
      </c>
      <c r="L463" s="636">
        <v>2</v>
      </c>
      <c r="M463" s="636">
        <v>50883</v>
      </c>
      <c r="N463" s="637">
        <f t="shared" si="185"/>
        <v>101766</v>
      </c>
      <c r="O463" s="638">
        <v>3</v>
      </c>
      <c r="P463" s="638">
        <v>51160</v>
      </c>
      <c r="Q463" s="635">
        <f t="shared" si="186"/>
        <v>153480</v>
      </c>
      <c r="R463" s="636">
        <v>11</v>
      </c>
      <c r="S463" s="636">
        <v>45377.090909090912</v>
      </c>
      <c r="T463" s="637">
        <f t="shared" si="187"/>
        <v>499148</v>
      </c>
      <c r="U463" s="638">
        <v>11</v>
      </c>
      <c r="V463" s="638">
        <v>45656</v>
      </c>
      <c r="W463" s="635">
        <f t="shared" si="188"/>
        <v>502216</v>
      </c>
      <c r="X463" s="636">
        <v>3</v>
      </c>
      <c r="Y463" s="636">
        <v>39946.333333333336</v>
      </c>
      <c r="Z463" s="637">
        <f t="shared" si="189"/>
        <v>119839</v>
      </c>
      <c r="AA463" s="638">
        <v>3</v>
      </c>
      <c r="AB463" s="638">
        <v>39946</v>
      </c>
      <c r="AC463" s="635">
        <f t="shared" si="190"/>
        <v>119838</v>
      </c>
      <c r="AD463" s="636"/>
      <c r="AE463" s="636"/>
      <c r="AF463" s="637">
        <f t="shared" si="191"/>
        <v>0</v>
      </c>
      <c r="AG463" s="638"/>
      <c r="AH463" s="638"/>
      <c r="AI463" s="635">
        <f t="shared" si="192"/>
        <v>0</v>
      </c>
      <c r="AJ463" s="636"/>
      <c r="AK463" s="636"/>
      <c r="AL463" s="637">
        <f t="shared" si="193"/>
        <v>0</v>
      </c>
      <c r="AM463" s="638"/>
      <c r="AN463" s="638"/>
      <c r="AO463" s="640">
        <f t="shared" si="194"/>
        <v>0</v>
      </c>
      <c r="AP463" s="636"/>
      <c r="AQ463" s="636"/>
      <c r="AR463" s="637">
        <f t="shared" si="195"/>
        <v>0</v>
      </c>
      <c r="AS463" s="638"/>
      <c r="AT463" s="638"/>
      <c r="AU463" s="635">
        <f t="shared" si="196"/>
        <v>0</v>
      </c>
      <c r="AV463" s="636">
        <v>1</v>
      </c>
      <c r="AW463" s="636">
        <v>42901</v>
      </c>
      <c r="AX463" s="637">
        <f t="shared" si="197"/>
        <v>35101.5982</v>
      </c>
      <c r="AY463" s="638">
        <v>1</v>
      </c>
      <c r="AZ463" s="638">
        <v>42901</v>
      </c>
      <c r="BA463" s="635">
        <f t="shared" si="198"/>
        <v>35101.5982</v>
      </c>
      <c r="BB463" s="636"/>
      <c r="BC463" s="636"/>
      <c r="BD463" s="637">
        <f t="shared" si="199"/>
        <v>0</v>
      </c>
      <c r="BE463" s="638"/>
      <c r="BF463" s="638"/>
      <c r="BG463" s="635">
        <f t="shared" si="200"/>
        <v>0</v>
      </c>
      <c r="BH463" s="636">
        <v>1</v>
      </c>
      <c r="BI463" s="636">
        <v>40000</v>
      </c>
      <c r="BJ463" s="637">
        <f t="shared" si="201"/>
        <v>32728</v>
      </c>
      <c r="BK463" s="638">
        <v>1</v>
      </c>
      <c r="BL463" s="638">
        <v>40000</v>
      </c>
      <c r="BM463" s="635">
        <f t="shared" si="202"/>
        <v>32728</v>
      </c>
      <c r="BN463" s="636"/>
      <c r="BO463" s="636"/>
      <c r="BP463" s="637">
        <f t="shared" si="203"/>
        <v>0</v>
      </c>
      <c r="BQ463" s="638"/>
      <c r="BR463" s="638"/>
      <c r="BS463" s="635">
        <f t="shared" si="204"/>
        <v>0</v>
      </c>
      <c r="BT463" s="636"/>
      <c r="BU463" s="636"/>
      <c r="BV463" s="637">
        <f t="shared" si="205"/>
        <v>0</v>
      </c>
      <c r="BW463" s="638"/>
      <c r="BX463" s="638"/>
      <c r="BY463" s="641">
        <f t="shared" si="206"/>
        <v>0</v>
      </c>
    </row>
    <row r="464" spans="1:77" x14ac:dyDescent="0.2">
      <c r="A464" s="322" t="s">
        <v>113</v>
      </c>
      <c r="B464" s="307" t="s">
        <v>647</v>
      </c>
      <c r="C464" s="490"/>
      <c r="D464" s="488">
        <v>218690</v>
      </c>
      <c r="E464" s="492">
        <v>10</v>
      </c>
      <c r="F464" s="631">
        <v>8</v>
      </c>
      <c r="G464" s="632">
        <v>67906.375</v>
      </c>
      <c r="H464" s="633">
        <f t="shared" si="183"/>
        <v>543251</v>
      </c>
      <c r="I464" s="634">
        <v>9</v>
      </c>
      <c r="J464" s="634">
        <v>69129</v>
      </c>
      <c r="K464" s="635">
        <f t="shared" si="184"/>
        <v>622161</v>
      </c>
      <c r="L464" s="636">
        <v>13</v>
      </c>
      <c r="M464" s="636">
        <v>55566.461538461539</v>
      </c>
      <c r="N464" s="637">
        <f t="shared" si="185"/>
        <v>722364</v>
      </c>
      <c r="O464" s="638">
        <v>11</v>
      </c>
      <c r="P464" s="638">
        <v>52496</v>
      </c>
      <c r="Q464" s="635">
        <f t="shared" si="186"/>
        <v>577456</v>
      </c>
      <c r="R464" s="636">
        <v>7</v>
      </c>
      <c r="S464" s="636">
        <v>46969.714285714283</v>
      </c>
      <c r="T464" s="637">
        <f t="shared" si="187"/>
        <v>328788</v>
      </c>
      <c r="U464" s="638">
        <v>5</v>
      </c>
      <c r="V464" s="638">
        <v>48733</v>
      </c>
      <c r="W464" s="635">
        <f t="shared" si="188"/>
        <v>243665</v>
      </c>
      <c r="X464" s="636">
        <v>18</v>
      </c>
      <c r="Y464" s="636">
        <v>33887.388888888891</v>
      </c>
      <c r="Z464" s="637">
        <f t="shared" si="189"/>
        <v>609973</v>
      </c>
      <c r="AA464" s="638">
        <v>20</v>
      </c>
      <c r="AB464" s="638">
        <v>35311</v>
      </c>
      <c r="AC464" s="635">
        <f t="shared" si="190"/>
        <v>706220</v>
      </c>
      <c r="AD464" s="636"/>
      <c r="AE464" s="636"/>
      <c r="AF464" s="637">
        <f t="shared" si="191"/>
        <v>0</v>
      </c>
      <c r="AG464" s="638"/>
      <c r="AH464" s="638"/>
      <c r="AI464" s="635">
        <f t="shared" si="192"/>
        <v>0</v>
      </c>
      <c r="AJ464" s="636"/>
      <c r="AK464" s="636"/>
      <c r="AL464" s="637">
        <f t="shared" si="193"/>
        <v>0</v>
      </c>
      <c r="AM464" s="638"/>
      <c r="AN464" s="638"/>
      <c r="AO464" s="640">
        <f t="shared" si="194"/>
        <v>0</v>
      </c>
      <c r="AP464" s="636">
        <v>2</v>
      </c>
      <c r="AQ464" s="636">
        <v>88050</v>
      </c>
      <c r="AR464" s="637">
        <f t="shared" si="195"/>
        <v>144085.02000000002</v>
      </c>
      <c r="AS464" s="638">
        <v>2</v>
      </c>
      <c r="AT464" s="638">
        <v>89396</v>
      </c>
      <c r="AU464" s="635">
        <f t="shared" si="196"/>
        <v>146287.61440000002</v>
      </c>
      <c r="AV464" s="636">
        <v>2</v>
      </c>
      <c r="AW464" s="636">
        <v>78311</v>
      </c>
      <c r="AX464" s="637">
        <f t="shared" si="197"/>
        <v>128148.1204</v>
      </c>
      <c r="AY464" s="638">
        <v>2</v>
      </c>
      <c r="AZ464" s="638">
        <v>78311</v>
      </c>
      <c r="BA464" s="635">
        <f t="shared" si="198"/>
        <v>128148.1204</v>
      </c>
      <c r="BB464" s="636"/>
      <c r="BC464" s="636"/>
      <c r="BD464" s="637">
        <f t="shared" si="199"/>
        <v>0</v>
      </c>
      <c r="BE464" s="638"/>
      <c r="BF464" s="638"/>
      <c r="BG464" s="635">
        <f t="shared" si="200"/>
        <v>0</v>
      </c>
      <c r="BH464" s="636"/>
      <c r="BI464" s="636"/>
      <c r="BJ464" s="637">
        <f t="shared" si="201"/>
        <v>0</v>
      </c>
      <c r="BK464" s="638"/>
      <c r="BL464" s="638"/>
      <c r="BM464" s="635">
        <f t="shared" si="202"/>
        <v>0</v>
      </c>
      <c r="BN464" s="636"/>
      <c r="BO464" s="636"/>
      <c r="BP464" s="637">
        <f t="shared" si="203"/>
        <v>0</v>
      </c>
      <c r="BQ464" s="638"/>
      <c r="BR464" s="638"/>
      <c r="BS464" s="635">
        <f t="shared" si="204"/>
        <v>0</v>
      </c>
      <c r="BT464" s="636"/>
      <c r="BU464" s="636"/>
      <c r="BV464" s="637">
        <f t="shared" si="205"/>
        <v>0</v>
      </c>
      <c r="BW464" s="638"/>
      <c r="BX464" s="638"/>
      <c r="BY464" s="641">
        <f t="shared" si="206"/>
        <v>0</v>
      </c>
    </row>
    <row r="465" spans="1:77" x14ac:dyDescent="0.2">
      <c r="A465" s="322" t="s">
        <v>113</v>
      </c>
      <c r="B465" s="307" t="s">
        <v>648</v>
      </c>
      <c r="C465" s="490"/>
      <c r="D465" s="488">
        <v>218706</v>
      </c>
      <c r="E465" s="492">
        <v>10</v>
      </c>
      <c r="F465" s="631"/>
      <c r="G465" s="632"/>
      <c r="H465" s="633">
        <f t="shared" si="183"/>
        <v>0</v>
      </c>
      <c r="I465" s="634"/>
      <c r="J465" s="634"/>
      <c r="K465" s="635">
        <f t="shared" si="184"/>
        <v>0</v>
      </c>
      <c r="L465" s="636"/>
      <c r="M465" s="636"/>
      <c r="N465" s="637">
        <f t="shared" si="185"/>
        <v>0</v>
      </c>
      <c r="O465" s="638">
        <v>2</v>
      </c>
      <c r="P465" s="638">
        <v>61368</v>
      </c>
      <c r="Q465" s="635">
        <f t="shared" si="186"/>
        <v>122736</v>
      </c>
      <c r="R465" s="636">
        <v>4</v>
      </c>
      <c r="S465" s="636">
        <v>49194.75</v>
      </c>
      <c r="T465" s="637">
        <f t="shared" si="187"/>
        <v>196779</v>
      </c>
      <c r="U465" s="638">
        <v>2</v>
      </c>
      <c r="V465" s="638">
        <v>46500</v>
      </c>
      <c r="W465" s="635">
        <f t="shared" si="188"/>
        <v>93000</v>
      </c>
      <c r="X465" s="636">
        <v>6</v>
      </c>
      <c r="Y465" s="636">
        <v>52081.166666666664</v>
      </c>
      <c r="Z465" s="637">
        <f t="shared" si="189"/>
        <v>312487</v>
      </c>
      <c r="AA465" s="638">
        <v>5</v>
      </c>
      <c r="AB465" s="638">
        <v>45598</v>
      </c>
      <c r="AC465" s="635">
        <f t="shared" si="190"/>
        <v>227990</v>
      </c>
      <c r="AD465" s="636"/>
      <c r="AE465" s="636"/>
      <c r="AF465" s="637">
        <f t="shared" si="191"/>
        <v>0</v>
      </c>
      <c r="AG465" s="638"/>
      <c r="AH465" s="638"/>
      <c r="AI465" s="635">
        <f t="shared" si="192"/>
        <v>0</v>
      </c>
      <c r="AJ465" s="636"/>
      <c r="AK465" s="636"/>
      <c r="AL465" s="637">
        <f t="shared" si="193"/>
        <v>0</v>
      </c>
      <c r="AM465" s="638"/>
      <c r="AN465" s="638"/>
      <c r="AO465" s="640">
        <f t="shared" si="194"/>
        <v>0</v>
      </c>
      <c r="AP465" s="636"/>
      <c r="AQ465" s="636"/>
      <c r="AR465" s="637">
        <f t="shared" si="195"/>
        <v>0</v>
      </c>
      <c r="AS465" s="638"/>
      <c r="AT465" s="638"/>
      <c r="AU465" s="635">
        <f t="shared" si="196"/>
        <v>0</v>
      </c>
      <c r="AV465" s="636"/>
      <c r="AW465" s="636"/>
      <c r="AX465" s="637">
        <f t="shared" si="197"/>
        <v>0</v>
      </c>
      <c r="AY465" s="638"/>
      <c r="AZ465" s="638"/>
      <c r="BA465" s="635">
        <f t="shared" si="198"/>
        <v>0</v>
      </c>
      <c r="BB465" s="636"/>
      <c r="BC465" s="636"/>
      <c r="BD465" s="637">
        <f t="shared" si="199"/>
        <v>0</v>
      </c>
      <c r="BE465" s="638"/>
      <c r="BF465" s="638"/>
      <c r="BG465" s="635">
        <f t="shared" si="200"/>
        <v>0</v>
      </c>
      <c r="BH465" s="636"/>
      <c r="BI465" s="636"/>
      <c r="BJ465" s="637">
        <f t="shared" si="201"/>
        <v>0</v>
      </c>
      <c r="BK465" s="638"/>
      <c r="BL465" s="638"/>
      <c r="BM465" s="635">
        <f t="shared" si="202"/>
        <v>0</v>
      </c>
      <c r="BN465" s="636"/>
      <c r="BO465" s="636"/>
      <c r="BP465" s="637">
        <f t="shared" si="203"/>
        <v>0</v>
      </c>
      <c r="BQ465" s="638"/>
      <c r="BR465" s="638"/>
      <c r="BS465" s="635">
        <f t="shared" si="204"/>
        <v>0</v>
      </c>
      <c r="BT465" s="636"/>
      <c r="BU465" s="636"/>
      <c r="BV465" s="637">
        <f t="shared" si="205"/>
        <v>0</v>
      </c>
      <c r="BW465" s="638"/>
      <c r="BX465" s="638"/>
      <c r="BY465" s="641">
        <f t="shared" si="206"/>
        <v>0</v>
      </c>
    </row>
    <row r="466" spans="1:77" x14ac:dyDescent="0.2">
      <c r="A466" s="322" t="s">
        <v>113</v>
      </c>
      <c r="B466" s="307" t="s">
        <v>649</v>
      </c>
      <c r="C466" s="490"/>
      <c r="D466" s="488">
        <v>218955</v>
      </c>
      <c r="E466" s="492">
        <v>10</v>
      </c>
      <c r="F466" s="631"/>
      <c r="G466" s="632"/>
      <c r="H466" s="633">
        <f t="shared" si="183"/>
        <v>0</v>
      </c>
      <c r="I466" s="634"/>
      <c r="J466" s="634"/>
      <c r="K466" s="635">
        <f t="shared" si="184"/>
        <v>0</v>
      </c>
      <c r="L466" s="636"/>
      <c r="M466" s="636"/>
      <c r="N466" s="637">
        <f t="shared" si="185"/>
        <v>0</v>
      </c>
      <c r="O466" s="638"/>
      <c r="P466" s="638"/>
      <c r="Q466" s="635">
        <f t="shared" si="186"/>
        <v>0</v>
      </c>
      <c r="R466" s="636"/>
      <c r="S466" s="636"/>
      <c r="T466" s="637">
        <f t="shared" si="187"/>
        <v>0</v>
      </c>
      <c r="U466" s="638"/>
      <c r="V466" s="638"/>
      <c r="W466" s="635">
        <f t="shared" si="188"/>
        <v>0</v>
      </c>
      <c r="X466" s="636"/>
      <c r="Y466" s="636"/>
      <c r="Z466" s="637">
        <f t="shared" si="189"/>
        <v>0</v>
      </c>
      <c r="AA466" s="638"/>
      <c r="AB466" s="638"/>
      <c r="AC466" s="635">
        <f t="shared" si="190"/>
        <v>0</v>
      </c>
      <c r="AD466" s="636">
        <v>18</v>
      </c>
      <c r="AE466" s="636">
        <v>35408.777777777781</v>
      </c>
      <c r="AF466" s="637">
        <f t="shared" si="191"/>
        <v>637358</v>
      </c>
      <c r="AG466" s="638">
        <v>18</v>
      </c>
      <c r="AH466" s="638">
        <v>35418</v>
      </c>
      <c r="AI466" s="635">
        <f t="shared" si="192"/>
        <v>637524</v>
      </c>
      <c r="AJ466" s="636"/>
      <c r="AK466" s="636"/>
      <c r="AL466" s="637">
        <f t="shared" si="193"/>
        <v>0</v>
      </c>
      <c r="AM466" s="638"/>
      <c r="AN466" s="638"/>
      <c r="AO466" s="640">
        <f t="shared" si="194"/>
        <v>0</v>
      </c>
      <c r="AP466" s="636"/>
      <c r="AQ466" s="636"/>
      <c r="AR466" s="637">
        <f t="shared" si="195"/>
        <v>0</v>
      </c>
      <c r="AS466" s="638"/>
      <c r="AT466" s="638"/>
      <c r="AU466" s="635">
        <f t="shared" si="196"/>
        <v>0</v>
      </c>
      <c r="AV466" s="636"/>
      <c r="AW466" s="636"/>
      <c r="AX466" s="637">
        <f t="shared" si="197"/>
        <v>0</v>
      </c>
      <c r="AY466" s="638"/>
      <c r="AZ466" s="638"/>
      <c r="BA466" s="635">
        <f t="shared" si="198"/>
        <v>0</v>
      </c>
      <c r="BB466" s="636"/>
      <c r="BC466" s="636"/>
      <c r="BD466" s="637">
        <f t="shared" si="199"/>
        <v>0</v>
      </c>
      <c r="BE466" s="638"/>
      <c r="BF466" s="638"/>
      <c r="BG466" s="635">
        <f t="shared" si="200"/>
        <v>0</v>
      </c>
      <c r="BH466" s="636"/>
      <c r="BI466" s="636"/>
      <c r="BJ466" s="637">
        <f t="shared" si="201"/>
        <v>0</v>
      </c>
      <c r="BK466" s="638"/>
      <c r="BL466" s="638"/>
      <c r="BM466" s="635">
        <f t="shared" si="202"/>
        <v>0</v>
      </c>
      <c r="BN466" s="636"/>
      <c r="BO466" s="636"/>
      <c r="BP466" s="637">
        <f t="shared" si="203"/>
        <v>0</v>
      </c>
      <c r="BQ466" s="638"/>
      <c r="BR466" s="638"/>
      <c r="BS466" s="635">
        <f t="shared" si="204"/>
        <v>0</v>
      </c>
      <c r="BT466" s="636"/>
      <c r="BU466" s="636"/>
      <c r="BV466" s="637">
        <f t="shared" si="205"/>
        <v>0</v>
      </c>
      <c r="BW466" s="638"/>
      <c r="BX466" s="638"/>
      <c r="BY466" s="641">
        <f t="shared" si="206"/>
        <v>0</v>
      </c>
    </row>
    <row r="467" spans="1:77" x14ac:dyDescent="0.2">
      <c r="A467" s="377" t="s">
        <v>78</v>
      </c>
      <c r="B467" s="378" t="s">
        <v>650</v>
      </c>
      <c r="C467" s="379"/>
      <c r="D467" s="380">
        <v>220862</v>
      </c>
      <c r="E467" s="381">
        <v>1</v>
      </c>
      <c r="F467" s="631">
        <v>218</v>
      </c>
      <c r="G467" s="632">
        <v>98324.839449541279</v>
      </c>
      <c r="H467" s="633">
        <f t="shared" si="183"/>
        <v>21434815</v>
      </c>
      <c r="I467" s="634">
        <v>216</v>
      </c>
      <c r="J467" s="634">
        <v>101151.34722222222</v>
      </c>
      <c r="K467" s="635">
        <f t="shared" si="184"/>
        <v>21848691</v>
      </c>
      <c r="L467" s="636">
        <v>229</v>
      </c>
      <c r="M467" s="636">
        <v>69998.27510917031</v>
      </c>
      <c r="N467" s="637">
        <f t="shared" si="185"/>
        <v>16029605.000000002</v>
      </c>
      <c r="O467" s="638">
        <v>218</v>
      </c>
      <c r="P467" s="638">
        <v>73218.651376146794</v>
      </c>
      <c r="Q467" s="635">
        <f t="shared" si="186"/>
        <v>15961666.000000002</v>
      </c>
      <c r="R467" s="636">
        <v>225</v>
      </c>
      <c r="S467" s="636">
        <v>60439.16</v>
      </c>
      <c r="T467" s="637">
        <f t="shared" si="187"/>
        <v>13598811</v>
      </c>
      <c r="U467" s="638">
        <v>226</v>
      </c>
      <c r="V467" s="638">
        <v>62244.057522123891</v>
      </c>
      <c r="W467" s="635">
        <f t="shared" si="188"/>
        <v>14067157</v>
      </c>
      <c r="X467" s="636">
        <v>94</v>
      </c>
      <c r="Y467" s="636">
        <v>41254.042553191488</v>
      </c>
      <c r="Z467" s="637">
        <f t="shared" si="189"/>
        <v>3877880</v>
      </c>
      <c r="AA467" s="638">
        <v>121</v>
      </c>
      <c r="AB467" s="638">
        <v>41957.32231404959</v>
      </c>
      <c r="AC467" s="635">
        <f t="shared" si="190"/>
        <v>5076836</v>
      </c>
      <c r="AD467" s="636">
        <v>21</v>
      </c>
      <c r="AE467" s="636">
        <v>44542.142857142855</v>
      </c>
      <c r="AF467" s="637">
        <f t="shared" si="191"/>
        <v>935385</v>
      </c>
      <c r="AG467" s="638">
        <v>20</v>
      </c>
      <c r="AH467" s="638">
        <v>46157.15</v>
      </c>
      <c r="AI467" s="635">
        <f t="shared" si="192"/>
        <v>923143</v>
      </c>
      <c r="AJ467" s="636"/>
      <c r="AK467" s="636"/>
      <c r="AL467" s="637">
        <f t="shared" si="193"/>
        <v>0</v>
      </c>
      <c r="AM467" s="638"/>
      <c r="AN467" s="638"/>
      <c r="AO467" s="640">
        <f t="shared" si="194"/>
        <v>0</v>
      </c>
      <c r="AP467" s="636">
        <v>23</v>
      </c>
      <c r="AQ467" s="636">
        <v>137091.78260869565</v>
      </c>
      <c r="AR467" s="637">
        <f t="shared" si="195"/>
        <v>2579875.4202000001</v>
      </c>
      <c r="AS467" s="638">
        <v>21</v>
      </c>
      <c r="AT467" s="638">
        <v>136667</v>
      </c>
      <c r="AU467" s="635">
        <f t="shared" si="196"/>
        <v>2348239.7274000002</v>
      </c>
      <c r="AV467" s="636">
        <v>14</v>
      </c>
      <c r="AW467" s="636">
        <v>72870.428571428565</v>
      </c>
      <c r="AX467" s="637">
        <f t="shared" si="197"/>
        <v>834716.18519999995</v>
      </c>
      <c r="AY467" s="638">
        <v>16</v>
      </c>
      <c r="AZ467" s="638">
        <v>73809.6875</v>
      </c>
      <c r="BA467" s="635">
        <f t="shared" si="198"/>
        <v>966257.38100000005</v>
      </c>
      <c r="BB467" s="636">
        <v>19</v>
      </c>
      <c r="BC467" s="636">
        <v>60667.15789473684</v>
      </c>
      <c r="BD467" s="637">
        <f t="shared" si="199"/>
        <v>943119.50320000004</v>
      </c>
      <c r="BE467" s="638">
        <v>12</v>
      </c>
      <c r="BF467" s="638">
        <v>63376.833333333336</v>
      </c>
      <c r="BG467" s="635">
        <f t="shared" si="200"/>
        <v>622259.1004</v>
      </c>
      <c r="BH467" s="636">
        <v>14</v>
      </c>
      <c r="BI467" s="636">
        <v>51800.714285714283</v>
      </c>
      <c r="BJ467" s="637">
        <f t="shared" si="201"/>
        <v>593366.82200000004</v>
      </c>
      <c r="BK467" s="638">
        <v>15</v>
      </c>
      <c r="BL467" s="638">
        <v>52704</v>
      </c>
      <c r="BM467" s="635">
        <f t="shared" si="202"/>
        <v>646836.19200000004</v>
      </c>
      <c r="BN467" s="636">
        <v>5</v>
      </c>
      <c r="BO467" s="636">
        <v>36675</v>
      </c>
      <c r="BP467" s="637">
        <f t="shared" si="203"/>
        <v>150037.42500000002</v>
      </c>
      <c r="BQ467" s="638">
        <v>5</v>
      </c>
      <c r="BR467" s="638">
        <v>37775.4</v>
      </c>
      <c r="BS467" s="635">
        <f t="shared" si="204"/>
        <v>154539.16140000001</v>
      </c>
      <c r="BT467" s="636"/>
      <c r="BU467" s="636"/>
      <c r="BV467" s="637">
        <f t="shared" si="205"/>
        <v>0</v>
      </c>
      <c r="BW467" s="638"/>
      <c r="BX467" s="638"/>
      <c r="BY467" s="641">
        <f t="shared" si="206"/>
        <v>0</v>
      </c>
    </row>
    <row r="468" spans="1:77" x14ac:dyDescent="0.2">
      <c r="A468" s="377" t="s">
        <v>78</v>
      </c>
      <c r="B468" s="378" t="s">
        <v>651</v>
      </c>
      <c r="C468" s="379"/>
      <c r="D468" s="380">
        <v>221759</v>
      </c>
      <c r="E468" s="381">
        <v>1</v>
      </c>
      <c r="F468" s="631">
        <v>370</v>
      </c>
      <c r="G468" s="632">
        <v>107593.50540540541</v>
      </c>
      <c r="H468" s="633">
        <f t="shared" si="183"/>
        <v>39809597</v>
      </c>
      <c r="I468" s="634">
        <v>372</v>
      </c>
      <c r="J468" s="634">
        <v>114572.79569892473</v>
      </c>
      <c r="K468" s="635">
        <f t="shared" si="184"/>
        <v>42621080</v>
      </c>
      <c r="L468" s="636">
        <v>281</v>
      </c>
      <c r="M468" s="636">
        <v>79175.434163701066</v>
      </c>
      <c r="N468" s="637">
        <f t="shared" si="185"/>
        <v>22248297</v>
      </c>
      <c r="O468" s="638">
        <v>302</v>
      </c>
      <c r="P468" s="638">
        <v>82504.327814569537</v>
      </c>
      <c r="Q468" s="635">
        <f t="shared" si="186"/>
        <v>24916307</v>
      </c>
      <c r="R468" s="636">
        <v>253</v>
      </c>
      <c r="S468" s="636">
        <v>66507.173913043473</v>
      </c>
      <c r="T468" s="637">
        <f t="shared" si="187"/>
        <v>16826315</v>
      </c>
      <c r="U468" s="638">
        <v>240</v>
      </c>
      <c r="V468" s="638">
        <v>70537.09583333334</v>
      </c>
      <c r="W468" s="635">
        <f t="shared" si="188"/>
        <v>16928903</v>
      </c>
      <c r="X468" s="636">
        <v>18</v>
      </c>
      <c r="Y468" s="636">
        <v>54917.666666666664</v>
      </c>
      <c r="Z468" s="637">
        <f t="shared" si="189"/>
        <v>988518</v>
      </c>
      <c r="AA468" s="638">
        <v>15</v>
      </c>
      <c r="AB468" s="638">
        <v>52496.4</v>
      </c>
      <c r="AC468" s="635">
        <f t="shared" si="190"/>
        <v>787446</v>
      </c>
      <c r="AD468" s="636">
        <v>228</v>
      </c>
      <c r="AE468" s="636">
        <v>39870.26315789474</v>
      </c>
      <c r="AF468" s="637">
        <f t="shared" si="191"/>
        <v>9090420</v>
      </c>
      <c r="AG468" s="638">
        <v>236</v>
      </c>
      <c r="AH468" s="638">
        <v>42499.4406779661</v>
      </c>
      <c r="AI468" s="635">
        <f t="shared" si="192"/>
        <v>10029868</v>
      </c>
      <c r="AJ468" s="636"/>
      <c r="AK468" s="636"/>
      <c r="AL468" s="637">
        <f t="shared" si="193"/>
        <v>0</v>
      </c>
      <c r="AM468" s="638"/>
      <c r="AN468" s="638"/>
      <c r="AO468" s="640">
        <f t="shared" si="194"/>
        <v>0</v>
      </c>
      <c r="AP468" s="636">
        <v>181</v>
      </c>
      <c r="AQ468" s="636">
        <v>138670.42541436464</v>
      </c>
      <c r="AR468" s="637">
        <f t="shared" si="195"/>
        <v>20536285.715399999</v>
      </c>
      <c r="AS468" s="638">
        <v>183</v>
      </c>
      <c r="AT468" s="638">
        <v>144075.06557377049</v>
      </c>
      <c r="AU468" s="635">
        <f t="shared" si="196"/>
        <v>21572446.0134</v>
      </c>
      <c r="AV468" s="636">
        <v>135</v>
      </c>
      <c r="AW468" s="636">
        <v>101859.34074074074</v>
      </c>
      <c r="AX468" s="637">
        <f t="shared" si="197"/>
        <v>11251077.200200001</v>
      </c>
      <c r="AY468" s="638">
        <v>136</v>
      </c>
      <c r="AZ468" s="638">
        <v>108254.60294117648</v>
      </c>
      <c r="BA468" s="635">
        <f t="shared" si="198"/>
        <v>12046052.5932</v>
      </c>
      <c r="BB468" s="636">
        <v>103</v>
      </c>
      <c r="BC468" s="636">
        <v>89228.116504854363</v>
      </c>
      <c r="BD468" s="637">
        <f t="shared" si="199"/>
        <v>7519663.8272000002</v>
      </c>
      <c r="BE468" s="638">
        <v>105</v>
      </c>
      <c r="BF468" s="638">
        <v>93703.81904761905</v>
      </c>
      <c r="BG468" s="635">
        <f t="shared" si="200"/>
        <v>8050188.7982000001</v>
      </c>
      <c r="BH468" s="636">
        <v>17</v>
      </c>
      <c r="BI468" s="636">
        <v>70036.882352941175</v>
      </c>
      <c r="BJ468" s="637">
        <f t="shared" si="201"/>
        <v>974171.01140000008</v>
      </c>
      <c r="BK468" s="638">
        <v>20</v>
      </c>
      <c r="BL468" s="638">
        <v>78127.850000000006</v>
      </c>
      <c r="BM468" s="635">
        <f t="shared" si="202"/>
        <v>1278484.1374000001</v>
      </c>
      <c r="BN468" s="636">
        <v>23</v>
      </c>
      <c r="BO468" s="636">
        <v>53561.956521739128</v>
      </c>
      <c r="BP468" s="637">
        <f t="shared" si="203"/>
        <v>1007961.035</v>
      </c>
      <c r="BQ468" s="638">
        <v>32</v>
      </c>
      <c r="BR468" s="638">
        <v>51592.3125</v>
      </c>
      <c r="BS468" s="635">
        <f t="shared" si="204"/>
        <v>1350810.5628</v>
      </c>
      <c r="BT468" s="636"/>
      <c r="BU468" s="636"/>
      <c r="BV468" s="637">
        <f t="shared" si="205"/>
        <v>0</v>
      </c>
      <c r="BW468" s="638"/>
      <c r="BX468" s="638"/>
      <c r="BY468" s="641">
        <f t="shared" si="206"/>
        <v>0</v>
      </c>
    </row>
    <row r="469" spans="1:77" x14ac:dyDescent="0.2">
      <c r="A469" s="377" t="s">
        <v>78</v>
      </c>
      <c r="B469" s="382" t="s">
        <v>655</v>
      </c>
      <c r="C469" s="433" t="s">
        <v>942</v>
      </c>
      <c r="D469" s="380">
        <v>221838</v>
      </c>
      <c r="E469" s="272">
        <v>2</v>
      </c>
      <c r="F469" s="631">
        <v>106</v>
      </c>
      <c r="G469" s="632">
        <v>73991.915094339623</v>
      </c>
      <c r="H469" s="633">
        <f t="shared" si="183"/>
        <v>7843143</v>
      </c>
      <c r="I469" s="634">
        <v>81</v>
      </c>
      <c r="J469" s="634">
        <v>73528.308641975309</v>
      </c>
      <c r="K469" s="635">
        <f t="shared" si="184"/>
        <v>5955793</v>
      </c>
      <c r="L469" s="636">
        <v>98</v>
      </c>
      <c r="M469" s="636">
        <v>57564.489795918365</v>
      </c>
      <c r="N469" s="637">
        <f t="shared" si="185"/>
        <v>5641320</v>
      </c>
      <c r="O469" s="638">
        <v>96</v>
      </c>
      <c r="P469" s="638">
        <v>60342.5625</v>
      </c>
      <c r="Q469" s="635">
        <f t="shared" si="186"/>
        <v>5792886</v>
      </c>
      <c r="R469" s="636">
        <v>102</v>
      </c>
      <c r="S469" s="636">
        <v>50932.941176470587</v>
      </c>
      <c r="T469" s="637">
        <f t="shared" si="187"/>
        <v>5195160</v>
      </c>
      <c r="U469" s="638">
        <v>99</v>
      </c>
      <c r="V469" s="638">
        <v>47592.656565656565</v>
      </c>
      <c r="W469" s="635">
        <f t="shared" si="188"/>
        <v>4711673</v>
      </c>
      <c r="X469" s="636">
        <v>26</v>
      </c>
      <c r="Y469" s="636">
        <v>41133.038461538461</v>
      </c>
      <c r="Z469" s="637">
        <f t="shared" si="189"/>
        <v>1069459</v>
      </c>
      <c r="AA469" s="638">
        <v>9</v>
      </c>
      <c r="AB469" s="638">
        <v>46071.444444444445</v>
      </c>
      <c r="AC469" s="635">
        <f t="shared" si="190"/>
        <v>414643</v>
      </c>
      <c r="AD469" s="636">
        <v>5</v>
      </c>
      <c r="AE469" s="636">
        <v>34800</v>
      </c>
      <c r="AF469" s="637">
        <f t="shared" si="191"/>
        <v>174000</v>
      </c>
      <c r="AG469" s="638">
        <v>32</v>
      </c>
      <c r="AH469" s="638">
        <v>38925.8125</v>
      </c>
      <c r="AI469" s="635">
        <f t="shared" si="192"/>
        <v>1245626</v>
      </c>
      <c r="AJ469" s="636"/>
      <c r="AK469" s="636"/>
      <c r="AL469" s="637">
        <f t="shared" si="193"/>
        <v>0</v>
      </c>
      <c r="AM469" s="638"/>
      <c r="AN469" s="638"/>
      <c r="AO469" s="640">
        <f t="shared" si="194"/>
        <v>0</v>
      </c>
      <c r="AP469" s="636">
        <v>9</v>
      </c>
      <c r="AQ469" s="636">
        <v>93301.777777777781</v>
      </c>
      <c r="AR469" s="637">
        <f t="shared" si="195"/>
        <v>687055.63120000006</v>
      </c>
      <c r="AS469" s="638">
        <v>21</v>
      </c>
      <c r="AT469" s="638">
        <v>98475.571428571435</v>
      </c>
      <c r="AU469" s="635">
        <f t="shared" si="196"/>
        <v>1692026.9634000002</v>
      </c>
      <c r="AV469" s="636">
        <v>27</v>
      </c>
      <c r="AW469" s="636">
        <v>68367.666666666672</v>
      </c>
      <c r="AX469" s="637">
        <f t="shared" si="197"/>
        <v>1510337.4714000002</v>
      </c>
      <c r="AY469" s="638">
        <v>20</v>
      </c>
      <c r="AZ469" s="638">
        <v>72509.95</v>
      </c>
      <c r="BA469" s="635">
        <f t="shared" si="198"/>
        <v>1186552.8218</v>
      </c>
      <c r="BB469" s="636">
        <v>38</v>
      </c>
      <c r="BC469" s="636">
        <v>56192.868421052633</v>
      </c>
      <c r="BD469" s="637">
        <f t="shared" si="199"/>
        <v>1747126.1878000002</v>
      </c>
      <c r="BE469" s="638">
        <v>27</v>
      </c>
      <c r="BF469" s="638">
        <v>57950.703703703701</v>
      </c>
      <c r="BG469" s="635">
        <f t="shared" si="200"/>
        <v>1280212.1758000001</v>
      </c>
      <c r="BH469" s="636">
        <v>5</v>
      </c>
      <c r="BI469" s="636">
        <v>48740.4</v>
      </c>
      <c r="BJ469" s="637">
        <f t="shared" si="201"/>
        <v>199396.97640000001</v>
      </c>
      <c r="BK469" s="638">
        <v>3</v>
      </c>
      <c r="BL469" s="638">
        <v>46030</v>
      </c>
      <c r="BM469" s="635">
        <f t="shared" si="202"/>
        <v>112985.23800000001</v>
      </c>
      <c r="BN469" s="636">
        <v>1</v>
      </c>
      <c r="BO469" s="636">
        <v>60000</v>
      </c>
      <c r="BP469" s="637">
        <f t="shared" si="203"/>
        <v>49092</v>
      </c>
      <c r="BQ469" s="638">
        <v>29</v>
      </c>
      <c r="BR469" s="638">
        <v>69019.68965517242</v>
      </c>
      <c r="BS469" s="635">
        <f t="shared" si="204"/>
        <v>1637685.3922000004</v>
      </c>
      <c r="BT469" s="636"/>
      <c r="BU469" s="636"/>
      <c r="BV469" s="637">
        <f t="shared" si="205"/>
        <v>0</v>
      </c>
      <c r="BW469" s="638"/>
      <c r="BX469" s="638"/>
      <c r="BY469" s="641">
        <f t="shared" si="206"/>
        <v>0</v>
      </c>
    </row>
    <row r="470" spans="1:77" x14ac:dyDescent="0.2">
      <c r="A470" s="377" t="s">
        <v>78</v>
      </c>
      <c r="B470" s="382" t="s">
        <v>652</v>
      </c>
      <c r="C470" s="383"/>
      <c r="D470" s="380">
        <v>219602</v>
      </c>
      <c r="E470" s="381">
        <v>3</v>
      </c>
      <c r="F470" s="631">
        <v>107</v>
      </c>
      <c r="G470" s="632">
        <v>67947.11214953271</v>
      </c>
      <c r="H470" s="633">
        <f t="shared" si="183"/>
        <v>7270341</v>
      </c>
      <c r="I470" s="634">
        <v>106</v>
      </c>
      <c r="J470" s="634">
        <v>70999.367924528298</v>
      </c>
      <c r="K470" s="635">
        <f t="shared" si="184"/>
        <v>7525933</v>
      </c>
      <c r="L470" s="636">
        <v>78</v>
      </c>
      <c r="M470" s="636">
        <v>53773.256410256414</v>
      </c>
      <c r="N470" s="637">
        <f t="shared" si="185"/>
        <v>4194314</v>
      </c>
      <c r="O470" s="638">
        <v>89</v>
      </c>
      <c r="P470" s="638">
        <v>55932.505617977527</v>
      </c>
      <c r="Q470" s="635">
        <f t="shared" si="186"/>
        <v>4977993</v>
      </c>
      <c r="R470" s="636">
        <v>106</v>
      </c>
      <c r="S470" s="636">
        <v>44601.518867924526</v>
      </c>
      <c r="T470" s="637">
        <f t="shared" si="187"/>
        <v>4727761</v>
      </c>
      <c r="U470" s="638">
        <v>107</v>
      </c>
      <c r="V470" s="638">
        <v>46640.514018691589</v>
      </c>
      <c r="W470" s="635">
        <f t="shared" si="188"/>
        <v>4990535</v>
      </c>
      <c r="X470" s="636">
        <v>35</v>
      </c>
      <c r="Y470" s="636">
        <v>35004.542857142857</v>
      </c>
      <c r="Z470" s="637">
        <f t="shared" si="189"/>
        <v>1225159</v>
      </c>
      <c r="AA470" s="638">
        <v>42</v>
      </c>
      <c r="AB470" s="638">
        <v>38304.357142857145</v>
      </c>
      <c r="AC470" s="635">
        <f t="shared" si="190"/>
        <v>1608783</v>
      </c>
      <c r="AD470" s="636"/>
      <c r="AE470" s="636"/>
      <c r="AF470" s="637">
        <f t="shared" si="191"/>
        <v>0</v>
      </c>
      <c r="AG470" s="638">
        <v>0</v>
      </c>
      <c r="AH470" s="638">
        <v>0</v>
      </c>
      <c r="AI470" s="635">
        <f t="shared" si="192"/>
        <v>0</v>
      </c>
      <c r="AJ470" s="636"/>
      <c r="AK470" s="636"/>
      <c r="AL470" s="637">
        <f t="shared" si="193"/>
        <v>0</v>
      </c>
      <c r="AM470" s="638"/>
      <c r="AN470" s="638"/>
      <c r="AO470" s="640">
        <f t="shared" si="194"/>
        <v>0</v>
      </c>
      <c r="AP470" s="636">
        <v>0</v>
      </c>
      <c r="AQ470" s="636"/>
      <c r="AR470" s="637">
        <f t="shared" si="195"/>
        <v>0</v>
      </c>
      <c r="AS470" s="638">
        <v>1</v>
      </c>
      <c r="AT470" s="638">
        <v>80340</v>
      </c>
      <c r="AU470" s="635">
        <f t="shared" si="196"/>
        <v>65734.188000000009</v>
      </c>
      <c r="AV470" s="636">
        <v>1</v>
      </c>
      <c r="AW470" s="636">
        <v>75000</v>
      </c>
      <c r="AX470" s="637">
        <f t="shared" si="197"/>
        <v>61365</v>
      </c>
      <c r="AY470" s="638">
        <v>2</v>
      </c>
      <c r="AZ470" s="638">
        <v>82313</v>
      </c>
      <c r="BA470" s="635">
        <f t="shared" si="198"/>
        <v>134696.9932</v>
      </c>
      <c r="BB470" s="636">
        <v>0</v>
      </c>
      <c r="BC470" s="636"/>
      <c r="BD470" s="637">
        <f t="shared" si="199"/>
        <v>0</v>
      </c>
      <c r="BE470" s="638">
        <v>0</v>
      </c>
      <c r="BF470" s="638"/>
      <c r="BG470" s="635">
        <f t="shared" si="200"/>
        <v>0</v>
      </c>
      <c r="BH470" s="636">
        <v>0</v>
      </c>
      <c r="BI470" s="636"/>
      <c r="BJ470" s="637">
        <f t="shared" si="201"/>
        <v>0</v>
      </c>
      <c r="BK470" s="638">
        <v>0</v>
      </c>
      <c r="BL470" s="638"/>
      <c r="BM470" s="635">
        <f t="shared" si="202"/>
        <v>0</v>
      </c>
      <c r="BN470" s="636">
        <v>0</v>
      </c>
      <c r="BO470" s="636"/>
      <c r="BP470" s="637">
        <f t="shared" si="203"/>
        <v>0</v>
      </c>
      <c r="BQ470" s="638">
        <v>0</v>
      </c>
      <c r="BR470" s="638"/>
      <c r="BS470" s="635">
        <f t="shared" si="204"/>
        <v>0</v>
      </c>
      <c r="BT470" s="636"/>
      <c r="BU470" s="636"/>
      <c r="BV470" s="637">
        <f t="shared" si="205"/>
        <v>0</v>
      </c>
      <c r="BW470" s="638"/>
      <c r="BX470" s="638"/>
      <c r="BY470" s="641">
        <f t="shared" si="206"/>
        <v>0</v>
      </c>
    </row>
    <row r="471" spans="1:77" x14ac:dyDescent="0.2">
      <c r="A471" s="377" t="s">
        <v>78</v>
      </c>
      <c r="B471" s="378" t="s">
        <v>653</v>
      </c>
      <c r="C471" s="379"/>
      <c r="D471" s="380">
        <v>220075</v>
      </c>
      <c r="E471" s="381">
        <v>3</v>
      </c>
      <c r="F471" s="631">
        <v>99</v>
      </c>
      <c r="G471" s="632">
        <v>70760.565656565654</v>
      </c>
      <c r="H471" s="633">
        <f t="shared" si="183"/>
        <v>7005296</v>
      </c>
      <c r="I471" s="634">
        <v>96</v>
      </c>
      <c r="J471" s="634">
        <v>74573.479166666672</v>
      </c>
      <c r="K471" s="635">
        <f t="shared" si="184"/>
        <v>7159054</v>
      </c>
      <c r="L471" s="636">
        <v>120</v>
      </c>
      <c r="M471" s="636">
        <v>55803.466666666667</v>
      </c>
      <c r="N471" s="637">
        <f t="shared" si="185"/>
        <v>6696416</v>
      </c>
      <c r="O471" s="638">
        <v>126</v>
      </c>
      <c r="P471" s="638">
        <v>57640.849206349209</v>
      </c>
      <c r="Q471" s="635">
        <f t="shared" si="186"/>
        <v>7262747</v>
      </c>
      <c r="R471" s="636">
        <v>155</v>
      </c>
      <c r="S471" s="636">
        <v>48341.664516129029</v>
      </c>
      <c r="T471" s="637">
        <f t="shared" si="187"/>
        <v>7492957.9999999991</v>
      </c>
      <c r="U471" s="638">
        <v>163</v>
      </c>
      <c r="V471" s="638">
        <v>51996.920245398775</v>
      </c>
      <c r="W471" s="635">
        <f t="shared" si="188"/>
        <v>8475498</v>
      </c>
      <c r="X471" s="636">
        <v>16</v>
      </c>
      <c r="Y471" s="636">
        <v>39076.75</v>
      </c>
      <c r="Z471" s="637">
        <f t="shared" si="189"/>
        <v>625228</v>
      </c>
      <c r="AA471" s="638">
        <v>18</v>
      </c>
      <c r="AB471" s="638">
        <v>39650.611111111109</v>
      </c>
      <c r="AC471" s="635">
        <f t="shared" si="190"/>
        <v>713711</v>
      </c>
      <c r="AD471" s="636">
        <v>45</v>
      </c>
      <c r="AE471" s="636">
        <v>29115.888888888891</v>
      </c>
      <c r="AF471" s="637">
        <f t="shared" si="191"/>
        <v>1310215</v>
      </c>
      <c r="AG471" s="638">
        <v>60</v>
      </c>
      <c r="AH471" s="638">
        <v>29720.3</v>
      </c>
      <c r="AI471" s="635">
        <f t="shared" si="192"/>
        <v>1783218</v>
      </c>
      <c r="AJ471" s="636"/>
      <c r="AK471" s="636"/>
      <c r="AL471" s="637">
        <f t="shared" si="193"/>
        <v>0</v>
      </c>
      <c r="AM471" s="638"/>
      <c r="AN471" s="638"/>
      <c r="AO471" s="640">
        <f t="shared" si="194"/>
        <v>0</v>
      </c>
      <c r="AP471" s="636">
        <v>27</v>
      </c>
      <c r="AQ471" s="636">
        <v>82025.074074074073</v>
      </c>
      <c r="AR471" s="637">
        <f t="shared" si="195"/>
        <v>1812048.7214000002</v>
      </c>
      <c r="AS471" s="638">
        <v>35</v>
      </c>
      <c r="AT471" s="638">
        <v>93107.71428571429</v>
      </c>
      <c r="AU471" s="635">
        <f t="shared" si="196"/>
        <v>2666325.6140000001</v>
      </c>
      <c r="AV471" s="636">
        <v>25</v>
      </c>
      <c r="AW471" s="636">
        <v>78832.320000000007</v>
      </c>
      <c r="AX471" s="637">
        <f t="shared" si="197"/>
        <v>1612515.1056000004</v>
      </c>
      <c r="AY471" s="638">
        <v>24</v>
      </c>
      <c r="AZ471" s="638">
        <v>76268.625</v>
      </c>
      <c r="BA471" s="635">
        <f t="shared" si="198"/>
        <v>1497671.7354000001</v>
      </c>
      <c r="BB471" s="636">
        <v>41</v>
      </c>
      <c r="BC471" s="636">
        <v>70065.243902439019</v>
      </c>
      <c r="BD471" s="637">
        <f t="shared" si="199"/>
        <v>2350422.6850000001</v>
      </c>
      <c r="BE471" s="638">
        <v>44</v>
      </c>
      <c r="BF471" s="638">
        <v>79483.5</v>
      </c>
      <c r="BG471" s="635">
        <f t="shared" si="200"/>
        <v>2861469.5868000002</v>
      </c>
      <c r="BH471" s="636">
        <v>4</v>
      </c>
      <c r="BI471" s="636">
        <v>51404</v>
      </c>
      <c r="BJ471" s="637">
        <f t="shared" si="201"/>
        <v>168235.01120000001</v>
      </c>
      <c r="BK471" s="638">
        <v>4</v>
      </c>
      <c r="BL471" s="638">
        <v>59061.75</v>
      </c>
      <c r="BM471" s="635">
        <f t="shared" si="202"/>
        <v>193297.2954</v>
      </c>
      <c r="BN471" s="636">
        <v>4</v>
      </c>
      <c r="BO471" s="636">
        <v>42500</v>
      </c>
      <c r="BP471" s="637">
        <f t="shared" si="203"/>
        <v>139094</v>
      </c>
      <c r="BQ471" s="638">
        <v>2</v>
      </c>
      <c r="BR471" s="638">
        <v>51500</v>
      </c>
      <c r="BS471" s="635">
        <f t="shared" si="204"/>
        <v>84274.6</v>
      </c>
      <c r="BT471" s="636"/>
      <c r="BU471" s="636"/>
      <c r="BV471" s="637">
        <f t="shared" si="205"/>
        <v>0</v>
      </c>
      <c r="BW471" s="638"/>
      <c r="BX471" s="638"/>
      <c r="BY471" s="641">
        <f t="shared" si="206"/>
        <v>0</v>
      </c>
    </row>
    <row r="472" spans="1:77" x14ac:dyDescent="0.2">
      <c r="A472" s="377" t="s">
        <v>78</v>
      </c>
      <c r="B472" s="378" t="s">
        <v>654</v>
      </c>
      <c r="C472" s="379"/>
      <c r="D472" s="380">
        <v>220978</v>
      </c>
      <c r="E472" s="381">
        <v>3</v>
      </c>
      <c r="F472" s="631">
        <v>305</v>
      </c>
      <c r="G472" s="632">
        <v>79547.54426229508</v>
      </c>
      <c r="H472" s="633">
        <f t="shared" si="183"/>
        <v>24262001</v>
      </c>
      <c r="I472" s="634">
        <v>320</v>
      </c>
      <c r="J472" s="634">
        <v>82598.178125000006</v>
      </c>
      <c r="K472" s="635">
        <f t="shared" si="184"/>
        <v>26431417</v>
      </c>
      <c r="L472" s="636">
        <v>222</v>
      </c>
      <c r="M472" s="636">
        <v>64239.477477477478</v>
      </c>
      <c r="N472" s="637">
        <f t="shared" si="185"/>
        <v>14261164</v>
      </c>
      <c r="O472" s="644">
        <v>223</v>
      </c>
      <c r="P472" s="644">
        <v>65702</v>
      </c>
      <c r="Q472" s="635">
        <f t="shared" si="186"/>
        <v>14651546</v>
      </c>
      <c r="R472" s="636">
        <v>214</v>
      </c>
      <c r="S472" s="636">
        <v>52017.644859813081</v>
      </c>
      <c r="T472" s="637">
        <f t="shared" si="187"/>
        <v>11131776</v>
      </c>
      <c r="U472" s="638">
        <v>222</v>
      </c>
      <c r="V472" s="638">
        <v>54398.396396396398</v>
      </c>
      <c r="W472" s="635">
        <f t="shared" si="188"/>
        <v>12076444</v>
      </c>
      <c r="X472" s="636">
        <v>120</v>
      </c>
      <c r="Y472" s="636">
        <v>37480.39166666667</v>
      </c>
      <c r="Z472" s="637">
        <f t="shared" si="189"/>
        <v>4497647</v>
      </c>
      <c r="AA472" s="638">
        <v>125</v>
      </c>
      <c r="AB472" s="638">
        <v>39113.464</v>
      </c>
      <c r="AC472" s="635">
        <f t="shared" si="190"/>
        <v>4889183</v>
      </c>
      <c r="AD472" s="636"/>
      <c r="AE472" s="636"/>
      <c r="AF472" s="637">
        <f t="shared" si="191"/>
        <v>0</v>
      </c>
      <c r="AG472" s="638">
        <v>0</v>
      </c>
      <c r="AH472" s="638">
        <v>0</v>
      </c>
      <c r="AI472" s="635">
        <f t="shared" si="192"/>
        <v>0</v>
      </c>
      <c r="AJ472" s="636"/>
      <c r="AK472" s="636"/>
      <c r="AL472" s="637">
        <f t="shared" si="193"/>
        <v>0</v>
      </c>
      <c r="AM472" s="638"/>
      <c r="AN472" s="638"/>
      <c r="AO472" s="640">
        <f t="shared" si="194"/>
        <v>0</v>
      </c>
      <c r="AP472" s="636">
        <v>2</v>
      </c>
      <c r="AQ472" s="636">
        <v>94790.5</v>
      </c>
      <c r="AR472" s="637">
        <f t="shared" si="195"/>
        <v>155115.17420000001</v>
      </c>
      <c r="AS472" s="638">
        <v>1</v>
      </c>
      <c r="AT472" s="638">
        <v>88734</v>
      </c>
      <c r="AU472" s="635">
        <f t="shared" si="196"/>
        <v>72602.158800000005</v>
      </c>
      <c r="AV472" s="636">
        <v>1</v>
      </c>
      <c r="AW472" s="636">
        <v>66950</v>
      </c>
      <c r="AX472" s="637">
        <f t="shared" si="197"/>
        <v>54778.490000000005</v>
      </c>
      <c r="AY472" s="638">
        <v>1</v>
      </c>
      <c r="AZ472" s="638">
        <v>75854</v>
      </c>
      <c r="BA472" s="635">
        <f t="shared" si="198"/>
        <v>62063.7428</v>
      </c>
      <c r="BB472" s="636">
        <v>1</v>
      </c>
      <c r="BC472" s="636">
        <v>56966</v>
      </c>
      <c r="BD472" s="637">
        <f t="shared" si="199"/>
        <v>46609.581200000001</v>
      </c>
      <c r="BE472" s="638">
        <v>1</v>
      </c>
      <c r="BF472" s="638">
        <v>58675</v>
      </c>
      <c r="BG472" s="635">
        <f t="shared" si="200"/>
        <v>48007.885000000002</v>
      </c>
      <c r="BH472" s="636">
        <v>0</v>
      </c>
      <c r="BI472" s="636"/>
      <c r="BJ472" s="637">
        <f t="shared" si="201"/>
        <v>0</v>
      </c>
      <c r="BK472" s="638">
        <v>0</v>
      </c>
      <c r="BL472" s="638"/>
      <c r="BM472" s="635">
        <f t="shared" si="202"/>
        <v>0</v>
      </c>
      <c r="BN472" s="636">
        <v>0</v>
      </c>
      <c r="BO472" s="636"/>
      <c r="BP472" s="637">
        <f t="shared" si="203"/>
        <v>0</v>
      </c>
      <c r="BQ472" s="638">
        <v>0</v>
      </c>
      <c r="BR472" s="638"/>
      <c r="BS472" s="635">
        <f t="shared" si="204"/>
        <v>0</v>
      </c>
      <c r="BT472" s="636"/>
      <c r="BU472" s="636"/>
      <c r="BV472" s="637">
        <f t="shared" si="205"/>
        <v>0</v>
      </c>
      <c r="BW472" s="638"/>
      <c r="BX472" s="638"/>
      <c r="BY472" s="641">
        <f t="shared" si="206"/>
        <v>0</v>
      </c>
    </row>
    <row r="473" spans="1:77" x14ac:dyDescent="0.2">
      <c r="A473" s="377" t="s">
        <v>78</v>
      </c>
      <c r="B473" s="378" t="s">
        <v>656</v>
      </c>
      <c r="C473" s="379"/>
      <c r="D473" s="380">
        <v>221847</v>
      </c>
      <c r="E473" s="381">
        <v>3</v>
      </c>
      <c r="F473" s="631">
        <v>146</v>
      </c>
      <c r="G473" s="632">
        <v>77181.917808219179</v>
      </c>
      <c r="H473" s="633">
        <f t="shared" si="183"/>
        <v>11268560</v>
      </c>
      <c r="I473" s="634">
        <v>138</v>
      </c>
      <c r="J473" s="634">
        <v>77216.666666666672</v>
      </c>
      <c r="K473" s="635">
        <f t="shared" si="184"/>
        <v>10655900</v>
      </c>
      <c r="L473" s="636">
        <v>85</v>
      </c>
      <c r="M473" s="636">
        <v>62410.929411764708</v>
      </c>
      <c r="N473" s="637">
        <f t="shared" si="185"/>
        <v>5304929</v>
      </c>
      <c r="O473" s="638">
        <v>81</v>
      </c>
      <c r="P473" s="638">
        <v>65197.777777777781</v>
      </c>
      <c r="Q473" s="635">
        <f t="shared" si="186"/>
        <v>5281020</v>
      </c>
      <c r="R473" s="636">
        <v>72</v>
      </c>
      <c r="S473" s="636">
        <v>52247.638888888891</v>
      </c>
      <c r="T473" s="637">
        <f t="shared" si="187"/>
        <v>3761830</v>
      </c>
      <c r="U473" s="638">
        <v>73</v>
      </c>
      <c r="V473" s="638">
        <v>53113.972602739726</v>
      </c>
      <c r="W473" s="635">
        <f t="shared" si="188"/>
        <v>3877320</v>
      </c>
      <c r="X473" s="636">
        <v>58</v>
      </c>
      <c r="Y473" s="636">
        <v>37866.206896551725</v>
      </c>
      <c r="Z473" s="637">
        <f t="shared" si="189"/>
        <v>2196240</v>
      </c>
      <c r="AA473" s="638">
        <v>64</v>
      </c>
      <c r="AB473" s="638">
        <v>39625.9375</v>
      </c>
      <c r="AC473" s="635">
        <f t="shared" si="190"/>
        <v>2536060</v>
      </c>
      <c r="AD473" s="636"/>
      <c r="AE473" s="636"/>
      <c r="AF473" s="637">
        <f t="shared" si="191"/>
        <v>0</v>
      </c>
      <c r="AG473" s="638">
        <v>0</v>
      </c>
      <c r="AH473" s="638">
        <v>0</v>
      </c>
      <c r="AI473" s="635">
        <f t="shared" si="192"/>
        <v>0</v>
      </c>
      <c r="AJ473" s="636"/>
      <c r="AK473" s="636"/>
      <c r="AL473" s="637">
        <f t="shared" si="193"/>
        <v>0</v>
      </c>
      <c r="AM473" s="638"/>
      <c r="AN473" s="638"/>
      <c r="AO473" s="640">
        <f t="shared" si="194"/>
        <v>0</v>
      </c>
      <c r="AP473" s="636">
        <v>2</v>
      </c>
      <c r="AQ473" s="636">
        <v>78440</v>
      </c>
      <c r="AR473" s="637">
        <f t="shared" si="195"/>
        <v>128359.216</v>
      </c>
      <c r="AS473" s="638">
        <v>4</v>
      </c>
      <c r="AT473" s="638">
        <v>97557.5</v>
      </c>
      <c r="AU473" s="635">
        <f t="shared" si="196"/>
        <v>319286.18599999999</v>
      </c>
      <c r="AV473" s="636">
        <v>8</v>
      </c>
      <c r="AW473" s="636">
        <v>60636.25</v>
      </c>
      <c r="AX473" s="637">
        <f t="shared" si="197"/>
        <v>396900.63800000004</v>
      </c>
      <c r="AY473" s="638">
        <v>7</v>
      </c>
      <c r="AZ473" s="638">
        <v>68788.571428571435</v>
      </c>
      <c r="BA473" s="635">
        <f t="shared" si="198"/>
        <v>393979.66400000005</v>
      </c>
      <c r="BB473" s="636">
        <v>6</v>
      </c>
      <c r="BC473" s="636">
        <v>51980</v>
      </c>
      <c r="BD473" s="637">
        <f t="shared" si="199"/>
        <v>255180.21600000001</v>
      </c>
      <c r="BE473" s="638">
        <v>3</v>
      </c>
      <c r="BF473" s="638">
        <v>58370</v>
      </c>
      <c r="BG473" s="635">
        <f t="shared" si="200"/>
        <v>143275.00200000001</v>
      </c>
      <c r="BH473" s="636">
        <v>3</v>
      </c>
      <c r="BI473" s="636">
        <v>41666.666666666664</v>
      </c>
      <c r="BJ473" s="637">
        <f t="shared" si="201"/>
        <v>102275</v>
      </c>
      <c r="BK473" s="638">
        <v>4</v>
      </c>
      <c r="BL473" s="638">
        <v>45450</v>
      </c>
      <c r="BM473" s="635">
        <f t="shared" si="202"/>
        <v>148748.76</v>
      </c>
      <c r="BN473" s="636">
        <v>0</v>
      </c>
      <c r="BO473" s="636"/>
      <c r="BP473" s="637">
        <f t="shared" si="203"/>
        <v>0</v>
      </c>
      <c r="BQ473" s="638">
        <v>0</v>
      </c>
      <c r="BR473" s="638"/>
      <c r="BS473" s="635">
        <f t="shared" si="204"/>
        <v>0</v>
      </c>
      <c r="BT473" s="636"/>
      <c r="BU473" s="636"/>
      <c r="BV473" s="637">
        <f t="shared" si="205"/>
        <v>0</v>
      </c>
      <c r="BW473" s="638"/>
      <c r="BX473" s="638"/>
      <c r="BY473" s="641">
        <f t="shared" si="206"/>
        <v>0</v>
      </c>
    </row>
    <row r="474" spans="1:77" x14ac:dyDescent="0.2">
      <c r="A474" s="377" t="s">
        <v>78</v>
      </c>
      <c r="B474" s="378" t="s">
        <v>657</v>
      </c>
      <c r="C474" s="379"/>
      <c r="D474" s="380">
        <v>221740</v>
      </c>
      <c r="E474" s="381">
        <v>3</v>
      </c>
      <c r="F474" s="631">
        <v>122</v>
      </c>
      <c r="G474" s="632">
        <v>83083.672131147541</v>
      </c>
      <c r="H474" s="633">
        <f t="shared" si="183"/>
        <v>10136208</v>
      </c>
      <c r="I474" s="634">
        <v>127</v>
      </c>
      <c r="J474" s="634">
        <v>84134.346456692918</v>
      </c>
      <c r="K474" s="635">
        <f t="shared" si="184"/>
        <v>10685062</v>
      </c>
      <c r="L474" s="636">
        <v>91</v>
      </c>
      <c r="M474" s="636">
        <v>64679.857142857145</v>
      </c>
      <c r="N474" s="637">
        <f t="shared" si="185"/>
        <v>5885867</v>
      </c>
      <c r="O474" s="638">
        <v>92</v>
      </c>
      <c r="P474" s="638">
        <v>66286.923913043473</v>
      </c>
      <c r="Q474" s="635">
        <f t="shared" si="186"/>
        <v>6098396.9999999991</v>
      </c>
      <c r="R474" s="636">
        <v>78</v>
      </c>
      <c r="S474" s="636">
        <v>55552.794871794875</v>
      </c>
      <c r="T474" s="637">
        <f t="shared" si="187"/>
        <v>4333118</v>
      </c>
      <c r="U474" s="638">
        <v>78</v>
      </c>
      <c r="V474" s="638">
        <v>55790.076923076922</v>
      </c>
      <c r="W474" s="635">
        <f t="shared" si="188"/>
        <v>4351626</v>
      </c>
      <c r="X474" s="636">
        <v>6</v>
      </c>
      <c r="Y474" s="636">
        <v>42127.333333333336</v>
      </c>
      <c r="Z474" s="637">
        <f t="shared" si="189"/>
        <v>252764</v>
      </c>
      <c r="AA474" s="638">
        <v>9</v>
      </c>
      <c r="AB474" s="638">
        <v>44281.777777777781</v>
      </c>
      <c r="AC474" s="635">
        <f t="shared" si="190"/>
        <v>398536</v>
      </c>
      <c r="AD474" s="636">
        <v>88</v>
      </c>
      <c r="AE474" s="636">
        <v>35360.022727272728</v>
      </c>
      <c r="AF474" s="637">
        <f t="shared" si="191"/>
        <v>3111682</v>
      </c>
      <c r="AG474" s="638">
        <v>86</v>
      </c>
      <c r="AH474" s="638">
        <v>36854.906976744183</v>
      </c>
      <c r="AI474" s="635">
        <f t="shared" si="192"/>
        <v>3169522</v>
      </c>
      <c r="AJ474" s="636"/>
      <c r="AK474" s="636"/>
      <c r="AL474" s="637">
        <f t="shared" si="193"/>
        <v>0</v>
      </c>
      <c r="AM474" s="638"/>
      <c r="AN474" s="638"/>
      <c r="AO474" s="640">
        <f t="shared" si="194"/>
        <v>0</v>
      </c>
      <c r="AP474" s="636">
        <v>34</v>
      </c>
      <c r="AQ474" s="636">
        <v>108408.29411764706</v>
      </c>
      <c r="AR474" s="637">
        <f t="shared" si="195"/>
        <v>3015788.6524</v>
      </c>
      <c r="AS474" s="638">
        <v>29</v>
      </c>
      <c r="AT474" s="638">
        <v>120908</v>
      </c>
      <c r="AU474" s="635">
        <f t="shared" si="196"/>
        <v>2868880.8424</v>
      </c>
      <c r="AV474" s="636">
        <v>16</v>
      </c>
      <c r="AW474" s="636">
        <v>77770.75</v>
      </c>
      <c r="AX474" s="637">
        <f t="shared" si="197"/>
        <v>1018112.4424000001</v>
      </c>
      <c r="AY474" s="638">
        <v>8</v>
      </c>
      <c r="AZ474" s="638">
        <v>80777.375</v>
      </c>
      <c r="BA474" s="635">
        <f t="shared" si="198"/>
        <v>528736.38580000005</v>
      </c>
      <c r="BB474" s="636">
        <v>10</v>
      </c>
      <c r="BC474" s="636">
        <v>64489.2</v>
      </c>
      <c r="BD474" s="637">
        <f t="shared" si="199"/>
        <v>527650.63439999998</v>
      </c>
      <c r="BE474" s="638">
        <v>3</v>
      </c>
      <c r="BF474" s="638">
        <v>65171</v>
      </c>
      <c r="BG474" s="635">
        <f t="shared" si="200"/>
        <v>159968.7366</v>
      </c>
      <c r="BH474" s="636">
        <v>0</v>
      </c>
      <c r="BI474" s="636"/>
      <c r="BJ474" s="637">
        <f t="shared" si="201"/>
        <v>0</v>
      </c>
      <c r="BK474" s="638">
        <v>2</v>
      </c>
      <c r="BL474" s="638">
        <v>61190</v>
      </c>
      <c r="BM474" s="635">
        <f t="shared" si="202"/>
        <v>100131.31600000001</v>
      </c>
      <c r="BN474" s="636">
        <v>5</v>
      </c>
      <c r="BO474" s="636">
        <v>56055.6</v>
      </c>
      <c r="BP474" s="637">
        <f t="shared" si="203"/>
        <v>229323.4596</v>
      </c>
      <c r="BQ474" s="638">
        <v>3</v>
      </c>
      <c r="BR474" s="638">
        <v>68315.666666666672</v>
      </c>
      <c r="BS474" s="635">
        <f t="shared" si="204"/>
        <v>167687.6354</v>
      </c>
      <c r="BT474" s="636"/>
      <c r="BU474" s="636"/>
      <c r="BV474" s="637">
        <f t="shared" si="205"/>
        <v>0</v>
      </c>
      <c r="BW474" s="638"/>
      <c r="BX474" s="638"/>
      <c r="BY474" s="641">
        <f t="shared" si="206"/>
        <v>0</v>
      </c>
    </row>
    <row r="475" spans="1:77" x14ac:dyDescent="0.2">
      <c r="A475" s="377" t="s">
        <v>78</v>
      </c>
      <c r="B475" s="378" t="s">
        <v>658</v>
      </c>
      <c r="C475" s="383" t="s">
        <v>943</v>
      </c>
      <c r="D475" s="380">
        <v>221768</v>
      </c>
      <c r="E475" s="381">
        <v>5</v>
      </c>
      <c r="F475" s="631">
        <v>63</v>
      </c>
      <c r="G475" s="632">
        <v>72727.079365079364</v>
      </c>
      <c r="H475" s="633">
        <f t="shared" si="183"/>
        <v>4581806</v>
      </c>
      <c r="I475" s="634">
        <v>59</v>
      </c>
      <c r="J475" s="634">
        <v>74251.932203389835</v>
      </c>
      <c r="K475" s="635">
        <f t="shared" si="184"/>
        <v>4380864</v>
      </c>
      <c r="L475" s="636">
        <v>51</v>
      </c>
      <c r="M475" s="636">
        <v>58615.431372549021</v>
      </c>
      <c r="N475" s="637">
        <f t="shared" si="185"/>
        <v>2989387</v>
      </c>
      <c r="O475" s="638">
        <v>59</v>
      </c>
      <c r="P475" s="638">
        <v>62653.694915254237</v>
      </c>
      <c r="Q475" s="635">
        <f t="shared" si="186"/>
        <v>3696568</v>
      </c>
      <c r="R475" s="636">
        <v>77</v>
      </c>
      <c r="S475" s="636">
        <v>52847.207792207795</v>
      </c>
      <c r="T475" s="637">
        <f t="shared" si="187"/>
        <v>4069235</v>
      </c>
      <c r="U475" s="638">
        <v>76</v>
      </c>
      <c r="V475" s="638">
        <v>53750.789473684214</v>
      </c>
      <c r="W475" s="635">
        <f t="shared" si="188"/>
        <v>4085060</v>
      </c>
      <c r="X475" s="636">
        <v>14</v>
      </c>
      <c r="Y475" s="636">
        <v>46115.642857142855</v>
      </c>
      <c r="Z475" s="637">
        <f t="shared" si="189"/>
        <v>645619</v>
      </c>
      <c r="AA475" s="638">
        <v>16</v>
      </c>
      <c r="AB475" s="638">
        <v>49570.5</v>
      </c>
      <c r="AC475" s="635">
        <f t="shared" si="190"/>
        <v>793128</v>
      </c>
      <c r="AD475" s="636">
        <v>45</v>
      </c>
      <c r="AE475" s="636">
        <v>42352.555555555555</v>
      </c>
      <c r="AF475" s="637">
        <f t="shared" si="191"/>
        <v>1905865</v>
      </c>
      <c r="AG475" s="638">
        <v>34</v>
      </c>
      <c r="AH475" s="638">
        <v>43116.26470588235</v>
      </c>
      <c r="AI475" s="635">
        <f t="shared" si="192"/>
        <v>1465953</v>
      </c>
      <c r="AJ475" s="636"/>
      <c r="AK475" s="636"/>
      <c r="AL475" s="637">
        <f t="shared" si="193"/>
        <v>0</v>
      </c>
      <c r="AM475" s="638"/>
      <c r="AN475" s="638"/>
      <c r="AO475" s="640">
        <f t="shared" si="194"/>
        <v>0</v>
      </c>
      <c r="AP475" s="636">
        <v>15</v>
      </c>
      <c r="AQ475" s="636">
        <v>93832.8</v>
      </c>
      <c r="AR475" s="637">
        <f t="shared" si="195"/>
        <v>1151609.9544000002</v>
      </c>
      <c r="AS475" s="638">
        <v>17</v>
      </c>
      <c r="AT475" s="638">
        <v>93721.882352941175</v>
      </c>
      <c r="AU475" s="635">
        <f t="shared" si="196"/>
        <v>1303615.1504000002</v>
      </c>
      <c r="AV475" s="636">
        <v>6</v>
      </c>
      <c r="AW475" s="636">
        <v>75199.166666666672</v>
      </c>
      <c r="AX475" s="637">
        <f t="shared" si="197"/>
        <v>369167.74900000001</v>
      </c>
      <c r="AY475" s="638">
        <v>5</v>
      </c>
      <c r="AZ475" s="638">
        <v>76221.8</v>
      </c>
      <c r="BA475" s="635">
        <f t="shared" si="198"/>
        <v>311823.38380000001</v>
      </c>
      <c r="BB475" s="636">
        <v>4</v>
      </c>
      <c r="BC475" s="636">
        <v>67961.25</v>
      </c>
      <c r="BD475" s="637">
        <f t="shared" si="199"/>
        <v>222423.579</v>
      </c>
      <c r="BE475" s="638">
        <v>3</v>
      </c>
      <c r="BF475" s="638">
        <v>77128.333333333328</v>
      </c>
      <c r="BG475" s="635">
        <f t="shared" si="200"/>
        <v>189319.20699999999</v>
      </c>
      <c r="BH475" s="636">
        <v>3</v>
      </c>
      <c r="BI475" s="636">
        <v>48851.666666666664</v>
      </c>
      <c r="BJ475" s="637">
        <f t="shared" si="201"/>
        <v>119911.30100000001</v>
      </c>
      <c r="BK475" s="638">
        <v>3</v>
      </c>
      <c r="BL475" s="638">
        <v>50305</v>
      </c>
      <c r="BM475" s="635">
        <f t="shared" si="202"/>
        <v>123478.65300000001</v>
      </c>
      <c r="BN475" s="636">
        <v>0</v>
      </c>
      <c r="BO475" s="636"/>
      <c r="BP475" s="637">
        <f t="shared" si="203"/>
        <v>0</v>
      </c>
      <c r="BQ475" s="638"/>
      <c r="BR475" s="638"/>
      <c r="BS475" s="635">
        <f t="shared" si="204"/>
        <v>0</v>
      </c>
      <c r="BT475" s="636"/>
      <c r="BU475" s="636"/>
      <c r="BV475" s="637">
        <f t="shared" si="205"/>
        <v>0</v>
      </c>
      <c r="BW475" s="638"/>
      <c r="BX475" s="638"/>
      <c r="BY475" s="641">
        <f t="shared" si="206"/>
        <v>0</v>
      </c>
    </row>
    <row r="476" spans="1:77" x14ac:dyDescent="0.2">
      <c r="A476" s="377" t="s">
        <v>78</v>
      </c>
      <c r="B476" s="378" t="s">
        <v>659</v>
      </c>
      <c r="C476" s="379"/>
      <c r="D476" s="380">
        <v>219824</v>
      </c>
      <c r="E476" s="381">
        <v>8</v>
      </c>
      <c r="F476" s="631">
        <v>20</v>
      </c>
      <c r="G476" s="632">
        <v>56438.35</v>
      </c>
      <c r="H476" s="633">
        <f t="shared" si="183"/>
        <v>1128767</v>
      </c>
      <c r="I476" s="634">
        <v>21</v>
      </c>
      <c r="J476" s="634">
        <v>57846.761904761908</v>
      </c>
      <c r="K476" s="635">
        <f t="shared" si="184"/>
        <v>1214782</v>
      </c>
      <c r="L476" s="636">
        <v>72</v>
      </c>
      <c r="M476" s="636">
        <v>50225.972222222219</v>
      </c>
      <c r="N476" s="637">
        <f t="shared" si="185"/>
        <v>3616270</v>
      </c>
      <c r="O476" s="638">
        <v>71</v>
      </c>
      <c r="P476" s="638">
        <v>51502.239436619719</v>
      </c>
      <c r="Q476" s="635">
        <f t="shared" si="186"/>
        <v>3656659</v>
      </c>
      <c r="R476" s="636">
        <v>39</v>
      </c>
      <c r="S476" s="636">
        <v>45207.205128205125</v>
      </c>
      <c r="T476" s="637">
        <f t="shared" si="187"/>
        <v>1763081</v>
      </c>
      <c r="U476" s="638">
        <v>40</v>
      </c>
      <c r="V476" s="638">
        <v>46062.15</v>
      </c>
      <c r="W476" s="635">
        <f t="shared" si="188"/>
        <v>1842486</v>
      </c>
      <c r="X476" s="636">
        <v>22</v>
      </c>
      <c r="Y476" s="636">
        <v>41282.86363636364</v>
      </c>
      <c r="Z476" s="637">
        <f t="shared" si="189"/>
        <v>908223.00000000012</v>
      </c>
      <c r="AA476" s="638">
        <v>23</v>
      </c>
      <c r="AB476" s="638">
        <v>42418.956521739128</v>
      </c>
      <c r="AC476" s="635">
        <f t="shared" si="190"/>
        <v>975636</v>
      </c>
      <c r="AD476" s="636"/>
      <c r="AE476" s="636"/>
      <c r="AF476" s="637">
        <f t="shared" si="191"/>
        <v>0</v>
      </c>
      <c r="AG476" s="638">
        <v>0</v>
      </c>
      <c r="AH476" s="638">
        <v>0</v>
      </c>
      <c r="AI476" s="635">
        <f t="shared" si="192"/>
        <v>0</v>
      </c>
      <c r="AJ476" s="636"/>
      <c r="AK476" s="636"/>
      <c r="AL476" s="637">
        <f t="shared" si="193"/>
        <v>0</v>
      </c>
      <c r="AM476" s="638"/>
      <c r="AN476" s="638"/>
      <c r="AO476" s="640">
        <f t="shared" si="194"/>
        <v>0</v>
      </c>
      <c r="AP476" s="636">
        <v>5</v>
      </c>
      <c r="AQ476" s="636">
        <v>75486.600000000006</v>
      </c>
      <c r="AR476" s="637">
        <f t="shared" si="195"/>
        <v>308815.68060000002</v>
      </c>
      <c r="AS476" s="638">
        <v>5</v>
      </c>
      <c r="AT476" s="638">
        <v>74584.600000000006</v>
      </c>
      <c r="AU476" s="635">
        <f t="shared" si="196"/>
        <v>305125.59860000003</v>
      </c>
      <c r="AV476" s="636">
        <v>16</v>
      </c>
      <c r="AW476" s="636">
        <v>62209.3125</v>
      </c>
      <c r="AX476" s="637">
        <f t="shared" si="197"/>
        <v>814394.55180000002</v>
      </c>
      <c r="AY476" s="638">
        <v>16</v>
      </c>
      <c r="AZ476" s="638">
        <v>63801.75</v>
      </c>
      <c r="BA476" s="635">
        <f t="shared" si="198"/>
        <v>835241.46960000007</v>
      </c>
      <c r="BB476" s="636">
        <v>7</v>
      </c>
      <c r="BC476" s="636">
        <v>56374.285714285717</v>
      </c>
      <c r="BD476" s="637">
        <f t="shared" si="199"/>
        <v>322878.08400000003</v>
      </c>
      <c r="BE476" s="638">
        <v>6</v>
      </c>
      <c r="BF476" s="638">
        <v>59031.666666666664</v>
      </c>
      <c r="BG476" s="635">
        <f t="shared" si="200"/>
        <v>289798.25800000003</v>
      </c>
      <c r="BH476" s="636">
        <v>43</v>
      </c>
      <c r="BI476" s="636">
        <v>48189.953488372092</v>
      </c>
      <c r="BJ476" s="637">
        <f t="shared" si="201"/>
        <v>1695447.8576</v>
      </c>
      <c r="BK476" s="638">
        <v>48</v>
      </c>
      <c r="BL476" s="638">
        <v>50468.4375</v>
      </c>
      <c r="BM476" s="635">
        <f t="shared" si="202"/>
        <v>1982077.2270000002</v>
      </c>
      <c r="BN476" s="636">
        <v>0</v>
      </c>
      <c r="BO476" s="636"/>
      <c r="BP476" s="637">
        <f t="shared" si="203"/>
        <v>0</v>
      </c>
      <c r="BQ476" s="638"/>
      <c r="BR476" s="638"/>
      <c r="BS476" s="635">
        <f t="shared" si="204"/>
        <v>0</v>
      </c>
      <c r="BT476" s="636"/>
      <c r="BU476" s="636"/>
      <c r="BV476" s="637">
        <f t="shared" si="205"/>
        <v>0</v>
      </c>
      <c r="BW476" s="638"/>
      <c r="BX476" s="638"/>
      <c r="BY476" s="641">
        <f t="shared" si="206"/>
        <v>0</v>
      </c>
    </row>
    <row r="477" spans="1:77" x14ac:dyDescent="0.2">
      <c r="A477" s="377" t="s">
        <v>78</v>
      </c>
      <c r="B477" s="382" t="s">
        <v>666</v>
      </c>
      <c r="C477" s="433" t="s">
        <v>944</v>
      </c>
      <c r="D477" s="380">
        <v>221184</v>
      </c>
      <c r="E477" s="272">
        <v>8</v>
      </c>
      <c r="F477" s="631">
        <v>6</v>
      </c>
      <c r="G477" s="632">
        <v>59204.5</v>
      </c>
      <c r="H477" s="633">
        <f t="shared" si="183"/>
        <v>355227</v>
      </c>
      <c r="I477" s="634">
        <v>6</v>
      </c>
      <c r="J477" s="634">
        <v>62597.166666666664</v>
      </c>
      <c r="K477" s="635">
        <f t="shared" si="184"/>
        <v>375583</v>
      </c>
      <c r="L477" s="636">
        <v>40</v>
      </c>
      <c r="M477" s="636">
        <v>50635.425000000003</v>
      </c>
      <c r="N477" s="637">
        <f t="shared" si="185"/>
        <v>2025417</v>
      </c>
      <c r="O477" s="638">
        <v>44</v>
      </c>
      <c r="P477" s="638">
        <v>52024.38636363636</v>
      </c>
      <c r="Q477" s="635">
        <f t="shared" si="186"/>
        <v>2289073</v>
      </c>
      <c r="R477" s="636">
        <v>33</v>
      </c>
      <c r="S477" s="636">
        <v>40660.393939393936</v>
      </c>
      <c r="T477" s="637">
        <f t="shared" si="187"/>
        <v>1341793</v>
      </c>
      <c r="U477" s="638">
        <v>38</v>
      </c>
      <c r="V477" s="638">
        <v>42754.105263157893</v>
      </c>
      <c r="W477" s="635">
        <f t="shared" si="188"/>
        <v>1624656</v>
      </c>
      <c r="X477" s="636">
        <v>80</v>
      </c>
      <c r="Y477" s="636">
        <v>38752.912499999999</v>
      </c>
      <c r="Z477" s="637">
        <f t="shared" si="189"/>
        <v>3100233</v>
      </c>
      <c r="AA477" s="638">
        <v>78</v>
      </c>
      <c r="AB477" s="638">
        <v>40587.153846153844</v>
      </c>
      <c r="AC477" s="635">
        <f t="shared" si="190"/>
        <v>3165798</v>
      </c>
      <c r="AD477" s="636"/>
      <c r="AE477" s="636"/>
      <c r="AF477" s="637">
        <f t="shared" si="191"/>
        <v>0</v>
      </c>
      <c r="AG477" s="638">
        <v>0</v>
      </c>
      <c r="AH477" s="638">
        <v>0</v>
      </c>
      <c r="AI477" s="635">
        <f t="shared" si="192"/>
        <v>0</v>
      </c>
      <c r="AJ477" s="636"/>
      <c r="AK477" s="636"/>
      <c r="AL477" s="637">
        <f t="shared" si="193"/>
        <v>0</v>
      </c>
      <c r="AM477" s="638"/>
      <c r="AN477" s="638"/>
      <c r="AO477" s="640">
        <f t="shared" si="194"/>
        <v>0</v>
      </c>
      <c r="AP477" s="636">
        <v>0</v>
      </c>
      <c r="AQ477" s="636"/>
      <c r="AR477" s="637">
        <f t="shared" si="195"/>
        <v>0</v>
      </c>
      <c r="AS477" s="638">
        <v>0</v>
      </c>
      <c r="AT477" s="638"/>
      <c r="AU477" s="635">
        <f t="shared" si="196"/>
        <v>0</v>
      </c>
      <c r="AV477" s="636">
        <v>0</v>
      </c>
      <c r="AW477" s="636"/>
      <c r="AX477" s="637">
        <f t="shared" si="197"/>
        <v>0</v>
      </c>
      <c r="AY477" s="638">
        <v>0</v>
      </c>
      <c r="AZ477" s="638"/>
      <c r="BA477" s="635">
        <f t="shared" si="198"/>
        <v>0</v>
      </c>
      <c r="BB477" s="636">
        <v>0</v>
      </c>
      <c r="BC477" s="636"/>
      <c r="BD477" s="637">
        <f t="shared" si="199"/>
        <v>0</v>
      </c>
      <c r="BE477" s="638">
        <v>0</v>
      </c>
      <c r="BF477" s="638"/>
      <c r="BG477" s="635">
        <f t="shared" si="200"/>
        <v>0</v>
      </c>
      <c r="BH477" s="636">
        <v>2</v>
      </c>
      <c r="BI477" s="636">
        <v>63369.5</v>
      </c>
      <c r="BJ477" s="637">
        <f t="shared" si="201"/>
        <v>103697.84980000001</v>
      </c>
      <c r="BK477" s="638">
        <v>1</v>
      </c>
      <c r="BL477" s="638">
        <v>62123</v>
      </c>
      <c r="BM477" s="635">
        <f t="shared" si="202"/>
        <v>50829.0386</v>
      </c>
      <c r="BN477" s="636">
        <v>0</v>
      </c>
      <c r="BO477" s="636"/>
      <c r="BP477" s="637">
        <f t="shared" si="203"/>
        <v>0</v>
      </c>
      <c r="BQ477" s="638"/>
      <c r="BR477" s="638"/>
      <c r="BS477" s="635">
        <f t="shared" si="204"/>
        <v>0</v>
      </c>
      <c r="BT477" s="636"/>
      <c r="BU477" s="636"/>
      <c r="BV477" s="637">
        <f t="shared" si="205"/>
        <v>0</v>
      </c>
      <c r="BW477" s="638"/>
      <c r="BX477" s="638"/>
      <c r="BY477" s="641">
        <f t="shared" si="206"/>
        <v>0</v>
      </c>
    </row>
    <row r="478" spans="1:77" x14ac:dyDescent="0.2">
      <c r="A478" s="377" t="s">
        <v>78</v>
      </c>
      <c r="B478" s="378" t="s">
        <v>660</v>
      </c>
      <c r="C478" s="379"/>
      <c r="D478" s="380">
        <v>221643</v>
      </c>
      <c r="E478" s="381">
        <v>8</v>
      </c>
      <c r="F478" s="631">
        <v>36</v>
      </c>
      <c r="G478" s="632">
        <v>58101.944444444445</v>
      </c>
      <c r="H478" s="633">
        <f t="shared" si="183"/>
        <v>2091670</v>
      </c>
      <c r="I478" s="634">
        <v>40</v>
      </c>
      <c r="J478" s="634">
        <v>60171.25</v>
      </c>
      <c r="K478" s="635">
        <f t="shared" si="184"/>
        <v>2406850</v>
      </c>
      <c r="L478" s="636">
        <v>104</v>
      </c>
      <c r="M478" s="636">
        <v>50676.923076923078</v>
      </c>
      <c r="N478" s="637">
        <f t="shared" si="185"/>
        <v>5270400</v>
      </c>
      <c r="O478" s="638">
        <v>93</v>
      </c>
      <c r="P478" s="638">
        <v>52351.182795698922</v>
      </c>
      <c r="Q478" s="635">
        <f t="shared" si="186"/>
        <v>4868660</v>
      </c>
      <c r="R478" s="636">
        <v>21</v>
      </c>
      <c r="S478" s="636">
        <v>41504.285714285717</v>
      </c>
      <c r="T478" s="637">
        <f t="shared" si="187"/>
        <v>871590.00000000012</v>
      </c>
      <c r="U478" s="638">
        <v>26</v>
      </c>
      <c r="V478" s="638">
        <v>42385</v>
      </c>
      <c r="W478" s="635">
        <f t="shared" si="188"/>
        <v>1102010</v>
      </c>
      <c r="X478" s="636">
        <v>28</v>
      </c>
      <c r="Y478" s="636">
        <v>31644.642857142859</v>
      </c>
      <c r="Z478" s="637">
        <f t="shared" si="189"/>
        <v>886050</v>
      </c>
      <c r="AA478" s="638">
        <v>55</v>
      </c>
      <c r="AB478" s="638">
        <v>35944.909090909088</v>
      </c>
      <c r="AC478" s="635">
        <f t="shared" si="190"/>
        <v>1976969.9999999998</v>
      </c>
      <c r="AD478" s="636"/>
      <c r="AE478" s="636"/>
      <c r="AF478" s="637">
        <f t="shared" si="191"/>
        <v>0</v>
      </c>
      <c r="AG478" s="638">
        <v>0</v>
      </c>
      <c r="AH478" s="638">
        <v>0</v>
      </c>
      <c r="AI478" s="635">
        <f t="shared" si="192"/>
        <v>0</v>
      </c>
      <c r="AJ478" s="636"/>
      <c r="AK478" s="636"/>
      <c r="AL478" s="637">
        <f t="shared" si="193"/>
        <v>0</v>
      </c>
      <c r="AM478" s="638"/>
      <c r="AN478" s="638"/>
      <c r="AO478" s="640">
        <f t="shared" si="194"/>
        <v>0</v>
      </c>
      <c r="AP478" s="636">
        <v>4</v>
      </c>
      <c r="AQ478" s="636">
        <v>80985</v>
      </c>
      <c r="AR478" s="637">
        <f t="shared" si="195"/>
        <v>265047.70799999998</v>
      </c>
      <c r="AS478" s="638">
        <v>5</v>
      </c>
      <c r="AT478" s="638">
        <v>80728</v>
      </c>
      <c r="AU478" s="635">
        <f t="shared" si="196"/>
        <v>330258.24800000002</v>
      </c>
      <c r="AV478" s="636">
        <v>2</v>
      </c>
      <c r="AW478" s="636">
        <v>59335</v>
      </c>
      <c r="AX478" s="637">
        <f t="shared" si="197"/>
        <v>97095.794000000009</v>
      </c>
      <c r="AY478" s="638">
        <v>1</v>
      </c>
      <c r="AZ478" s="638">
        <v>62860</v>
      </c>
      <c r="BA478" s="635">
        <f t="shared" si="198"/>
        <v>51432.052000000003</v>
      </c>
      <c r="BB478" s="636">
        <v>0</v>
      </c>
      <c r="BC478" s="636"/>
      <c r="BD478" s="637">
        <f t="shared" si="199"/>
        <v>0</v>
      </c>
      <c r="BE478" s="638">
        <v>0</v>
      </c>
      <c r="BF478" s="638"/>
      <c r="BG478" s="635">
        <f t="shared" si="200"/>
        <v>0</v>
      </c>
      <c r="BH478" s="636">
        <v>0</v>
      </c>
      <c r="BI478" s="636"/>
      <c r="BJ478" s="637">
        <f t="shared" si="201"/>
        <v>0</v>
      </c>
      <c r="BK478" s="638">
        <v>1</v>
      </c>
      <c r="BL478" s="638">
        <v>47010</v>
      </c>
      <c r="BM478" s="635">
        <f t="shared" si="202"/>
        <v>38463.582000000002</v>
      </c>
      <c r="BN478" s="636">
        <v>0</v>
      </c>
      <c r="BO478" s="636"/>
      <c r="BP478" s="637">
        <f t="shared" si="203"/>
        <v>0</v>
      </c>
      <c r="BQ478" s="638"/>
      <c r="BR478" s="638"/>
      <c r="BS478" s="635">
        <f t="shared" si="204"/>
        <v>0</v>
      </c>
      <c r="BT478" s="636"/>
      <c r="BU478" s="636"/>
      <c r="BV478" s="637">
        <f t="shared" si="205"/>
        <v>0</v>
      </c>
      <c r="BW478" s="638"/>
      <c r="BX478" s="638"/>
      <c r="BY478" s="641">
        <f t="shared" si="206"/>
        <v>0</v>
      </c>
    </row>
    <row r="479" spans="1:77" x14ac:dyDescent="0.2">
      <c r="A479" s="377" t="s">
        <v>78</v>
      </c>
      <c r="B479" s="378" t="s">
        <v>661</v>
      </c>
      <c r="C479" s="379"/>
      <c r="D479" s="380">
        <v>221485</v>
      </c>
      <c r="E479" s="381">
        <v>8</v>
      </c>
      <c r="F479" s="631">
        <v>20</v>
      </c>
      <c r="G479" s="632">
        <v>59155.8</v>
      </c>
      <c r="H479" s="633">
        <f t="shared" si="183"/>
        <v>1183116</v>
      </c>
      <c r="I479" s="634">
        <v>14</v>
      </c>
      <c r="J479" s="634">
        <v>59395.714285714283</v>
      </c>
      <c r="K479" s="635">
        <f t="shared" si="184"/>
        <v>831540</v>
      </c>
      <c r="L479" s="636">
        <v>92</v>
      </c>
      <c r="M479" s="636">
        <v>49923</v>
      </c>
      <c r="N479" s="637">
        <f t="shared" si="185"/>
        <v>4592916</v>
      </c>
      <c r="O479" s="638">
        <v>88</v>
      </c>
      <c r="P479" s="638">
        <v>44515.772727272728</v>
      </c>
      <c r="Q479" s="635">
        <f t="shared" si="186"/>
        <v>3917388</v>
      </c>
      <c r="R479" s="636">
        <v>57</v>
      </c>
      <c r="S479" s="636">
        <v>41491.57894736842</v>
      </c>
      <c r="T479" s="637">
        <f t="shared" si="187"/>
        <v>2365020</v>
      </c>
      <c r="U479" s="638">
        <v>52</v>
      </c>
      <c r="V479" s="638">
        <v>42049.711538461539</v>
      </c>
      <c r="W479" s="635">
        <f t="shared" si="188"/>
        <v>2186585</v>
      </c>
      <c r="X479" s="636">
        <v>44</v>
      </c>
      <c r="Y479" s="636">
        <v>34743.545454545456</v>
      </c>
      <c r="Z479" s="637">
        <f t="shared" si="189"/>
        <v>1528716</v>
      </c>
      <c r="AA479" s="638">
        <v>52</v>
      </c>
      <c r="AB479" s="638">
        <v>33444.711538461539</v>
      </c>
      <c r="AC479" s="635">
        <f t="shared" si="190"/>
        <v>1739125</v>
      </c>
      <c r="AD479" s="636"/>
      <c r="AE479" s="636"/>
      <c r="AF479" s="637">
        <f t="shared" si="191"/>
        <v>0</v>
      </c>
      <c r="AG479" s="638">
        <v>0</v>
      </c>
      <c r="AH479" s="638">
        <v>0</v>
      </c>
      <c r="AI479" s="635">
        <f t="shared" si="192"/>
        <v>0</v>
      </c>
      <c r="AJ479" s="636"/>
      <c r="AK479" s="636"/>
      <c r="AL479" s="637">
        <f t="shared" si="193"/>
        <v>0</v>
      </c>
      <c r="AM479" s="638"/>
      <c r="AN479" s="638"/>
      <c r="AO479" s="640">
        <f t="shared" si="194"/>
        <v>0</v>
      </c>
      <c r="AP479" s="636">
        <v>2</v>
      </c>
      <c r="AQ479" s="636">
        <v>74652</v>
      </c>
      <c r="AR479" s="637">
        <f t="shared" si="195"/>
        <v>122160.5328</v>
      </c>
      <c r="AS479" s="638">
        <v>3</v>
      </c>
      <c r="AT479" s="638">
        <v>80176</v>
      </c>
      <c r="AU479" s="635">
        <f t="shared" si="196"/>
        <v>196800.00960000002</v>
      </c>
      <c r="AV479" s="636">
        <v>11</v>
      </c>
      <c r="AW479" s="636">
        <v>64890.545454545456</v>
      </c>
      <c r="AX479" s="637">
        <f t="shared" si="197"/>
        <v>584027.8872</v>
      </c>
      <c r="AY479" s="638">
        <v>9</v>
      </c>
      <c r="AZ479" s="638">
        <v>61369.333333333336</v>
      </c>
      <c r="BA479" s="635">
        <f t="shared" si="198"/>
        <v>451911.49680000002</v>
      </c>
      <c r="BB479" s="636">
        <v>2</v>
      </c>
      <c r="BC479" s="636">
        <v>48930</v>
      </c>
      <c r="BD479" s="637">
        <f t="shared" si="199"/>
        <v>80069.052000000011</v>
      </c>
      <c r="BE479" s="638">
        <v>0</v>
      </c>
      <c r="BF479" s="638"/>
      <c r="BG479" s="635">
        <f t="shared" si="200"/>
        <v>0</v>
      </c>
      <c r="BH479" s="636">
        <v>0</v>
      </c>
      <c r="BI479" s="636"/>
      <c r="BJ479" s="637">
        <f t="shared" si="201"/>
        <v>0</v>
      </c>
      <c r="BK479" s="638">
        <v>0</v>
      </c>
      <c r="BL479" s="638"/>
      <c r="BM479" s="635">
        <f t="shared" si="202"/>
        <v>0</v>
      </c>
      <c r="BN479" s="636">
        <v>0</v>
      </c>
      <c r="BO479" s="636"/>
      <c r="BP479" s="637">
        <f t="shared" si="203"/>
        <v>0</v>
      </c>
      <c r="BQ479" s="638"/>
      <c r="BR479" s="638"/>
      <c r="BS479" s="635">
        <f t="shared" si="204"/>
        <v>0</v>
      </c>
      <c r="BT479" s="636"/>
      <c r="BU479" s="636"/>
      <c r="BV479" s="637">
        <f t="shared" si="205"/>
        <v>0</v>
      </c>
      <c r="BW479" s="638"/>
      <c r="BX479" s="638"/>
      <c r="BY479" s="641">
        <f t="shared" si="206"/>
        <v>0</v>
      </c>
    </row>
    <row r="480" spans="1:77" x14ac:dyDescent="0.2">
      <c r="A480" s="377" t="s">
        <v>78</v>
      </c>
      <c r="B480" s="382" t="s">
        <v>669</v>
      </c>
      <c r="C480" s="433" t="s">
        <v>944</v>
      </c>
      <c r="D480" s="380">
        <v>222053</v>
      </c>
      <c r="E480" s="272">
        <v>8</v>
      </c>
      <c r="F480" s="631">
        <v>17</v>
      </c>
      <c r="G480" s="632">
        <v>56103.529411764706</v>
      </c>
      <c r="H480" s="633">
        <f t="shared" si="183"/>
        <v>953760</v>
      </c>
      <c r="I480" s="634">
        <v>17</v>
      </c>
      <c r="J480" s="634">
        <v>58663.882352941175</v>
      </c>
      <c r="K480" s="635">
        <f t="shared" si="184"/>
        <v>997286</v>
      </c>
      <c r="L480" s="636">
        <v>69</v>
      </c>
      <c r="M480" s="636">
        <v>48442.014492753624</v>
      </c>
      <c r="N480" s="637">
        <f t="shared" si="185"/>
        <v>3342499</v>
      </c>
      <c r="O480" s="638">
        <v>71</v>
      </c>
      <c r="P480" s="638">
        <v>50910.816901408449</v>
      </c>
      <c r="Q480" s="635">
        <f t="shared" si="186"/>
        <v>3614668</v>
      </c>
      <c r="R480" s="636">
        <v>13</v>
      </c>
      <c r="S480" s="636">
        <v>40563.153846153844</v>
      </c>
      <c r="T480" s="637">
        <f t="shared" si="187"/>
        <v>527321</v>
      </c>
      <c r="U480" s="638">
        <v>10</v>
      </c>
      <c r="V480" s="638">
        <v>42276.7</v>
      </c>
      <c r="W480" s="635">
        <f t="shared" si="188"/>
        <v>422767</v>
      </c>
      <c r="X480" s="636">
        <v>25</v>
      </c>
      <c r="Y480" s="636">
        <v>38847.599999999999</v>
      </c>
      <c r="Z480" s="637">
        <f t="shared" si="189"/>
        <v>971190</v>
      </c>
      <c r="AA480" s="638">
        <v>24</v>
      </c>
      <c r="AB480" s="638">
        <v>39733.75</v>
      </c>
      <c r="AC480" s="635">
        <f t="shared" si="190"/>
        <v>953610</v>
      </c>
      <c r="AD480" s="636"/>
      <c r="AE480" s="636"/>
      <c r="AF480" s="637">
        <f t="shared" si="191"/>
        <v>0</v>
      </c>
      <c r="AG480" s="638">
        <v>0</v>
      </c>
      <c r="AH480" s="638">
        <v>0</v>
      </c>
      <c r="AI480" s="635">
        <f t="shared" si="192"/>
        <v>0</v>
      </c>
      <c r="AJ480" s="636"/>
      <c r="AK480" s="636"/>
      <c r="AL480" s="637">
        <f t="shared" si="193"/>
        <v>0</v>
      </c>
      <c r="AM480" s="638"/>
      <c r="AN480" s="638"/>
      <c r="AO480" s="640">
        <f t="shared" si="194"/>
        <v>0</v>
      </c>
      <c r="AP480" s="636">
        <v>0</v>
      </c>
      <c r="AQ480" s="636"/>
      <c r="AR480" s="637">
        <f t="shared" si="195"/>
        <v>0</v>
      </c>
      <c r="AS480" s="638">
        <v>1</v>
      </c>
      <c r="AT480" s="638">
        <v>67378</v>
      </c>
      <c r="AU480" s="635">
        <f t="shared" si="196"/>
        <v>55128.679600000003</v>
      </c>
      <c r="AV480" s="636">
        <v>11</v>
      </c>
      <c r="AW480" s="636">
        <v>62569.090909090912</v>
      </c>
      <c r="AX480" s="637">
        <f t="shared" si="197"/>
        <v>563134.33200000005</v>
      </c>
      <c r="AY480" s="638">
        <v>10</v>
      </c>
      <c r="AZ480" s="638">
        <v>59015.3</v>
      </c>
      <c r="BA480" s="635">
        <f t="shared" si="198"/>
        <v>482863.18460000004</v>
      </c>
      <c r="BB480" s="636">
        <v>4</v>
      </c>
      <c r="BC480" s="636">
        <v>57639.5</v>
      </c>
      <c r="BD480" s="637">
        <f t="shared" si="199"/>
        <v>188642.55560000002</v>
      </c>
      <c r="BE480" s="638">
        <v>6</v>
      </c>
      <c r="BF480" s="638">
        <v>63294</v>
      </c>
      <c r="BG480" s="635">
        <f t="shared" si="200"/>
        <v>310722.90480000002</v>
      </c>
      <c r="BH480" s="636">
        <v>12</v>
      </c>
      <c r="BI480" s="636">
        <v>56313</v>
      </c>
      <c r="BJ480" s="637">
        <f t="shared" si="201"/>
        <v>552903.55920000002</v>
      </c>
      <c r="BK480" s="638">
        <v>13</v>
      </c>
      <c r="BL480" s="638">
        <v>58222.076923076922</v>
      </c>
      <c r="BM480" s="635">
        <f t="shared" si="202"/>
        <v>619284.94339999999</v>
      </c>
      <c r="BN480" s="636">
        <v>0</v>
      </c>
      <c r="BO480" s="636"/>
      <c r="BP480" s="637">
        <f t="shared" si="203"/>
        <v>0</v>
      </c>
      <c r="BQ480" s="638"/>
      <c r="BR480" s="638"/>
      <c r="BS480" s="635">
        <f t="shared" si="204"/>
        <v>0</v>
      </c>
      <c r="BT480" s="636"/>
      <c r="BU480" s="636"/>
      <c r="BV480" s="637">
        <f t="shared" si="205"/>
        <v>0</v>
      </c>
      <c r="BW480" s="638"/>
      <c r="BX480" s="638"/>
      <c r="BY480" s="641">
        <f t="shared" si="206"/>
        <v>0</v>
      </c>
    </row>
    <row r="481" spans="1:77" x14ac:dyDescent="0.2">
      <c r="A481" s="377" t="s">
        <v>78</v>
      </c>
      <c r="B481" s="378" t="s">
        <v>662</v>
      </c>
      <c r="C481" s="379"/>
      <c r="D481" s="380">
        <v>219879</v>
      </c>
      <c r="E481" s="381">
        <v>9</v>
      </c>
      <c r="F481" s="631">
        <v>5</v>
      </c>
      <c r="G481" s="632">
        <v>56745.599999999999</v>
      </c>
      <c r="H481" s="633">
        <f t="shared" si="183"/>
        <v>283728</v>
      </c>
      <c r="I481" s="634">
        <v>5</v>
      </c>
      <c r="J481" s="634">
        <v>59635.199999999997</v>
      </c>
      <c r="K481" s="635">
        <f t="shared" si="184"/>
        <v>298176</v>
      </c>
      <c r="L481" s="636">
        <v>31</v>
      </c>
      <c r="M481" s="636">
        <v>47876.838709677417</v>
      </c>
      <c r="N481" s="637">
        <f t="shared" si="185"/>
        <v>1484182</v>
      </c>
      <c r="O481" s="638">
        <v>29</v>
      </c>
      <c r="P481" s="638">
        <v>48309.517241379312</v>
      </c>
      <c r="Q481" s="635">
        <f t="shared" si="186"/>
        <v>1400976</v>
      </c>
      <c r="R481" s="636">
        <v>14</v>
      </c>
      <c r="S481" s="636">
        <v>36373.714285714283</v>
      </c>
      <c r="T481" s="637">
        <f t="shared" si="187"/>
        <v>509231.99999999994</v>
      </c>
      <c r="U481" s="638">
        <v>13</v>
      </c>
      <c r="V481" s="638">
        <v>37989.230769230766</v>
      </c>
      <c r="W481" s="635">
        <f t="shared" si="188"/>
        <v>493859.99999999994</v>
      </c>
      <c r="X481" s="636">
        <v>18</v>
      </c>
      <c r="Y481" s="636">
        <v>36252.777777777781</v>
      </c>
      <c r="Z481" s="637">
        <f t="shared" si="189"/>
        <v>652550</v>
      </c>
      <c r="AA481" s="638">
        <v>19</v>
      </c>
      <c r="AB481" s="638">
        <v>36528.315789473687</v>
      </c>
      <c r="AC481" s="635">
        <f t="shared" si="190"/>
        <v>694038</v>
      </c>
      <c r="AD481" s="636"/>
      <c r="AE481" s="636"/>
      <c r="AF481" s="637">
        <f t="shared" si="191"/>
        <v>0</v>
      </c>
      <c r="AG481" s="638">
        <v>0</v>
      </c>
      <c r="AH481" s="638">
        <v>0</v>
      </c>
      <c r="AI481" s="635">
        <f t="shared" si="192"/>
        <v>0</v>
      </c>
      <c r="AJ481" s="636"/>
      <c r="AK481" s="636"/>
      <c r="AL481" s="637">
        <f t="shared" si="193"/>
        <v>0</v>
      </c>
      <c r="AM481" s="638"/>
      <c r="AN481" s="638"/>
      <c r="AO481" s="640">
        <f t="shared" si="194"/>
        <v>0</v>
      </c>
      <c r="AP481" s="636">
        <v>0</v>
      </c>
      <c r="AQ481" s="636"/>
      <c r="AR481" s="637">
        <f t="shared" si="195"/>
        <v>0</v>
      </c>
      <c r="AS481" s="638">
        <v>0</v>
      </c>
      <c r="AT481" s="638"/>
      <c r="AU481" s="635">
        <f t="shared" si="196"/>
        <v>0</v>
      </c>
      <c r="AV481" s="636">
        <v>1</v>
      </c>
      <c r="AW481" s="636">
        <v>70156</v>
      </c>
      <c r="AX481" s="637">
        <f t="shared" si="197"/>
        <v>57401.639200000005</v>
      </c>
      <c r="AY481" s="638">
        <v>1</v>
      </c>
      <c r="AZ481" s="638">
        <v>73716</v>
      </c>
      <c r="BA481" s="635">
        <f t="shared" si="198"/>
        <v>60314.431200000006</v>
      </c>
      <c r="BB481" s="636">
        <v>1</v>
      </c>
      <c r="BC481" s="636">
        <v>42092</v>
      </c>
      <c r="BD481" s="637">
        <f t="shared" si="199"/>
        <v>34439.674400000004</v>
      </c>
      <c r="BE481" s="638">
        <v>2</v>
      </c>
      <c r="BF481" s="638">
        <v>47184</v>
      </c>
      <c r="BG481" s="635">
        <f t="shared" si="200"/>
        <v>77211.897599999997</v>
      </c>
      <c r="BH481" s="636">
        <v>2</v>
      </c>
      <c r="BI481" s="636">
        <v>44168</v>
      </c>
      <c r="BJ481" s="637">
        <f t="shared" si="201"/>
        <v>72276.515200000009</v>
      </c>
      <c r="BK481" s="638">
        <v>1</v>
      </c>
      <c r="BL481" s="638">
        <v>43212</v>
      </c>
      <c r="BM481" s="635">
        <f t="shared" si="202"/>
        <v>35356.058400000002</v>
      </c>
      <c r="BN481" s="636">
        <v>0</v>
      </c>
      <c r="BO481" s="636"/>
      <c r="BP481" s="637">
        <f t="shared" si="203"/>
        <v>0</v>
      </c>
      <c r="BQ481" s="638"/>
      <c r="BR481" s="638"/>
      <c r="BS481" s="635">
        <f t="shared" si="204"/>
        <v>0</v>
      </c>
      <c r="BT481" s="636"/>
      <c r="BU481" s="636"/>
      <c r="BV481" s="637">
        <f t="shared" si="205"/>
        <v>0</v>
      </c>
      <c r="BW481" s="638"/>
      <c r="BX481" s="638"/>
      <c r="BY481" s="641">
        <f t="shared" si="206"/>
        <v>0</v>
      </c>
    </row>
    <row r="482" spans="1:77" x14ac:dyDescent="0.2">
      <c r="A482" s="377" t="s">
        <v>78</v>
      </c>
      <c r="B482" s="378" t="s">
        <v>663</v>
      </c>
      <c r="C482" s="379"/>
      <c r="D482" s="380">
        <v>219888</v>
      </c>
      <c r="E482" s="381">
        <v>9</v>
      </c>
      <c r="F482" s="631">
        <v>12</v>
      </c>
      <c r="G482" s="632">
        <v>68074.166666666672</v>
      </c>
      <c r="H482" s="633">
        <f t="shared" si="183"/>
        <v>816890</v>
      </c>
      <c r="I482" s="634">
        <v>12</v>
      </c>
      <c r="J482" s="634">
        <v>68141.666666666672</v>
      </c>
      <c r="K482" s="635">
        <f t="shared" si="184"/>
        <v>817700</v>
      </c>
      <c r="L482" s="636">
        <v>31</v>
      </c>
      <c r="M482" s="636">
        <v>51918.709677419356</v>
      </c>
      <c r="N482" s="637">
        <f t="shared" si="185"/>
        <v>1609480</v>
      </c>
      <c r="O482" s="638">
        <v>34</v>
      </c>
      <c r="P482" s="638">
        <v>50027.352941176468</v>
      </c>
      <c r="Q482" s="635">
        <f t="shared" si="186"/>
        <v>1700930</v>
      </c>
      <c r="R482" s="636">
        <v>17</v>
      </c>
      <c r="S482" s="636">
        <v>41054.117647058825</v>
      </c>
      <c r="T482" s="637">
        <f t="shared" si="187"/>
        <v>697920</v>
      </c>
      <c r="U482" s="638">
        <v>21</v>
      </c>
      <c r="V482" s="638">
        <v>42567.095238095237</v>
      </c>
      <c r="W482" s="635">
        <f t="shared" si="188"/>
        <v>893909</v>
      </c>
      <c r="X482" s="636">
        <v>16</v>
      </c>
      <c r="Y482" s="636">
        <v>37459.375</v>
      </c>
      <c r="Z482" s="637">
        <f t="shared" si="189"/>
        <v>599350</v>
      </c>
      <c r="AA482" s="638">
        <v>18</v>
      </c>
      <c r="AB482" s="638">
        <v>37223.666666666664</v>
      </c>
      <c r="AC482" s="635">
        <f t="shared" si="190"/>
        <v>670026</v>
      </c>
      <c r="AD482" s="636">
        <v>6</v>
      </c>
      <c r="AE482" s="636">
        <v>38756.666666666664</v>
      </c>
      <c r="AF482" s="637">
        <f t="shared" si="191"/>
        <v>232540</v>
      </c>
      <c r="AG482" s="638">
        <v>0</v>
      </c>
      <c r="AH482" s="638">
        <v>0</v>
      </c>
      <c r="AI482" s="635">
        <f t="shared" si="192"/>
        <v>0</v>
      </c>
      <c r="AJ482" s="636"/>
      <c r="AK482" s="636"/>
      <c r="AL482" s="637">
        <f t="shared" si="193"/>
        <v>0</v>
      </c>
      <c r="AM482" s="638"/>
      <c r="AN482" s="638"/>
      <c r="AO482" s="640">
        <f t="shared" si="194"/>
        <v>0</v>
      </c>
      <c r="AP482" s="636">
        <v>0</v>
      </c>
      <c r="AQ482" s="636"/>
      <c r="AR482" s="637">
        <f t="shared" si="195"/>
        <v>0</v>
      </c>
      <c r="AS482" s="638">
        <v>0</v>
      </c>
      <c r="AT482" s="638"/>
      <c r="AU482" s="635">
        <f t="shared" si="196"/>
        <v>0</v>
      </c>
      <c r="AV482" s="636">
        <v>5</v>
      </c>
      <c r="AW482" s="636">
        <v>72558</v>
      </c>
      <c r="AX482" s="637">
        <f t="shared" si="197"/>
        <v>296834.77799999999</v>
      </c>
      <c r="AY482" s="638">
        <v>6</v>
      </c>
      <c r="AZ482" s="638">
        <v>71275</v>
      </c>
      <c r="BA482" s="635">
        <f t="shared" si="198"/>
        <v>349903.23000000004</v>
      </c>
      <c r="BB482" s="636">
        <v>2</v>
      </c>
      <c r="BC482" s="636">
        <v>55935</v>
      </c>
      <c r="BD482" s="637">
        <f t="shared" si="199"/>
        <v>91532.034</v>
      </c>
      <c r="BE482" s="638">
        <v>3</v>
      </c>
      <c r="BF482" s="638">
        <v>61200</v>
      </c>
      <c r="BG482" s="635">
        <f t="shared" si="200"/>
        <v>150221.52000000002</v>
      </c>
      <c r="BH482" s="636">
        <v>3</v>
      </c>
      <c r="BI482" s="636">
        <v>47156.666666666664</v>
      </c>
      <c r="BJ482" s="637">
        <f t="shared" si="201"/>
        <v>115750.754</v>
      </c>
      <c r="BK482" s="638">
        <v>3</v>
      </c>
      <c r="BL482" s="638">
        <v>46460</v>
      </c>
      <c r="BM482" s="635">
        <f t="shared" si="202"/>
        <v>114040.716</v>
      </c>
      <c r="BN482" s="636">
        <v>1</v>
      </c>
      <c r="BO482" s="636">
        <v>45000</v>
      </c>
      <c r="BP482" s="637">
        <f t="shared" si="203"/>
        <v>36819</v>
      </c>
      <c r="BQ482" s="638"/>
      <c r="BR482" s="638"/>
      <c r="BS482" s="635">
        <f t="shared" si="204"/>
        <v>0</v>
      </c>
      <c r="BT482" s="636"/>
      <c r="BU482" s="636"/>
      <c r="BV482" s="637">
        <f t="shared" si="205"/>
        <v>0</v>
      </c>
      <c r="BW482" s="638"/>
      <c r="BX482" s="638"/>
      <c r="BY482" s="641">
        <f t="shared" si="206"/>
        <v>0</v>
      </c>
    </row>
    <row r="483" spans="1:77" x14ac:dyDescent="0.2">
      <c r="A483" s="377" t="s">
        <v>78</v>
      </c>
      <c r="B483" s="382" t="s">
        <v>671</v>
      </c>
      <c r="C483" s="433" t="s">
        <v>945</v>
      </c>
      <c r="D483" s="380">
        <v>220057</v>
      </c>
      <c r="E483" s="272">
        <v>9</v>
      </c>
      <c r="F483" s="631">
        <v>8</v>
      </c>
      <c r="G483" s="632">
        <v>54973.625</v>
      </c>
      <c r="H483" s="633">
        <f t="shared" si="183"/>
        <v>439789</v>
      </c>
      <c r="I483" s="634">
        <v>10</v>
      </c>
      <c r="J483" s="634">
        <v>57625.8</v>
      </c>
      <c r="K483" s="635">
        <f t="shared" si="184"/>
        <v>576258</v>
      </c>
      <c r="L483" s="636">
        <v>17</v>
      </c>
      <c r="M483" s="636">
        <v>47055.76470588235</v>
      </c>
      <c r="N483" s="637">
        <f t="shared" si="185"/>
        <v>799948</v>
      </c>
      <c r="O483" s="638">
        <v>16</v>
      </c>
      <c r="P483" s="638">
        <v>50811.125</v>
      </c>
      <c r="Q483" s="635">
        <f t="shared" si="186"/>
        <v>812978</v>
      </c>
      <c r="R483" s="636">
        <v>8</v>
      </c>
      <c r="S483" s="636">
        <v>41888.25</v>
      </c>
      <c r="T483" s="637">
        <f t="shared" si="187"/>
        <v>335106</v>
      </c>
      <c r="U483" s="638">
        <v>9</v>
      </c>
      <c r="V483" s="638">
        <v>48179.222222222219</v>
      </c>
      <c r="W483" s="635">
        <f t="shared" si="188"/>
        <v>433613</v>
      </c>
      <c r="X483" s="636">
        <v>13</v>
      </c>
      <c r="Y483" s="636">
        <v>42168.461538461539</v>
      </c>
      <c r="Z483" s="637">
        <f t="shared" si="189"/>
        <v>548190</v>
      </c>
      <c r="AA483" s="638">
        <v>16</v>
      </c>
      <c r="AB483" s="638">
        <v>45648.625</v>
      </c>
      <c r="AC483" s="635">
        <f t="shared" si="190"/>
        <v>730378</v>
      </c>
      <c r="AD483" s="636"/>
      <c r="AE483" s="636"/>
      <c r="AF483" s="637">
        <f t="shared" si="191"/>
        <v>0</v>
      </c>
      <c r="AG483" s="638">
        <v>0</v>
      </c>
      <c r="AH483" s="638">
        <v>0</v>
      </c>
      <c r="AI483" s="635">
        <f t="shared" si="192"/>
        <v>0</v>
      </c>
      <c r="AJ483" s="636"/>
      <c r="AK483" s="636"/>
      <c r="AL483" s="637">
        <f t="shared" si="193"/>
        <v>0</v>
      </c>
      <c r="AM483" s="638"/>
      <c r="AN483" s="638"/>
      <c r="AO483" s="640">
        <f t="shared" si="194"/>
        <v>0</v>
      </c>
      <c r="AP483" s="636">
        <v>1</v>
      </c>
      <c r="AQ483" s="636">
        <v>74313</v>
      </c>
      <c r="AR483" s="637">
        <f t="shared" si="195"/>
        <v>60802.8966</v>
      </c>
      <c r="AS483" s="638">
        <v>0</v>
      </c>
      <c r="AT483" s="638"/>
      <c r="AU483" s="635">
        <f t="shared" si="196"/>
        <v>0</v>
      </c>
      <c r="AV483" s="636">
        <v>4</v>
      </c>
      <c r="AW483" s="636">
        <v>61117</v>
      </c>
      <c r="AX483" s="637">
        <f t="shared" si="197"/>
        <v>200023.7176</v>
      </c>
      <c r="AY483" s="638">
        <v>3</v>
      </c>
      <c r="AZ483" s="638">
        <v>61488.666666666664</v>
      </c>
      <c r="BA483" s="635">
        <f t="shared" si="198"/>
        <v>150930.08120000002</v>
      </c>
      <c r="BB483" s="636">
        <v>0</v>
      </c>
      <c r="BC483" s="636"/>
      <c r="BD483" s="637">
        <f t="shared" si="199"/>
        <v>0</v>
      </c>
      <c r="BE483" s="638">
        <v>0</v>
      </c>
      <c r="BF483" s="638"/>
      <c r="BG483" s="635">
        <f t="shared" si="200"/>
        <v>0</v>
      </c>
      <c r="BH483" s="636">
        <v>2</v>
      </c>
      <c r="BI483" s="636">
        <v>49826.5</v>
      </c>
      <c r="BJ483" s="637">
        <f t="shared" si="201"/>
        <v>81536.084600000002</v>
      </c>
      <c r="BK483" s="638">
        <v>5</v>
      </c>
      <c r="BL483" s="638">
        <v>51454.8</v>
      </c>
      <c r="BM483" s="635">
        <f t="shared" si="202"/>
        <v>210501.58680000002</v>
      </c>
      <c r="BN483" s="636">
        <v>0</v>
      </c>
      <c r="BO483" s="636"/>
      <c r="BP483" s="637">
        <f t="shared" si="203"/>
        <v>0</v>
      </c>
      <c r="BQ483" s="638"/>
      <c r="BR483" s="638"/>
      <c r="BS483" s="635">
        <f t="shared" si="204"/>
        <v>0</v>
      </c>
      <c r="BT483" s="636"/>
      <c r="BU483" s="636"/>
      <c r="BV483" s="637">
        <f t="shared" si="205"/>
        <v>0</v>
      </c>
      <c r="BW483" s="638"/>
      <c r="BX483" s="638"/>
      <c r="BY483" s="641">
        <f t="shared" si="206"/>
        <v>0</v>
      </c>
    </row>
    <row r="484" spans="1:77" x14ac:dyDescent="0.2">
      <c r="A484" s="377" t="s">
        <v>78</v>
      </c>
      <c r="B484" s="378" t="s">
        <v>664</v>
      </c>
      <c r="C484" s="379"/>
      <c r="D484" s="380">
        <v>220400</v>
      </c>
      <c r="E484" s="381">
        <v>9</v>
      </c>
      <c r="F484" s="631">
        <v>8</v>
      </c>
      <c r="G484" s="632">
        <v>59114.875</v>
      </c>
      <c r="H484" s="633">
        <f t="shared" si="183"/>
        <v>472919</v>
      </c>
      <c r="I484" s="634">
        <v>11</v>
      </c>
      <c r="J484" s="634">
        <v>60192.36363636364</v>
      </c>
      <c r="K484" s="635">
        <f t="shared" si="184"/>
        <v>662116</v>
      </c>
      <c r="L484" s="636">
        <v>32</v>
      </c>
      <c r="M484" s="636">
        <v>49783.5</v>
      </c>
      <c r="N484" s="637">
        <f t="shared" si="185"/>
        <v>1593072</v>
      </c>
      <c r="O484" s="638">
        <v>42</v>
      </c>
      <c r="P484" s="638">
        <v>49756.095238095237</v>
      </c>
      <c r="Q484" s="635">
        <f t="shared" si="186"/>
        <v>2089756</v>
      </c>
      <c r="R484" s="636">
        <v>30</v>
      </c>
      <c r="S484" s="636">
        <v>42881.8</v>
      </c>
      <c r="T484" s="637">
        <f t="shared" si="187"/>
        <v>1286454</v>
      </c>
      <c r="U484" s="638">
        <v>19</v>
      </c>
      <c r="V484" s="638">
        <v>41018.105263157893</v>
      </c>
      <c r="W484" s="635">
        <f t="shared" si="188"/>
        <v>779344</v>
      </c>
      <c r="X484" s="636">
        <v>11</v>
      </c>
      <c r="Y484" s="636">
        <v>42476.63636363636</v>
      </c>
      <c r="Z484" s="637">
        <f t="shared" si="189"/>
        <v>467242.99999999994</v>
      </c>
      <c r="AA484" s="638">
        <v>8</v>
      </c>
      <c r="AB484" s="638">
        <v>38366.75</v>
      </c>
      <c r="AC484" s="635">
        <f t="shared" si="190"/>
        <v>306934</v>
      </c>
      <c r="AD484" s="636">
        <v>1</v>
      </c>
      <c r="AE484" s="636">
        <v>39434</v>
      </c>
      <c r="AF484" s="637">
        <f t="shared" si="191"/>
        <v>39434</v>
      </c>
      <c r="AG484" s="638">
        <v>0</v>
      </c>
      <c r="AH484" s="638">
        <v>0</v>
      </c>
      <c r="AI484" s="635">
        <f t="shared" si="192"/>
        <v>0</v>
      </c>
      <c r="AJ484" s="636"/>
      <c r="AK484" s="636"/>
      <c r="AL484" s="637">
        <f t="shared" si="193"/>
        <v>0</v>
      </c>
      <c r="AM484" s="638"/>
      <c r="AN484" s="638"/>
      <c r="AO484" s="640">
        <f t="shared" si="194"/>
        <v>0</v>
      </c>
      <c r="AP484" s="636">
        <v>1</v>
      </c>
      <c r="AQ484" s="636">
        <v>79567</v>
      </c>
      <c r="AR484" s="637">
        <f t="shared" si="195"/>
        <v>65101.719400000002</v>
      </c>
      <c r="AS484" s="638">
        <v>1</v>
      </c>
      <c r="AT484" s="638">
        <v>81954</v>
      </c>
      <c r="AU484" s="635">
        <f t="shared" si="196"/>
        <v>67054.762799999997</v>
      </c>
      <c r="AV484" s="636">
        <v>7</v>
      </c>
      <c r="AW484" s="636">
        <v>64925</v>
      </c>
      <c r="AX484" s="637">
        <f t="shared" si="197"/>
        <v>371851.44500000001</v>
      </c>
      <c r="AY484" s="638">
        <v>10</v>
      </c>
      <c r="AZ484" s="638">
        <v>65168.3</v>
      </c>
      <c r="BA484" s="635">
        <f t="shared" si="198"/>
        <v>533207.03060000006</v>
      </c>
      <c r="BB484" s="636">
        <v>5</v>
      </c>
      <c r="BC484" s="636">
        <v>52896.2</v>
      </c>
      <c r="BD484" s="637">
        <f t="shared" si="199"/>
        <v>216398.3542</v>
      </c>
      <c r="BE484" s="638">
        <v>1</v>
      </c>
      <c r="BF484" s="638">
        <v>51124</v>
      </c>
      <c r="BG484" s="635">
        <f t="shared" si="200"/>
        <v>41829.656800000004</v>
      </c>
      <c r="BH484" s="636">
        <v>1</v>
      </c>
      <c r="BI484" s="636">
        <v>47358</v>
      </c>
      <c r="BJ484" s="637">
        <f t="shared" si="201"/>
        <v>38748.315600000002</v>
      </c>
      <c r="BK484" s="638">
        <v>1</v>
      </c>
      <c r="BL484" s="638">
        <v>48779</v>
      </c>
      <c r="BM484" s="635">
        <f t="shared" si="202"/>
        <v>39910.977800000001</v>
      </c>
      <c r="BN484" s="636">
        <v>0</v>
      </c>
      <c r="BO484" s="636"/>
      <c r="BP484" s="637">
        <f t="shared" si="203"/>
        <v>0</v>
      </c>
      <c r="BQ484" s="638"/>
      <c r="BR484" s="638"/>
      <c r="BS484" s="635">
        <f t="shared" si="204"/>
        <v>0</v>
      </c>
      <c r="BT484" s="636"/>
      <c r="BU484" s="636"/>
      <c r="BV484" s="637">
        <f t="shared" si="205"/>
        <v>0</v>
      </c>
      <c r="BW484" s="638"/>
      <c r="BX484" s="638"/>
      <c r="BY484" s="641">
        <f t="shared" si="206"/>
        <v>0</v>
      </c>
    </row>
    <row r="485" spans="1:77" x14ac:dyDescent="0.2">
      <c r="A485" s="377" t="s">
        <v>78</v>
      </c>
      <c r="B485" s="378" t="s">
        <v>665</v>
      </c>
      <c r="C485" s="379"/>
      <c r="D485" s="380">
        <v>221096</v>
      </c>
      <c r="E485" s="381">
        <v>9</v>
      </c>
      <c r="F485" s="631">
        <v>11</v>
      </c>
      <c r="G485" s="632">
        <v>64407.545454545456</v>
      </c>
      <c r="H485" s="633">
        <f t="shared" si="183"/>
        <v>708483</v>
      </c>
      <c r="I485" s="634">
        <v>11</v>
      </c>
      <c r="J485" s="634">
        <v>66597.636363636368</v>
      </c>
      <c r="K485" s="635">
        <f t="shared" si="184"/>
        <v>732574</v>
      </c>
      <c r="L485" s="636">
        <v>20</v>
      </c>
      <c r="M485" s="636">
        <v>45613</v>
      </c>
      <c r="N485" s="637">
        <f t="shared" si="185"/>
        <v>912260</v>
      </c>
      <c r="O485" s="638">
        <v>19</v>
      </c>
      <c r="P485" s="638">
        <v>47884.684210526313</v>
      </c>
      <c r="Q485" s="635">
        <f t="shared" si="186"/>
        <v>909809</v>
      </c>
      <c r="R485" s="636">
        <v>18</v>
      </c>
      <c r="S485" s="636">
        <v>39067.222222222219</v>
      </c>
      <c r="T485" s="637">
        <f t="shared" si="187"/>
        <v>703210</v>
      </c>
      <c r="U485" s="638">
        <v>20</v>
      </c>
      <c r="V485" s="638">
        <v>42055.6</v>
      </c>
      <c r="W485" s="635">
        <f t="shared" si="188"/>
        <v>841112</v>
      </c>
      <c r="X485" s="636">
        <v>27</v>
      </c>
      <c r="Y485" s="636">
        <v>37017.666666666664</v>
      </c>
      <c r="Z485" s="637">
        <f t="shared" si="189"/>
        <v>999476.99999999988</v>
      </c>
      <c r="AA485" s="638">
        <v>30</v>
      </c>
      <c r="AB485" s="638">
        <v>38456.966666666667</v>
      </c>
      <c r="AC485" s="635">
        <f t="shared" si="190"/>
        <v>1153709</v>
      </c>
      <c r="AD485" s="636"/>
      <c r="AE485" s="636"/>
      <c r="AF485" s="637">
        <f t="shared" si="191"/>
        <v>0</v>
      </c>
      <c r="AG485" s="638">
        <v>0</v>
      </c>
      <c r="AH485" s="638">
        <v>0</v>
      </c>
      <c r="AI485" s="635">
        <f t="shared" si="192"/>
        <v>0</v>
      </c>
      <c r="AJ485" s="636"/>
      <c r="AK485" s="636"/>
      <c r="AL485" s="637">
        <f t="shared" si="193"/>
        <v>0</v>
      </c>
      <c r="AM485" s="638"/>
      <c r="AN485" s="638"/>
      <c r="AO485" s="640">
        <f t="shared" si="194"/>
        <v>0</v>
      </c>
      <c r="AP485" s="636">
        <v>0</v>
      </c>
      <c r="AQ485" s="636"/>
      <c r="AR485" s="637">
        <f t="shared" si="195"/>
        <v>0</v>
      </c>
      <c r="AS485" s="638">
        <v>0</v>
      </c>
      <c r="AT485" s="638"/>
      <c r="AU485" s="635">
        <f t="shared" si="196"/>
        <v>0</v>
      </c>
      <c r="AV485" s="636">
        <v>0</v>
      </c>
      <c r="AW485" s="636"/>
      <c r="AX485" s="637">
        <f t="shared" si="197"/>
        <v>0</v>
      </c>
      <c r="AY485" s="638">
        <v>0</v>
      </c>
      <c r="AZ485" s="638"/>
      <c r="BA485" s="635">
        <f t="shared" si="198"/>
        <v>0</v>
      </c>
      <c r="BB485" s="636">
        <v>0</v>
      </c>
      <c r="BC485" s="636"/>
      <c r="BD485" s="637">
        <f t="shared" si="199"/>
        <v>0</v>
      </c>
      <c r="BE485" s="638">
        <v>0</v>
      </c>
      <c r="BF485" s="638"/>
      <c r="BG485" s="635">
        <f t="shared" si="200"/>
        <v>0</v>
      </c>
      <c r="BH485" s="636">
        <v>0</v>
      </c>
      <c r="BI485" s="636"/>
      <c r="BJ485" s="637">
        <f t="shared" si="201"/>
        <v>0</v>
      </c>
      <c r="BK485" s="638">
        <v>1</v>
      </c>
      <c r="BL485" s="638">
        <v>57000</v>
      </c>
      <c r="BM485" s="635">
        <f t="shared" si="202"/>
        <v>46637.4</v>
      </c>
      <c r="BN485" s="636">
        <v>0</v>
      </c>
      <c r="BO485" s="636"/>
      <c r="BP485" s="637">
        <f t="shared" si="203"/>
        <v>0</v>
      </c>
      <c r="BQ485" s="638"/>
      <c r="BR485" s="638"/>
      <c r="BS485" s="635">
        <f t="shared" si="204"/>
        <v>0</v>
      </c>
      <c r="BT485" s="636"/>
      <c r="BU485" s="636"/>
      <c r="BV485" s="637">
        <f t="shared" si="205"/>
        <v>0</v>
      </c>
      <c r="BW485" s="638"/>
      <c r="BX485" s="638"/>
      <c r="BY485" s="641">
        <f t="shared" si="206"/>
        <v>0</v>
      </c>
    </row>
    <row r="486" spans="1:77" x14ac:dyDescent="0.2">
      <c r="A486" s="377" t="s">
        <v>78</v>
      </c>
      <c r="B486" s="378" t="s">
        <v>667</v>
      </c>
      <c r="C486" s="379"/>
      <c r="D486" s="380">
        <v>221908</v>
      </c>
      <c r="E486" s="381">
        <v>9</v>
      </c>
      <c r="F486" s="631">
        <v>10</v>
      </c>
      <c r="G486" s="632">
        <v>51010.8</v>
      </c>
      <c r="H486" s="633">
        <f t="shared" si="183"/>
        <v>510108</v>
      </c>
      <c r="I486" s="634">
        <v>10</v>
      </c>
      <c r="J486" s="634">
        <v>52119.7</v>
      </c>
      <c r="K486" s="635">
        <f t="shared" si="184"/>
        <v>521197</v>
      </c>
      <c r="L486" s="636">
        <v>30</v>
      </c>
      <c r="M486" s="636">
        <v>45312.533333333333</v>
      </c>
      <c r="N486" s="637">
        <f t="shared" si="185"/>
        <v>1359376</v>
      </c>
      <c r="O486" s="638">
        <v>34</v>
      </c>
      <c r="P486" s="638">
        <v>45232.558823529413</v>
      </c>
      <c r="Q486" s="635">
        <f t="shared" si="186"/>
        <v>1537907</v>
      </c>
      <c r="R486" s="636">
        <v>33</v>
      </c>
      <c r="S486" s="636">
        <v>36780.454545454544</v>
      </c>
      <c r="T486" s="637">
        <f t="shared" si="187"/>
        <v>1213755</v>
      </c>
      <c r="U486" s="638">
        <v>28</v>
      </c>
      <c r="V486" s="638">
        <v>38566.607142857145</v>
      </c>
      <c r="W486" s="635">
        <f t="shared" si="188"/>
        <v>1079865</v>
      </c>
      <c r="X486" s="636">
        <v>27</v>
      </c>
      <c r="Y486" s="636">
        <v>36885.925925925927</v>
      </c>
      <c r="Z486" s="637">
        <f t="shared" si="189"/>
        <v>995920</v>
      </c>
      <c r="AA486" s="638">
        <v>31</v>
      </c>
      <c r="AB486" s="638">
        <v>38055.806451612902</v>
      </c>
      <c r="AC486" s="635">
        <f t="shared" si="190"/>
        <v>1179730</v>
      </c>
      <c r="AD486" s="636"/>
      <c r="AE486" s="636"/>
      <c r="AF486" s="637">
        <f t="shared" si="191"/>
        <v>0</v>
      </c>
      <c r="AG486" s="638">
        <v>0</v>
      </c>
      <c r="AH486" s="638">
        <v>0</v>
      </c>
      <c r="AI486" s="635">
        <f t="shared" si="192"/>
        <v>0</v>
      </c>
      <c r="AJ486" s="636"/>
      <c r="AK486" s="636"/>
      <c r="AL486" s="637">
        <f t="shared" si="193"/>
        <v>0</v>
      </c>
      <c r="AM486" s="638"/>
      <c r="AN486" s="638"/>
      <c r="AO486" s="640">
        <f t="shared" si="194"/>
        <v>0</v>
      </c>
      <c r="AP486" s="636">
        <v>2</v>
      </c>
      <c r="AQ486" s="636">
        <v>69285</v>
      </c>
      <c r="AR486" s="637">
        <f t="shared" si="195"/>
        <v>113377.974</v>
      </c>
      <c r="AS486" s="638">
        <v>2</v>
      </c>
      <c r="AT486" s="638">
        <v>71633</v>
      </c>
      <c r="AU486" s="635">
        <f t="shared" si="196"/>
        <v>117220.2412</v>
      </c>
      <c r="AV486" s="636">
        <v>5</v>
      </c>
      <c r="AW486" s="636">
        <v>68258.2</v>
      </c>
      <c r="AX486" s="637">
        <f t="shared" si="197"/>
        <v>279244.29620000004</v>
      </c>
      <c r="AY486" s="638">
        <v>9</v>
      </c>
      <c r="AZ486" s="638">
        <v>72328.666666666672</v>
      </c>
      <c r="BA486" s="635">
        <f t="shared" si="198"/>
        <v>532613.83559999999</v>
      </c>
      <c r="BB486" s="636">
        <v>3</v>
      </c>
      <c r="BC486" s="636">
        <v>72654.333333333328</v>
      </c>
      <c r="BD486" s="637">
        <f t="shared" si="199"/>
        <v>178337.3266</v>
      </c>
      <c r="BE486" s="638">
        <v>2</v>
      </c>
      <c r="BF486" s="638">
        <v>54452</v>
      </c>
      <c r="BG486" s="635">
        <f t="shared" si="200"/>
        <v>89105.252800000002</v>
      </c>
      <c r="BH486" s="636">
        <v>1</v>
      </c>
      <c r="BI486" s="636">
        <v>48527</v>
      </c>
      <c r="BJ486" s="637">
        <f t="shared" si="201"/>
        <v>39704.791400000002</v>
      </c>
      <c r="BK486" s="638">
        <v>4</v>
      </c>
      <c r="BL486" s="638">
        <v>37043.5</v>
      </c>
      <c r="BM486" s="635">
        <f t="shared" si="202"/>
        <v>121235.96680000001</v>
      </c>
      <c r="BN486" s="636">
        <v>0</v>
      </c>
      <c r="BO486" s="636"/>
      <c r="BP486" s="637">
        <f t="shared" si="203"/>
        <v>0</v>
      </c>
      <c r="BQ486" s="638"/>
      <c r="BR486" s="638"/>
      <c r="BS486" s="635">
        <f t="shared" si="204"/>
        <v>0</v>
      </c>
      <c r="BT486" s="636"/>
      <c r="BU486" s="636"/>
      <c r="BV486" s="637">
        <f t="shared" si="205"/>
        <v>0</v>
      </c>
      <c r="BW486" s="638"/>
      <c r="BX486" s="638"/>
      <c r="BY486" s="641">
        <f t="shared" si="206"/>
        <v>0</v>
      </c>
    </row>
    <row r="487" spans="1:77" x14ac:dyDescent="0.2">
      <c r="A487" s="377" t="s">
        <v>78</v>
      </c>
      <c r="B487" s="378" t="s">
        <v>668</v>
      </c>
      <c r="C487" s="379"/>
      <c r="D487" s="380">
        <v>221397</v>
      </c>
      <c r="E487" s="381">
        <v>9</v>
      </c>
      <c r="F487" s="631">
        <v>36</v>
      </c>
      <c r="G487" s="632">
        <v>58101.944444444445</v>
      </c>
      <c r="H487" s="633">
        <f t="shared" si="183"/>
        <v>2091670</v>
      </c>
      <c r="I487" s="634">
        <v>15</v>
      </c>
      <c r="J487" s="634">
        <v>58932.666666666664</v>
      </c>
      <c r="K487" s="635">
        <f t="shared" si="184"/>
        <v>883990</v>
      </c>
      <c r="L487" s="636">
        <v>104</v>
      </c>
      <c r="M487" s="636">
        <v>50676.923076923078</v>
      </c>
      <c r="N487" s="637">
        <f t="shared" si="185"/>
        <v>5270400</v>
      </c>
      <c r="O487" s="638">
        <v>66</v>
      </c>
      <c r="P487" s="638">
        <v>51251.772727272728</v>
      </c>
      <c r="Q487" s="635">
        <f t="shared" si="186"/>
        <v>3382617</v>
      </c>
      <c r="R487" s="636">
        <v>21</v>
      </c>
      <c r="S487" s="636">
        <v>41504.285714285717</v>
      </c>
      <c r="T487" s="637">
        <f t="shared" si="187"/>
        <v>871590.00000000012</v>
      </c>
      <c r="U487" s="638">
        <v>26</v>
      </c>
      <c r="V487" s="638">
        <v>44338</v>
      </c>
      <c r="W487" s="635">
        <f t="shared" si="188"/>
        <v>1152788</v>
      </c>
      <c r="X487" s="636">
        <v>28</v>
      </c>
      <c r="Y487" s="636">
        <v>31644.642857142859</v>
      </c>
      <c r="Z487" s="637">
        <f t="shared" si="189"/>
        <v>886050</v>
      </c>
      <c r="AA487" s="638">
        <v>5</v>
      </c>
      <c r="AB487" s="638">
        <v>41595.4</v>
      </c>
      <c r="AC487" s="635">
        <f t="shared" si="190"/>
        <v>207977</v>
      </c>
      <c r="AD487" s="636"/>
      <c r="AE487" s="636"/>
      <c r="AF487" s="637">
        <f t="shared" si="191"/>
        <v>0</v>
      </c>
      <c r="AG487" s="638">
        <v>0</v>
      </c>
      <c r="AH487" s="638">
        <v>0</v>
      </c>
      <c r="AI487" s="635">
        <f t="shared" si="192"/>
        <v>0</v>
      </c>
      <c r="AJ487" s="636"/>
      <c r="AK487" s="636"/>
      <c r="AL487" s="637">
        <f t="shared" si="193"/>
        <v>0</v>
      </c>
      <c r="AM487" s="638"/>
      <c r="AN487" s="638"/>
      <c r="AO487" s="640">
        <f t="shared" si="194"/>
        <v>0</v>
      </c>
      <c r="AP487" s="636">
        <v>4</v>
      </c>
      <c r="AQ487" s="636">
        <v>80985</v>
      </c>
      <c r="AR487" s="637">
        <f t="shared" si="195"/>
        <v>265047.70799999998</v>
      </c>
      <c r="AS487" s="638">
        <v>2</v>
      </c>
      <c r="AT487" s="638">
        <v>84649.5</v>
      </c>
      <c r="AU487" s="635">
        <f t="shared" si="196"/>
        <v>138520.4418</v>
      </c>
      <c r="AV487" s="636">
        <v>2</v>
      </c>
      <c r="AW487" s="636">
        <v>59335</v>
      </c>
      <c r="AX487" s="637">
        <f t="shared" si="197"/>
        <v>97095.794000000009</v>
      </c>
      <c r="AY487" s="638">
        <v>6</v>
      </c>
      <c r="AZ487" s="638">
        <v>64609.833333333336</v>
      </c>
      <c r="BA487" s="635">
        <f t="shared" si="198"/>
        <v>317182.59380000003</v>
      </c>
      <c r="BB487" s="636">
        <v>0</v>
      </c>
      <c r="BC487" s="636"/>
      <c r="BD487" s="637">
        <f t="shared" si="199"/>
        <v>0</v>
      </c>
      <c r="BE487" s="638">
        <v>5</v>
      </c>
      <c r="BF487" s="638">
        <v>51710.6</v>
      </c>
      <c r="BG487" s="635">
        <f t="shared" si="200"/>
        <v>211548.06460000001</v>
      </c>
      <c r="BH487" s="636">
        <v>0</v>
      </c>
      <c r="BI487" s="636"/>
      <c r="BJ487" s="637">
        <f t="shared" si="201"/>
        <v>0</v>
      </c>
      <c r="BK487" s="638">
        <v>1</v>
      </c>
      <c r="BL487" s="638">
        <v>53632</v>
      </c>
      <c r="BM487" s="635">
        <f t="shared" si="202"/>
        <v>43881.702400000002</v>
      </c>
      <c r="BN487" s="636">
        <v>0</v>
      </c>
      <c r="BO487" s="636"/>
      <c r="BP487" s="637">
        <f t="shared" si="203"/>
        <v>0</v>
      </c>
      <c r="BQ487" s="638"/>
      <c r="BR487" s="638"/>
      <c r="BS487" s="635">
        <f t="shared" si="204"/>
        <v>0</v>
      </c>
      <c r="BT487" s="636"/>
      <c r="BU487" s="636"/>
      <c r="BV487" s="637">
        <f t="shared" si="205"/>
        <v>0</v>
      </c>
      <c r="BW487" s="638"/>
      <c r="BX487" s="638"/>
      <c r="BY487" s="641">
        <f t="shared" si="206"/>
        <v>0</v>
      </c>
    </row>
    <row r="488" spans="1:77" x14ac:dyDescent="0.2">
      <c r="A488" s="377" t="s">
        <v>78</v>
      </c>
      <c r="B488" s="378" t="s">
        <v>670</v>
      </c>
      <c r="C488" s="379"/>
      <c r="D488" s="380">
        <v>222062</v>
      </c>
      <c r="E488" s="381">
        <v>9</v>
      </c>
      <c r="F488" s="631">
        <v>13</v>
      </c>
      <c r="G488" s="632">
        <v>60192.692307692305</v>
      </c>
      <c r="H488" s="633">
        <f t="shared" si="183"/>
        <v>782505</v>
      </c>
      <c r="I488" s="634">
        <v>14</v>
      </c>
      <c r="J488" s="634">
        <v>61557.928571428572</v>
      </c>
      <c r="K488" s="635">
        <f t="shared" si="184"/>
        <v>861811</v>
      </c>
      <c r="L488" s="636">
        <v>63</v>
      </c>
      <c r="M488" s="636">
        <v>50122.968253968254</v>
      </c>
      <c r="N488" s="637">
        <f t="shared" si="185"/>
        <v>3157747</v>
      </c>
      <c r="O488" s="638">
        <v>67</v>
      </c>
      <c r="P488" s="638">
        <v>50871.805970149253</v>
      </c>
      <c r="Q488" s="635">
        <f t="shared" si="186"/>
        <v>3408411</v>
      </c>
      <c r="R488" s="636">
        <v>30</v>
      </c>
      <c r="S488" s="636">
        <v>44621.366666666669</v>
      </c>
      <c r="T488" s="637">
        <f t="shared" si="187"/>
        <v>1338641</v>
      </c>
      <c r="U488" s="638">
        <v>27</v>
      </c>
      <c r="V488" s="638">
        <v>45834.407407407409</v>
      </c>
      <c r="W488" s="635">
        <f t="shared" si="188"/>
        <v>1237529</v>
      </c>
      <c r="X488" s="636">
        <v>19</v>
      </c>
      <c r="Y488" s="636">
        <v>36542.15789473684</v>
      </c>
      <c r="Z488" s="637">
        <f t="shared" si="189"/>
        <v>694301</v>
      </c>
      <c r="AA488" s="638">
        <v>17</v>
      </c>
      <c r="AB488" s="638">
        <v>37392.823529411762</v>
      </c>
      <c r="AC488" s="635">
        <f t="shared" si="190"/>
        <v>635678</v>
      </c>
      <c r="AD488" s="636"/>
      <c r="AE488" s="636"/>
      <c r="AF488" s="637">
        <f t="shared" si="191"/>
        <v>0</v>
      </c>
      <c r="AG488" s="638">
        <v>0</v>
      </c>
      <c r="AH488" s="638">
        <v>0</v>
      </c>
      <c r="AI488" s="635">
        <f t="shared" si="192"/>
        <v>0</v>
      </c>
      <c r="AJ488" s="636"/>
      <c r="AK488" s="636"/>
      <c r="AL488" s="637">
        <f t="shared" si="193"/>
        <v>0</v>
      </c>
      <c r="AM488" s="638"/>
      <c r="AN488" s="638"/>
      <c r="AO488" s="640">
        <f t="shared" si="194"/>
        <v>0</v>
      </c>
      <c r="AP488" s="636">
        <v>6</v>
      </c>
      <c r="AQ488" s="636">
        <v>81059.333333333328</v>
      </c>
      <c r="AR488" s="637">
        <f t="shared" si="195"/>
        <v>397936.4792</v>
      </c>
      <c r="AS488" s="638">
        <v>6</v>
      </c>
      <c r="AT488" s="638">
        <v>83491</v>
      </c>
      <c r="AU488" s="635">
        <f t="shared" si="196"/>
        <v>409874.0172</v>
      </c>
      <c r="AV488" s="636">
        <v>13</v>
      </c>
      <c r="AW488" s="636">
        <v>64530.692307692305</v>
      </c>
      <c r="AX488" s="637">
        <f t="shared" si="197"/>
        <v>686387.1618</v>
      </c>
      <c r="AY488" s="638">
        <v>14</v>
      </c>
      <c r="AZ488" s="638">
        <v>67577.071428571435</v>
      </c>
      <c r="BA488" s="635">
        <f t="shared" si="198"/>
        <v>774081.8378000001</v>
      </c>
      <c r="BB488" s="636">
        <v>6</v>
      </c>
      <c r="BC488" s="636">
        <v>58246.666666666664</v>
      </c>
      <c r="BD488" s="637">
        <f t="shared" si="199"/>
        <v>285944.53600000002</v>
      </c>
      <c r="BE488" s="638">
        <v>5</v>
      </c>
      <c r="BF488" s="638">
        <v>57370.8</v>
      </c>
      <c r="BG488" s="635">
        <f t="shared" si="200"/>
        <v>234703.94280000002</v>
      </c>
      <c r="BH488" s="636">
        <v>4</v>
      </c>
      <c r="BI488" s="636">
        <v>47725.25</v>
      </c>
      <c r="BJ488" s="637">
        <f t="shared" si="201"/>
        <v>156195.19820000001</v>
      </c>
      <c r="BK488" s="638">
        <v>5</v>
      </c>
      <c r="BL488" s="638">
        <v>48817</v>
      </c>
      <c r="BM488" s="635">
        <f t="shared" si="202"/>
        <v>199710.34700000001</v>
      </c>
      <c r="BN488" s="636">
        <v>0</v>
      </c>
      <c r="BO488" s="636"/>
      <c r="BP488" s="637">
        <f t="shared" si="203"/>
        <v>0</v>
      </c>
      <c r="BQ488" s="638"/>
      <c r="BR488" s="638"/>
      <c r="BS488" s="635">
        <f t="shared" si="204"/>
        <v>0</v>
      </c>
      <c r="BT488" s="636"/>
      <c r="BU488" s="636"/>
      <c r="BV488" s="637">
        <f t="shared" si="205"/>
        <v>0</v>
      </c>
      <c r="BW488" s="638"/>
      <c r="BX488" s="638"/>
      <c r="BY488" s="641">
        <f t="shared" si="206"/>
        <v>0</v>
      </c>
    </row>
    <row r="489" spans="1:77" x14ac:dyDescent="0.2">
      <c r="A489" s="377" t="s">
        <v>78</v>
      </c>
      <c r="B489" s="378" t="s">
        <v>672</v>
      </c>
      <c r="C489" s="379"/>
      <c r="D489" s="380">
        <v>219596</v>
      </c>
      <c r="E489" s="381">
        <v>13</v>
      </c>
      <c r="F489" s="631"/>
      <c r="G489" s="632"/>
      <c r="H489" s="633">
        <f t="shared" si="183"/>
        <v>0</v>
      </c>
      <c r="I489" s="634"/>
      <c r="J489" s="634"/>
      <c r="K489" s="635">
        <f t="shared" si="184"/>
        <v>0</v>
      </c>
      <c r="L489" s="636"/>
      <c r="M489" s="636"/>
      <c r="N489" s="637">
        <f t="shared" si="185"/>
        <v>0</v>
      </c>
      <c r="O489" s="638"/>
      <c r="P489" s="638"/>
      <c r="Q489" s="635">
        <f t="shared" si="186"/>
        <v>0</v>
      </c>
      <c r="R489" s="636"/>
      <c r="S489" s="636"/>
      <c r="T489" s="637">
        <f t="shared" si="187"/>
        <v>0</v>
      </c>
      <c r="U489" s="638"/>
      <c r="V489" s="638"/>
      <c r="W489" s="635">
        <f t="shared" si="188"/>
        <v>0</v>
      </c>
      <c r="X489" s="636"/>
      <c r="Y489" s="636"/>
      <c r="Z489" s="637">
        <f t="shared" si="189"/>
        <v>0</v>
      </c>
      <c r="AA489" s="638"/>
      <c r="AB489" s="638"/>
      <c r="AC489" s="635">
        <f t="shared" si="190"/>
        <v>0</v>
      </c>
      <c r="AD489" s="636"/>
      <c r="AE489" s="636"/>
      <c r="AF489" s="637">
        <f t="shared" si="191"/>
        <v>0</v>
      </c>
      <c r="AG489" s="638"/>
      <c r="AH489" s="638"/>
      <c r="AI489" s="635">
        <f t="shared" si="192"/>
        <v>0</v>
      </c>
      <c r="AJ489" s="636"/>
      <c r="AK489" s="636"/>
      <c r="AL489" s="637">
        <f t="shared" si="193"/>
        <v>0</v>
      </c>
      <c r="AM489" s="638"/>
      <c r="AN489" s="638"/>
      <c r="AO489" s="640">
        <f t="shared" si="194"/>
        <v>0</v>
      </c>
      <c r="AP489" s="636"/>
      <c r="AQ489" s="636"/>
      <c r="AR489" s="637">
        <f t="shared" si="195"/>
        <v>0</v>
      </c>
      <c r="AS489" s="638"/>
      <c r="AT489" s="638"/>
      <c r="AU489" s="635">
        <f t="shared" si="196"/>
        <v>0</v>
      </c>
      <c r="AV489" s="636"/>
      <c r="AW489" s="636"/>
      <c r="AX489" s="637">
        <f t="shared" si="197"/>
        <v>0</v>
      </c>
      <c r="AY489" s="638"/>
      <c r="AZ489" s="638"/>
      <c r="BA489" s="635">
        <f t="shared" si="198"/>
        <v>0</v>
      </c>
      <c r="BB489" s="636"/>
      <c r="BC489" s="636"/>
      <c r="BD489" s="637">
        <f t="shared" si="199"/>
        <v>0</v>
      </c>
      <c r="BE489" s="638"/>
      <c r="BF489" s="638"/>
      <c r="BG489" s="635">
        <f t="shared" si="200"/>
        <v>0</v>
      </c>
      <c r="BH489" s="636"/>
      <c r="BI489" s="636"/>
      <c r="BJ489" s="637">
        <f t="shared" si="201"/>
        <v>0</v>
      </c>
      <c r="BK489" s="638"/>
      <c r="BL489" s="638"/>
      <c r="BM489" s="635">
        <f t="shared" si="202"/>
        <v>0</v>
      </c>
      <c r="BN489" s="636"/>
      <c r="BO489" s="636"/>
      <c r="BP489" s="637">
        <f t="shared" si="203"/>
        <v>0</v>
      </c>
      <c r="BQ489" s="638"/>
      <c r="BR489" s="638"/>
      <c r="BS489" s="635">
        <f t="shared" si="204"/>
        <v>0</v>
      </c>
      <c r="BT489" s="636">
        <v>13</v>
      </c>
      <c r="BU489" s="636">
        <v>43593.923076923078</v>
      </c>
      <c r="BV489" s="637">
        <f t="shared" si="205"/>
        <v>463691.12220000004</v>
      </c>
      <c r="BW489" s="638">
        <v>12</v>
      </c>
      <c r="BX489" s="638">
        <v>44337.916666666664</v>
      </c>
      <c r="BY489" s="641">
        <f t="shared" si="206"/>
        <v>435327.40100000001</v>
      </c>
    </row>
    <row r="490" spans="1:77" x14ac:dyDescent="0.2">
      <c r="A490" s="377" t="s">
        <v>78</v>
      </c>
      <c r="B490" s="382" t="s">
        <v>673</v>
      </c>
      <c r="C490" s="383" t="s">
        <v>946</v>
      </c>
      <c r="D490" s="380" t="s">
        <v>674</v>
      </c>
      <c r="E490" s="381">
        <v>13</v>
      </c>
      <c r="F490" s="631"/>
      <c r="G490" s="632"/>
      <c r="H490" s="633">
        <f t="shared" si="183"/>
        <v>0</v>
      </c>
      <c r="I490" s="634"/>
      <c r="J490" s="634"/>
      <c r="K490" s="635">
        <f t="shared" si="184"/>
        <v>0</v>
      </c>
      <c r="L490" s="636"/>
      <c r="M490" s="636"/>
      <c r="N490" s="637">
        <f t="shared" si="185"/>
        <v>0</v>
      </c>
      <c r="O490" s="638"/>
      <c r="P490" s="638"/>
      <c r="Q490" s="635">
        <f t="shared" si="186"/>
        <v>0</v>
      </c>
      <c r="R490" s="636"/>
      <c r="S490" s="636"/>
      <c r="T490" s="637">
        <f t="shared" si="187"/>
        <v>0</v>
      </c>
      <c r="U490" s="638"/>
      <c r="V490" s="638"/>
      <c r="W490" s="635">
        <f t="shared" si="188"/>
        <v>0</v>
      </c>
      <c r="X490" s="636"/>
      <c r="Y490" s="636"/>
      <c r="Z490" s="637">
        <f t="shared" si="189"/>
        <v>0</v>
      </c>
      <c r="AA490" s="638"/>
      <c r="AB490" s="638"/>
      <c r="AC490" s="635">
        <f t="shared" si="190"/>
        <v>0</v>
      </c>
      <c r="AD490" s="636"/>
      <c r="AE490" s="636"/>
      <c r="AF490" s="637">
        <f t="shared" si="191"/>
        <v>0</v>
      </c>
      <c r="AG490" s="638"/>
      <c r="AH490" s="638"/>
      <c r="AI490" s="635">
        <f t="shared" si="192"/>
        <v>0</v>
      </c>
      <c r="AJ490" s="636"/>
      <c r="AK490" s="636"/>
      <c r="AL490" s="637">
        <f t="shared" si="193"/>
        <v>0</v>
      </c>
      <c r="AM490" s="638"/>
      <c r="AN490" s="638"/>
      <c r="AO490" s="640">
        <f t="shared" si="194"/>
        <v>0</v>
      </c>
      <c r="AP490" s="636"/>
      <c r="AQ490" s="636"/>
      <c r="AR490" s="637">
        <f t="shared" si="195"/>
        <v>0</v>
      </c>
      <c r="AS490" s="638"/>
      <c r="AT490" s="638"/>
      <c r="AU490" s="635">
        <f t="shared" si="196"/>
        <v>0</v>
      </c>
      <c r="AV490" s="636"/>
      <c r="AW490" s="636"/>
      <c r="AX490" s="637">
        <f t="shared" si="197"/>
        <v>0</v>
      </c>
      <c r="AY490" s="638"/>
      <c r="AZ490" s="638"/>
      <c r="BA490" s="635">
        <f t="shared" si="198"/>
        <v>0</v>
      </c>
      <c r="BB490" s="636"/>
      <c r="BC490" s="636"/>
      <c r="BD490" s="637">
        <f t="shared" si="199"/>
        <v>0</v>
      </c>
      <c r="BE490" s="638"/>
      <c r="BF490" s="638"/>
      <c r="BG490" s="635">
        <f t="shared" si="200"/>
        <v>0</v>
      </c>
      <c r="BH490" s="636"/>
      <c r="BI490" s="636"/>
      <c r="BJ490" s="637">
        <f t="shared" si="201"/>
        <v>0</v>
      </c>
      <c r="BK490" s="638"/>
      <c r="BL490" s="638"/>
      <c r="BM490" s="635">
        <f t="shared" si="202"/>
        <v>0</v>
      </c>
      <c r="BN490" s="636"/>
      <c r="BO490" s="636"/>
      <c r="BP490" s="637">
        <f t="shared" si="203"/>
        <v>0</v>
      </c>
      <c r="BQ490" s="638"/>
      <c r="BR490" s="638"/>
      <c r="BS490" s="635">
        <f t="shared" si="204"/>
        <v>0</v>
      </c>
      <c r="BT490" s="636">
        <v>40</v>
      </c>
      <c r="BU490" s="636">
        <v>47048.85</v>
      </c>
      <c r="BV490" s="637">
        <f t="shared" si="205"/>
        <v>1539814.7628000001</v>
      </c>
      <c r="BW490" s="638">
        <v>37</v>
      </c>
      <c r="BX490" s="638">
        <v>48975.891891891893</v>
      </c>
      <c r="BY490" s="641">
        <f t="shared" si="206"/>
        <v>1482666.7656</v>
      </c>
    </row>
    <row r="491" spans="1:77" x14ac:dyDescent="0.2">
      <c r="A491" s="377" t="s">
        <v>78</v>
      </c>
      <c r="B491" s="378" t="s">
        <v>675</v>
      </c>
      <c r="C491" s="379"/>
      <c r="D491" s="380">
        <v>219921</v>
      </c>
      <c r="E491" s="381">
        <v>13</v>
      </c>
      <c r="F491" s="631"/>
      <c r="G491" s="632"/>
      <c r="H491" s="633">
        <f t="shared" si="183"/>
        <v>0</v>
      </c>
      <c r="I491" s="634"/>
      <c r="J491" s="634"/>
      <c r="K491" s="635">
        <f t="shared" si="184"/>
        <v>0</v>
      </c>
      <c r="L491" s="636"/>
      <c r="M491" s="636"/>
      <c r="N491" s="637">
        <f t="shared" si="185"/>
        <v>0</v>
      </c>
      <c r="O491" s="638"/>
      <c r="P491" s="638"/>
      <c r="Q491" s="635">
        <f t="shared" si="186"/>
        <v>0</v>
      </c>
      <c r="R491" s="636"/>
      <c r="S491" s="636"/>
      <c r="T491" s="637">
        <f t="shared" si="187"/>
        <v>0</v>
      </c>
      <c r="U491" s="638"/>
      <c r="V491" s="638"/>
      <c r="W491" s="635">
        <f t="shared" si="188"/>
        <v>0</v>
      </c>
      <c r="X491" s="636"/>
      <c r="Y491" s="636"/>
      <c r="Z491" s="637">
        <f t="shared" si="189"/>
        <v>0</v>
      </c>
      <c r="AA491" s="638"/>
      <c r="AB491" s="638"/>
      <c r="AC491" s="635">
        <f t="shared" si="190"/>
        <v>0</v>
      </c>
      <c r="AD491" s="636"/>
      <c r="AE491" s="636"/>
      <c r="AF491" s="637">
        <f t="shared" si="191"/>
        <v>0</v>
      </c>
      <c r="AG491" s="638"/>
      <c r="AH491" s="638"/>
      <c r="AI491" s="635">
        <f t="shared" si="192"/>
        <v>0</v>
      </c>
      <c r="AJ491" s="636"/>
      <c r="AK491" s="636"/>
      <c r="AL491" s="637">
        <f t="shared" si="193"/>
        <v>0</v>
      </c>
      <c r="AM491" s="638"/>
      <c r="AN491" s="638"/>
      <c r="AO491" s="640">
        <f t="shared" si="194"/>
        <v>0</v>
      </c>
      <c r="AP491" s="636"/>
      <c r="AQ491" s="636"/>
      <c r="AR491" s="637">
        <f t="shared" si="195"/>
        <v>0</v>
      </c>
      <c r="AS491" s="638"/>
      <c r="AT491" s="638"/>
      <c r="AU491" s="635">
        <f t="shared" si="196"/>
        <v>0</v>
      </c>
      <c r="AV491" s="636"/>
      <c r="AW491" s="636"/>
      <c r="AX491" s="637">
        <f t="shared" si="197"/>
        <v>0</v>
      </c>
      <c r="AY491" s="638"/>
      <c r="AZ491" s="638"/>
      <c r="BA491" s="635">
        <f t="shared" si="198"/>
        <v>0</v>
      </c>
      <c r="BB491" s="636"/>
      <c r="BC491" s="636"/>
      <c r="BD491" s="637">
        <f t="shared" si="199"/>
        <v>0</v>
      </c>
      <c r="BE491" s="638"/>
      <c r="BF491" s="638"/>
      <c r="BG491" s="635">
        <f t="shared" si="200"/>
        <v>0</v>
      </c>
      <c r="BH491" s="636"/>
      <c r="BI491" s="636"/>
      <c r="BJ491" s="637">
        <f t="shared" si="201"/>
        <v>0</v>
      </c>
      <c r="BK491" s="638"/>
      <c r="BL491" s="638"/>
      <c r="BM491" s="635">
        <f t="shared" si="202"/>
        <v>0</v>
      </c>
      <c r="BN491" s="636"/>
      <c r="BO491" s="636"/>
      <c r="BP491" s="637">
        <f t="shared" si="203"/>
        <v>0</v>
      </c>
      <c r="BQ491" s="638"/>
      <c r="BR491" s="638"/>
      <c r="BS491" s="635">
        <f t="shared" si="204"/>
        <v>0</v>
      </c>
      <c r="BT491" s="636">
        <v>10</v>
      </c>
      <c r="BU491" s="636">
        <v>43731.3</v>
      </c>
      <c r="BV491" s="637">
        <f t="shared" si="205"/>
        <v>357809.49660000001</v>
      </c>
      <c r="BW491" s="638">
        <v>10</v>
      </c>
      <c r="BX491" s="638">
        <v>42931.3</v>
      </c>
      <c r="BY491" s="641">
        <f t="shared" si="206"/>
        <v>351263.89660000004</v>
      </c>
    </row>
    <row r="492" spans="1:77" x14ac:dyDescent="0.2">
      <c r="A492" s="377" t="s">
        <v>78</v>
      </c>
      <c r="B492" s="378" t="s">
        <v>676</v>
      </c>
      <c r="C492" s="379"/>
      <c r="D492" s="380">
        <v>221591</v>
      </c>
      <c r="E492" s="381">
        <v>13</v>
      </c>
      <c r="F492" s="631"/>
      <c r="G492" s="632"/>
      <c r="H492" s="633">
        <f t="shared" si="183"/>
        <v>0</v>
      </c>
      <c r="I492" s="634"/>
      <c r="J492" s="634"/>
      <c r="K492" s="635">
        <f t="shared" si="184"/>
        <v>0</v>
      </c>
      <c r="L492" s="636"/>
      <c r="M492" s="636"/>
      <c r="N492" s="637">
        <f t="shared" si="185"/>
        <v>0</v>
      </c>
      <c r="O492" s="638"/>
      <c r="P492" s="638"/>
      <c r="Q492" s="635">
        <f t="shared" si="186"/>
        <v>0</v>
      </c>
      <c r="R492" s="636"/>
      <c r="S492" s="636"/>
      <c r="T492" s="637">
        <f t="shared" si="187"/>
        <v>0</v>
      </c>
      <c r="U492" s="638"/>
      <c r="V492" s="638"/>
      <c r="W492" s="635">
        <f t="shared" si="188"/>
        <v>0</v>
      </c>
      <c r="X492" s="636"/>
      <c r="Y492" s="636"/>
      <c r="Z492" s="637">
        <f t="shared" si="189"/>
        <v>0</v>
      </c>
      <c r="AA492" s="638"/>
      <c r="AB492" s="638"/>
      <c r="AC492" s="635">
        <f t="shared" si="190"/>
        <v>0</v>
      </c>
      <c r="AD492" s="636"/>
      <c r="AE492" s="636"/>
      <c r="AF492" s="637">
        <f t="shared" si="191"/>
        <v>0</v>
      </c>
      <c r="AG492" s="638"/>
      <c r="AH492" s="638"/>
      <c r="AI492" s="635">
        <f t="shared" si="192"/>
        <v>0</v>
      </c>
      <c r="AJ492" s="636"/>
      <c r="AK492" s="636"/>
      <c r="AL492" s="637">
        <f t="shared" si="193"/>
        <v>0</v>
      </c>
      <c r="AM492" s="638"/>
      <c r="AN492" s="638"/>
      <c r="AO492" s="640">
        <f t="shared" si="194"/>
        <v>0</v>
      </c>
      <c r="AP492" s="636"/>
      <c r="AQ492" s="636"/>
      <c r="AR492" s="637">
        <f t="shared" si="195"/>
        <v>0</v>
      </c>
      <c r="AS492" s="638"/>
      <c r="AT492" s="638"/>
      <c r="AU492" s="635">
        <f t="shared" si="196"/>
        <v>0</v>
      </c>
      <c r="AV492" s="636"/>
      <c r="AW492" s="636"/>
      <c r="AX492" s="637">
        <f t="shared" si="197"/>
        <v>0</v>
      </c>
      <c r="AY492" s="638"/>
      <c r="AZ492" s="638"/>
      <c r="BA492" s="635">
        <f t="shared" si="198"/>
        <v>0</v>
      </c>
      <c r="BB492" s="636"/>
      <c r="BC492" s="636"/>
      <c r="BD492" s="637">
        <f t="shared" si="199"/>
        <v>0</v>
      </c>
      <c r="BE492" s="638"/>
      <c r="BF492" s="638"/>
      <c r="BG492" s="635">
        <f t="shared" si="200"/>
        <v>0</v>
      </c>
      <c r="BH492" s="636"/>
      <c r="BI492" s="636"/>
      <c r="BJ492" s="637">
        <f t="shared" si="201"/>
        <v>0</v>
      </c>
      <c r="BK492" s="638"/>
      <c r="BL492" s="638"/>
      <c r="BM492" s="635">
        <f t="shared" si="202"/>
        <v>0</v>
      </c>
      <c r="BN492" s="636"/>
      <c r="BO492" s="636"/>
      <c r="BP492" s="637">
        <f t="shared" si="203"/>
        <v>0</v>
      </c>
      <c r="BQ492" s="638"/>
      <c r="BR492" s="638"/>
      <c r="BS492" s="635">
        <f t="shared" si="204"/>
        <v>0</v>
      </c>
      <c r="BT492" s="636">
        <v>18</v>
      </c>
      <c r="BU492" s="636">
        <v>43940.111111111109</v>
      </c>
      <c r="BV492" s="637">
        <f t="shared" si="205"/>
        <v>647132.38040000002</v>
      </c>
      <c r="BW492" s="638">
        <v>17</v>
      </c>
      <c r="BX492" s="638">
        <v>45818.117647058825</v>
      </c>
      <c r="BY492" s="641">
        <f t="shared" si="206"/>
        <v>637302.52560000005</v>
      </c>
    </row>
    <row r="493" spans="1:77" x14ac:dyDescent="0.2">
      <c r="A493" s="377" t="s">
        <v>78</v>
      </c>
      <c r="B493" s="378" t="s">
        <v>677</v>
      </c>
      <c r="C493" s="379"/>
      <c r="D493" s="380">
        <v>221430</v>
      </c>
      <c r="E493" s="381">
        <v>13</v>
      </c>
      <c r="F493" s="631"/>
      <c r="G493" s="632"/>
      <c r="H493" s="633">
        <f t="shared" si="183"/>
        <v>0</v>
      </c>
      <c r="I493" s="634"/>
      <c r="J493" s="634"/>
      <c r="K493" s="635">
        <f t="shared" si="184"/>
        <v>0</v>
      </c>
      <c r="L493" s="636"/>
      <c r="M493" s="636"/>
      <c r="N493" s="637">
        <f t="shared" si="185"/>
        <v>0</v>
      </c>
      <c r="O493" s="638"/>
      <c r="P493" s="638"/>
      <c r="Q493" s="635">
        <f t="shared" si="186"/>
        <v>0</v>
      </c>
      <c r="R493" s="636"/>
      <c r="S493" s="636"/>
      <c r="T493" s="637">
        <f t="shared" si="187"/>
        <v>0</v>
      </c>
      <c r="U493" s="638"/>
      <c r="V493" s="638"/>
      <c r="W493" s="635">
        <f t="shared" si="188"/>
        <v>0</v>
      </c>
      <c r="X493" s="636"/>
      <c r="Y493" s="636"/>
      <c r="Z493" s="637">
        <f t="shared" si="189"/>
        <v>0</v>
      </c>
      <c r="AA493" s="638"/>
      <c r="AB493" s="638"/>
      <c r="AC493" s="635">
        <f t="shared" si="190"/>
        <v>0</v>
      </c>
      <c r="AD493" s="636"/>
      <c r="AE493" s="636"/>
      <c r="AF493" s="637">
        <f t="shared" si="191"/>
        <v>0</v>
      </c>
      <c r="AG493" s="638"/>
      <c r="AH493" s="638"/>
      <c r="AI493" s="635">
        <f t="shared" si="192"/>
        <v>0</v>
      </c>
      <c r="AJ493" s="636"/>
      <c r="AK493" s="636"/>
      <c r="AL493" s="637">
        <f t="shared" si="193"/>
        <v>0</v>
      </c>
      <c r="AM493" s="638"/>
      <c r="AN493" s="638"/>
      <c r="AO493" s="640">
        <f t="shared" si="194"/>
        <v>0</v>
      </c>
      <c r="AP493" s="636"/>
      <c r="AQ493" s="636"/>
      <c r="AR493" s="637">
        <f t="shared" si="195"/>
        <v>0</v>
      </c>
      <c r="AS493" s="638"/>
      <c r="AT493" s="638"/>
      <c r="AU493" s="635">
        <f t="shared" si="196"/>
        <v>0</v>
      </c>
      <c r="AV493" s="636"/>
      <c r="AW493" s="636"/>
      <c r="AX493" s="637">
        <f t="shared" si="197"/>
        <v>0</v>
      </c>
      <c r="AY493" s="638"/>
      <c r="AZ493" s="638"/>
      <c r="BA493" s="635">
        <f t="shared" si="198"/>
        <v>0</v>
      </c>
      <c r="BB493" s="636"/>
      <c r="BC493" s="636"/>
      <c r="BD493" s="637">
        <f t="shared" si="199"/>
        <v>0</v>
      </c>
      <c r="BE493" s="638"/>
      <c r="BF493" s="638"/>
      <c r="BG493" s="635">
        <f t="shared" si="200"/>
        <v>0</v>
      </c>
      <c r="BH493" s="636"/>
      <c r="BI493" s="636"/>
      <c r="BJ493" s="637">
        <f t="shared" si="201"/>
        <v>0</v>
      </c>
      <c r="BK493" s="638"/>
      <c r="BL493" s="638"/>
      <c r="BM493" s="635">
        <f t="shared" si="202"/>
        <v>0</v>
      </c>
      <c r="BN493" s="636"/>
      <c r="BO493" s="636"/>
      <c r="BP493" s="637">
        <f t="shared" si="203"/>
        <v>0</v>
      </c>
      <c r="BQ493" s="638"/>
      <c r="BR493" s="638"/>
      <c r="BS493" s="635">
        <f t="shared" si="204"/>
        <v>0</v>
      </c>
      <c r="BT493" s="636">
        <v>13</v>
      </c>
      <c r="BU493" s="636">
        <v>46785.076923076922</v>
      </c>
      <c r="BV493" s="637">
        <f t="shared" si="205"/>
        <v>497634.14920000004</v>
      </c>
      <c r="BW493" s="638">
        <v>9</v>
      </c>
      <c r="BX493" s="638">
        <v>50073.333333333336</v>
      </c>
      <c r="BY493" s="641">
        <f t="shared" si="206"/>
        <v>368730.01200000005</v>
      </c>
    </row>
    <row r="494" spans="1:77" x14ac:dyDescent="0.2">
      <c r="A494" s="377" t="s">
        <v>78</v>
      </c>
      <c r="B494" s="378" t="s">
        <v>678</v>
      </c>
      <c r="C494" s="379"/>
      <c r="D494" s="380">
        <v>219994</v>
      </c>
      <c r="E494" s="381">
        <v>13</v>
      </c>
      <c r="F494" s="631"/>
      <c r="G494" s="632"/>
      <c r="H494" s="633">
        <f t="shared" si="183"/>
        <v>0</v>
      </c>
      <c r="I494" s="634"/>
      <c r="J494" s="634"/>
      <c r="K494" s="635">
        <f t="shared" si="184"/>
        <v>0</v>
      </c>
      <c r="L494" s="636"/>
      <c r="M494" s="636"/>
      <c r="N494" s="637">
        <f t="shared" si="185"/>
        <v>0</v>
      </c>
      <c r="O494" s="638"/>
      <c r="P494" s="638"/>
      <c r="Q494" s="635">
        <f t="shared" si="186"/>
        <v>0</v>
      </c>
      <c r="R494" s="636"/>
      <c r="S494" s="636"/>
      <c r="T494" s="637">
        <f t="shared" si="187"/>
        <v>0</v>
      </c>
      <c r="U494" s="638"/>
      <c r="V494" s="638"/>
      <c r="W494" s="635">
        <f t="shared" si="188"/>
        <v>0</v>
      </c>
      <c r="X494" s="636"/>
      <c r="Y494" s="636"/>
      <c r="Z494" s="637">
        <f t="shared" si="189"/>
        <v>0</v>
      </c>
      <c r="AA494" s="638"/>
      <c r="AB494" s="638"/>
      <c r="AC494" s="635">
        <f t="shared" si="190"/>
        <v>0</v>
      </c>
      <c r="AD494" s="636"/>
      <c r="AE494" s="636"/>
      <c r="AF494" s="637">
        <f t="shared" si="191"/>
        <v>0</v>
      </c>
      <c r="AG494" s="638"/>
      <c r="AH494" s="638"/>
      <c r="AI494" s="635">
        <f t="shared" si="192"/>
        <v>0</v>
      </c>
      <c r="AJ494" s="636"/>
      <c r="AK494" s="636"/>
      <c r="AL494" s="637">
        <f t="shared" si="193"/>
        <v>0</v>
      </c>
      <c r="AM494" s="638"/>
      <c r="AN494" s="638"/>
      <c r="AO494" s="640">
        <f t="shared" si="194"/>
        <v>0</v>
      </c>
      <c r="AP494" s="636"/>
      <c r="AQ494" s="636"/>
      <c r="AR494" s="637">
        <f t="shared" si="195"/>
        <v>0</v>
      </c>
      <c r="AS494" s="638"/>
      <c r="AT494" s="638"/>
      <c r="AU494" s="635">
        <f t="shared" si="196"/>
        <v>0</v>
      </c>
      <c r="AV494" s="636"/>
      <c r="AW494" s="636"/>
      <c r="AX494" s="637">
        <f t="shared" si="197"/>
        <v>0</v>
      </c>
      <c r="AY494" s="638"/>
      <c r="AZ494" s="638"/>
      <c r="BA494" s="635">
        <f t="shared" si="198"/>
        <v>0</v>
      </c>
      <c r="BB494" s="636"/>
      <c r="BC494" s="636"/>
      <c r="BD494" s="637">
        <f t="shared" si="199"/>
        <v>0</v>
      </c>
      <c r="BE494" s="638"/>
      <c r="BF494" s="638"/>
      <c r="BG494" s="635">
        <f t="shared" si="200"/>
        <v>0</v>
      </c>
      <c r="BH494" s="636"/>
      <c r="BI494" s="636"/>
      <c r="BJ494" s="637">
        <f t="shared" si="201"/>
        <v>0</v>
      </c>
      <c r="BK494" s="638"/>
      <c r="BL494" s="638"/>
      <c r="BM494" s="635">
        <f t="shared" si="202"/>
        <v>0</v>
      </c>
      <c r="BN494" s="636"/>
      <c r="BO494" s="636"/>
      <c r="BP494" s="637">
        <f t="shared" si="203"/>
        <v>0</v>
      </c>
      <c r="BQ494" s="638"/>
      <c r="BR494" s="638"/>
      <c r="BS494" s="635">
        <f t="shared" si="204"/>
        <v>0</v>
      </c>
      <c r="BT494" s="636">
        <v>29</v>
      </c>
      <c r="BU494" s="636">
        <v>44427.586206896551</v>
      </c>
      <c r="BV494" s="637">
        <f t="shared" si="205"/>
        <v>1054168.8800000001</v>
      </c>
      <c r="BW494" s="638">
        <v>14</v>
      </c>
      <c r="BX494" s="638">
        <v>50077.857142857145</v>
      </c>
      <c r="BY494" s="641">
        <f t="shared" si="206"/>
        <v>573631.83799999999</v>
      </c>
    </row>
    <row r="495" spans="1:77" x14ac:dyDescent="0.2">
      <c r="A495" s="377" t="s">
        <v>78</v>
      </c>
      <c r="B495" s="378" t="s">
        <v>679</v>
      </c>
      <c r="C495" s="379"/>
      <c r="D495" s="380">
        <v>220127</v>
      </c>
      <c r="E495" s="381">
        <v>13</v>
      </c>
      <c r="F495" s="631"/>
      <c r="G495" s="632"/>
      <c r="H495" s="633">
        <f t="shared" si="183"/>
        <v>0</v>
      </c>
      <c r="I495" s="634"/>
      <c r="J495" s="634"/>
      <c r="K495" s="635">
        <f t="shared" si="184"/>
        <v>0</v>
      </c>
      <c r="L495" s="636"/>
      <c r="M495" s="636"/>
      <c r="N495" s="637">
        <f t="shared" si="185"/>
        <v>0</v>
      </c>
      <c r="O495" s="638"/>
      <c r="P495" s="638"/>
      <c r="Q495" s="635">
        <f t="shared" si="186"/>
        <v>0</v>
      </c>
      <c r="R495" s="636"/>
      <c r="S495" s="636"/>
      <c r="T495" s="637">
        <f t="shared" si="187"/>
        <v>0</v>
      </c>
      <c r="U495" s="638"/>
      <c r="V495" s="638"/>
      <c r="W495" s="635">
        <f t="shared" si="188"/>
        <v>0</v>
      </c>
      <c r="X495" s="636"/>
      <c r="Y495" s="636"/>
      <c r="Z495" s="637">
        <f t="shared" si="189"/>
        <v>0</v>
      </c>
      <c r="AA495" s="638"/>
      <c r="AB495" s="638"/>
      <c r="AC495" s="635">
        <f t="shared" si="190"/>
        <v>0</v>
      </c>
      <c r="AD495" s="636"/>
      <c r="AE495" s="636"/>
      <c r="AF495" s="637">
        <f t="shared" si="191"/>
        <v>0</v>
      </c>
      <c r="AG495" s="638"/>
      <c r="AH495" s="638"/>
      <c r="AI495" s="635">
        <f t="shared" si="192"/>
        <v>0</v>
      </c>
      <c r="AJ495" s="636"/>
      <c r="AK495" s="636"/>
      <c r="AL495" s="637">
        <f t="shared" si="193"/>
        <v>0</v>
      </c>
      <c r="AM495" s="638"/>
      <c r="AN495" s="638"/>
      <c r="AO495" s="640">
        <f t="shared" si="194"/>
        <v>0</v>
      </c>
      <c r="AP495" s="636"/>
      <c r="AQ495" s="636"/>
      <c r="AR495" s="637">
        <f t="shared" si="195"/>
        <v>0</v>
      </c>
      <c r="AS495" s="638"/>
      <c r="AT495" s="638"/>
      <c r="AU495" s="635">
        <f t="shared" si="196"/>
        <v>0</v>
      </c>
      <c r="AV495" s="636"/>
      <c r="AW495" s="636"/>
      <c r="AX495" s="637">
        <f t="shared" si="197"/>
        <v>0</v>
      </c>
      <c r="AY495" s="638"/>
      <c r="AZ495" s="638"/>
      <c r="BA495" s="635">
        <f t="shared" si="198"/>
        <v>0</v>
      </c>
      <c r="BB495" s="636"/>
      <c r="BC495" s="636"/>
      <c r="BD495" s="637">
        <f t="shared" si="199"/>
        <v>0</v>
      </c>
      <c r="BE495" s="638"/>
      <c r="BF495" s="638"/>
      <c r="BG495" s="635">
        <f t="shared" si="200"/>
        <v>0</v>
      </c>
      <c r="BH495" s="636"/>
      <c r="BI495" s="636"/>
      <c r="BJ495" s="637">
        <f t="shared" si="201"/>
        <v>0</v>
      </c>
      <c r="BK495" s="638"/>
      <c r="BL495" s="638"/>
      <c r="BM495" s="635">
        <f t="shared" si="202"/>
        <v>0</v>
      </c>
      <c r="BN495" s="636"/>
      <c r="BO495" s="636"/>
      <c r="BP495" s="637">
        <f t="shared" si="203"/>
        <v>0</v>
      </c>
      <c r="BQ495" s="638"/>
      <c r="BR495" s="638"/>
      <c r="BS495" s="635">
        <f t="shared" si="204"/>
        <v>0</v>
      </c>
      <c r="BT495" s="636">
        <v>18</v>
      </c>
      <c r="BU495" s="636">
        <v>44983.944444444445</v>
      </c>
      <c r="BV495" s="637">
        <f t="shared" si="205"/>
        <v>662505.54020000005</v>
      </c>
      <c r="BW495" s="638">
        <v>17</v>
      </c>
      <c r="BX495" s="638">
        <v>47044.176470588238</v>
      </c>
      <c r="BY495" s="641">
        <f t="shared" si="206"/>
        <v>654356.26820000005</v>
      </c>
    </row>
    <row r="496" spans="1:77" x14ac:dyDescent="0.2">
      <c r="A496" s="377" t="s">
        <v>78</v>
      </c>
      <c r="B496" s="378" t="s">
        <v>680</v>
      </c>
      <c r="C496" s="379"/>
      <c r="D496" s="380">
        <v>220251</v>
      </c>
      <c r="E496" s="381">
        <v>13</v>
      </c>
      <c r="F496" s="631"/>
      <c r="G496" s="632"/>
      <c r="H496" s="633">
        <f t="shared" si="183"/>
        <v>0</v>
      </c>
      <c r="I496" s="634"/>
      <c r="J496" s="634"/>
      <c r="K496" s="635">
        <f t="shared" si="184"/>
        <v>0</v>
      </c>
      <c r="L496" s="636"/>
      <c r="M496" s="636"/>
      <c r="N496" s="637">
        <f t="shared" si="185"/>
        <v>0</v>
      </c>
      <c r="O496" s="638"/>
      <c r="P496" s="638"/>
      <c r="Q496" s="635">
        <f t="shared" si="186"/>
        <v>0</v>
      </c>
      <c r="R496" s="636"/>
      <c r="S496" s="636"/>
      <c r="T496" s="637">
        <f t="shared" si="187"/>
        <v>0</v>
      </c>
      <c r="U496" s="638"/>
      <c r="V496" s="638"/>
      <c r="W496" s="635">
        <f t="shared" si="188"/>
        <v>0</v>
      </c>
      <c r="X496" s="636"/>
      <c r="Y496" s="636"/>
      <c r="Z496" s="637">
        <f t="shared" si="189"/>
        <v>0</v>
      </c>
      <c r="AA496" s="638"/>
      <c r="AB496" s="638"/>
      <c r="AC496" s="635">
        <f t="shared" si="190"/>
        <v>0</v>
      </c>
      <c r="AD496" s="636"/>
      <c r="AE496" s="636"/>
      <c r="AF496" s="637">
        <f t="shared" si="191"/>
        <v>0</v>
      </c>
      <c r="AG496" s="638"/>
      <c r="AH496" s="638"/>
      <c r="AI496" s="635">
        <f t="shared" si="192"/>
        <v>0</v>
      </c>
      <c r="AJ496" s="636"/>
      <c r="AK496" s="636"/>
      <c r="AL496" s="637">
        <f t="shared" si="193"/>
        <v>0</v>
      </c>
      <c r="AM496" s="638"/>
      <c r="AN496" s="638"/>
      <c r="AO496" s="640">
        <f t="shared" si="194"/>
        <v>0</v>
      </c>
      <c r="AP496" s="636"/>
      <c r="AQ496" s="636"/>
      <c r="AR496" s="637">
        <f t="shared" si="195"/>
        <v>0</v>
      </c>
      <c r="AS496" s="638"/>
      <c r="AT496" s="638"/>
      <c r="AU496" s="635">
        <f t="shared" si="196"/>
        <v>0</v>
      </c>
      <c r="AV496" s="636"/>
      <c r="AW496" s="636"/>
      <c r="AX496" s="637">
        <f t="shared" si="197"/>
        <v>0</v>
      </c>
      <c r="AY496" s="638"/>
      <c r="AZ496" s="638"/>
      <c r="BA496" s="635">
        <f t="shared" si="198"/>
        <v>0</v>
      </c>
      <c r="BB496" s="636"/>
      <c r="BC496" s="636"/>
      <c r="BD496" s="637">
        <f t="shared" si="199"/>
        <v>0</v>
      </c>
      <c r="BE496" s="638"/>
      <c r="BF496" s="638"/>
      <c r="BG496" s="635">
        <f t="shared" si="200"/>
        <v>0</v>
      </c>
      <c r="BH496" s="636"/>
      <c r="BI496" s="636"/>
      <c r="BJ496" s="637">
        <f t="shared" si="201"/>
        <v>0</v>
      </c>
      <c r="BK496" s="638"/>
      <c r="BL496" s="638"/>
      <c r="BM496" s="635">
        <f t="shared" si="202"/>
        <v>0</v>
      </c>
      <c r="BN496" s="636"/>
      <c r="BO496" s="636"/>
      <c r="BP496" s="637">
        <f t="shared" si="203"/>
        <v>0</v>
      </c>
      <c r="BQ496" s="638"/>
      <c r="BR496" s="638"/>
      <c r="BS496" s="635">
        <f t="shared" si="204"/>
        <v>0</v>
      </c>
      <c r="BT496" s="636">
        <v>11</v>
      </c>
      <c r="BU496" s="636">
        <v>40455.818181818184</v>
      </c>
      <c r="BV496" s="637">
        <f t="shared" si="205"/>
        <v>364110.45480000001</v>
      </c>
      <c r="BW496" s="638">
        <v>12</v>
      </c>
      <c r="BX496" s="638">
        <v>42740.166666666664</v>
      </c>
      <c r="BY496" s="641">
        <f t="shared" si="206"/>
        <v>419640.05240000004</v>
      </c>
    </row>
    <row r="497" spans="1:102" x14ac:dyDescent="0.2">
      <c r="A497" s="377" t="s">
        <v>78</v>
      </c>
      <c r="B497" s="378" t="s">
        <v>681</v>
      </c>
      <c r="C497" s="379"/>
      <c r="D497" s="380">
        <v>220279</v>
      </c>
      <c r="E497" s="381">
        <v>13</v>
      </c>
      <c r="F497" s="631"/>
      <c r="G497" s="632"/>
      <c r="H497" s="633">
        <f t="shared" si="183"/>
        <v>0</v>
      </c>
      <c r="I497" s="634"/>
      <c r="J497" s="634"/>
      <c r="K497" s="635">
        <f t="shared" si="184"/>
        <v>0</v>
      </c>
      <c r="L497" s="636"/>
      <c r="M497" s="636"/>
      <c r="N497" s="637">
        <f t="shared" si="185"/>
        <v>0</v>
      </c>
      <c r="O497" s="638"/>
      <c r="P497" s="638"/>
      <c r="Q497" s="635">
        <f t="shared" si="186"/>
        <v>0</v>
      </c>
      <c r="R497" s="636"/>
      <c r="S497" s="636"/>
      <c r="T497" s="637">
        <f t="shared" si="187"/>
        <v>0</v>
      </c>
      <c r="U497" s="638"/>
      <c r="V497" s="638"/>
      <c r="W497" s="635">
        <f t="shared" si="188"/>
        <v>0</v>
      </c>
      <c r="X497" s="636"/>
      <c r="Y497" s="636"/>
      <c r="Z497" s="637">
        <f t="shared" si="189"/>
        <v>0</v>
      </c>
      <c r="AA497" s="638"/>
      <c r="AB497" s="638"/>
      <c r="AC497" s="635">
        <f t="shared" si="190"/>
        <v>0</v>
      </c>
      <c r="AD497" s="636"/>
      <c r="AE497" s="636"/>
      <c r="AF497" s="637">
        <f t="shared" si="191"/>
        <v>0</v>
      </c>
      <c r="AG497" s="638"/>
      <c r="AH497" s="638"/>
      <c r="AI497" s="635">
        <f t="shared" si="192"/>
        <v>0</v>
      </c>
      <c r="AJ497" s="636"/>
      <c r="AK497" s="636"/>
      <c r="AL497" s="637">
        <f t="shared" si="193"/>
        <v>0</v>
      </c>
      <c r="AM497" s="638"/>
      <c r="AN497" s="638"/>
      <c r="AO497" s="640">
        <f t="shared" si="194"/>
        <v>0</v>
      </c>
      <c r="AP497" s="636"/>
      <c r="AQ497" s="636"/>
      <c r="AR497" s="637">
        <f t="shared" si="195"/>
        <v>0</v>
      </c>
      <c r="AS497" s="638"/>
      <c r="AT497" s="638"/>
      <c r="AU497" s="635">
        <f t="shared" si="196"/>
        <v>0</v>
      </c>
      <c r="AV497" s="636"/>
      <c r="AW497" s="636"/>
      <c r="AX497" s="637">
        <f t="shared" si="197"/>
        <v>0</v>
      </c>
      <c r="AY497" s="638"/>
      <c r="AZ497" s="638"/>
      <c r="BA497" s="635">
        <f t="shared" si="198"/>
        <v>0</v>
      </c>
      <c r="BB497" s="636"/>
      <c r="BC497" s="636"/>
      <c r="BD497" s="637">
        <f t="shared" si="199"/>
        <v>0</v>
      </c>
      <c r="BE497" s="638"/>
      <c r="BF497" s="638"/>
      <c r="BG497" s="635">
        <f t="shared" si="200"/>
        <v>0</v>
      </c>
      <c r="BH497" s="636"/>
      <c r="BI497" s="636"/>
      <c r="BJ497" s="637">
        <f t="shared" si="201"/>
        <v>0</v>
      </c>
      <c r="BK497" s="638"/>
      <c r="BL497" s="638"/>
      <c r="BM497" s="635">
        <f t="shared" si="202"/>
        <v>0</v>
      </c>
      <c r="BN497" s="636"/>
      <c r="BO497" s="636"/>
      <c r="BP497" s="637">
        <f t="shared" si="203"/>
        <v>0</v>
      </c>
      <c r="BQ497" s="638"/>
      <c r="BR497" s="638"/>
      <c r="BS497" s="635">
        <f t="shared" si="204"/>
        <v>0</v>
      </c>
      <c r="BT497" s="636">
        <v>20</v>
      </c>
      <c r="BU497" s="636">
        <v>40410.300000000003</v>
      </c>
      <c r="BV497" s="637">
        <f t="shared" si="205"/>
        <v>661274.14919999999</v>
      </c>
      <c r="BW497" s="638">
        <v>19</v>
      </c>
      <c r="BX497" s="638">
        <v>41569.052631578947</v>
      </c>
      <c r="BY497" s="641">
        <f t="shared" si="206"/>
        <v>646224.17839999998</v>
      </c>
    </row>
    <row r="498" spans="1:102" x14ac:dyDescent="0.2">
      <c r="A498" s="377" t="s">
        <v>78</v>
      </c>
      <c r="B498" s="378" t="s">
        <v>682</v>
      </c>
      <c r="C498" s="379"/>
      <c r="D498" s="380">
        <v>220321</v>
      </c>
      <c r="E498" s="381">
        <v>13</v>
      </c>
      <c r="F498" s="631"/>
      <c r="G498" s="632"/>
      <c r="H498" s="633">
        <f t="shared" si="183"/>
        <v>0</v>
      </c>
      <c r="I498" s="634"/>
      <c r="J498" s="634"/>
      <c r="K498" s="635">
        <f t="shared" si="184"/>
        <v>0</v>
      </c>
      <c r="L498" s="636"/>
      <c r="M498" s="636"/>
      <c r="N498" s="637">
        <f t="shared" si="185"/>
        <v>0</v>
      </c>
      <c r="O498" s="638"/>
      <c r="P498" s="638"/>
      <c r="Q498" s="635">
        <f t="shared" si="186"/>
        <v>0</v>
      </c>
      <c r="R498" s="636"/>
      <c r="S498" s="636"/>
      <c r="T498" s="637">
        <f t="shared" si="187"/>
        <v>0</v>
      </c>
      <c r="U498" s="638"/>
      <c r="V498" s="638"/>
      <c r="W498" s="635">
        <f t="shared" si="188"/>
        <v>0</v>
      </c>
      <c r="X498" s="636"/>
      <c r="Y498" s="636"/>
      <c r="Z498" s="637">
        <f t="shared" si="189"/>
        <v>0</v>
      </c>
      <c r="AA498" s="638"/>
      <c r="AB498" s="638"/>
      <c r="AC498" s="635">
        <f t="shared" si="190"/>
        <v>0</v>
      </c>
      <c r="AD498" s="636"/>
      <c r="AE498" s="636"/>
      <c r="AF498" s="637">
        <f t="shared" si="191"/>
        <v>0</v>
      </c>
      <c r="AG498" s="638"/>
      <c r="AH498" s="638"/>
      <c r="AI498" s="635">
        <f t="shared" si="192"/>
        <v>0</v>
      </c>
      <c r="AJ498" s="636"/>
      <c r="AK498" s="636"/>
      <c r="AL498" s="637">
        <f t="shared" si="193"/>
        <v>0</v>
      </c>
      <c r="AM498" s="638"/>
      <c r="AN498" s="638"/>
      <c r="AO498" s="640">
        <f t="shared" si="194"/>
        <v>0</v>
      </c>
      <c r="AP498" s="636"/>
      <c r="AQ498" s="636"/>
      <c r="AR498" s="637">
        <f t="shared" si="195"/>
        <v>0</v>
      </c>
      <c r="AS498" s="638"/>
      <c r="AT498" s="638"/>
      <c r="AU498" s="635">
        <f t="shared" si="196"/>
        <v>0</v>
      </c>
      <c r="AV498" s="636"/>
      <c r="AW498" s="636"/>
      <c r="AX498" s="637">
        <f t="shared" si="197"/>
        <v>0</v>
      </c>
      <c r="AY498" s="638"/>
      <c r="AZ498" s="638"/>
      <c r="BA498" s="635">
        <f t="shared" si="198"/>
        <v>0</v>
      </c>
      <c r="BB498" s="636"/>
      <c r="BC498" s="636"/>
      <c r="BD498" s="637">
        <f t="shared" si="199"/>
        <v>0</v>
      </c>
      <c r="BE498" s="638"/>
      <c r="BF498" s="638"/>
      <c r="BG498" s="635">
        <f t="shared" si="200"/>
        <v>0</v>
      </c>
      <c r="BH498" s="636"/>
      <c r="BI498" s="636"/>
      <c r="BJ498" s="637">
        <f t="shared" si="201"/>
        <v>0</v>
      </c>
      <c r="BK498" s="638"/>
      <c r="BL498" s="638"/>
      <c r="BM498" s="635">
        <f t="shared" si="202"/>
        <v>0</v>
      </c>
      <c r="BN498" s="636"/>
      <c r="BO498" s="636"/>
      <c r="BP498" s="637">
        <f t="shared" si="203"/>
        <v>0</v>
      </c>
      <c r="BQ498" s="638"/>
      <c r="BR498" s="638"/>
      <c r="BS498" s="635">
        <f t="shared" si="204"/>
        <v>0</v>
      </c>
      <c r="BT498" s="636">
        <v>24</v>
      </c>
      <c r="BU498" s="636">
        <v>42642.041666666664</v>
      </c>
      <c r="BV498" s="637">
        <f t="shared" si="205"/>
        <v>837353.24380000005</v>
      </c>
      <c r="BW498" s="638">
        <v>22</v>
      </c>
      <c r="BX498" s="638">
        <v>44939.63636363636</v>
      </c>
      <c r="BY498" s="641">
        <f t="shared" si="206"/>
        <v>808931.43039999995</v>
      </c>
    </row>
    <row r="499" spans="1:102" x14ac:dyDescent="0.2">
      <c r="A499" s="377" t="s">
        <v>78</v>
      </c>
      <c r="B499" s="378" t="s">
        <v>683</v>
      </c>
      <c r="C499" s="379"/>
      <c r="D499" s="380">
        <v>220394</v>
      </c>
      <c r="E499" s="381">
        <v>13</v>
      </c>
      <c r="F499" s="631"/>
      <c r="G499" s="632"/>
      <c r="H499" s="633">
        <f t="shared" si="183"/>
        <v>0</v>
      </c>
      <c r="I499" s="634"/>
      <c r="J499" s="634"/>
      <c r="K499" s="635">
        <f t="shared" si="184"/>
        <v>0</v>
      </c>
      <c r="L499" s="636"/>
      <c r="M499" s="636"/>
      <c r="N499" s="637">
        <f t="shared" si="185"/>
        <v>0</v>
      </c>
      <c r="O499" s="638"/>
      <c r="P499" s="638"/>
      <c r="Q499" s="635">
        <f t="shared" si="186"/>
        <v>0</v>
      </c>
      <c r="R499" s="636"/>
      <c r="S499" s="636"/>
      <c r="T499" s="637">
        <f t="shared" si="187"/>
        <v>0</v>
      </c>
      <c r="U499" s="638"/>
      <c r="V499" s="638"/>
      <c r="W499" s="635">
        <f t="shared" si="188"/>
        <v>0</v>
      </c>
      <c r="X499" s="636"/>
      <c r="Y499" s="636"/>
      <c r="Z499" s="637">
        <f t="shared" si="189"/>
        <v>0</v>
      </c>
      <c r="AA499" s="638"/>
      <c r="AB499" s="638"/>
      <c r="AC499" s="635">
        <f t="shared" si="190"/>
        <v>0</v>
      </c>
      <c r="AD499" s="636"/>
      <c r="AE499" s="636"/>
      <c r="AF499" s="637">
        <f t="shared" si="191"/>
        <v>0</v>
      </c>
      <c r="AG499" s="638"/>
      <c r="AH499" s="638"/>
      <c r="AI499" s="635">
        <f t="shared" si="192"/>
        <v>0</v>
      </c>
      <c r="AJ499" s="636"/>
      <c r="AK499" s="636"/>
      <c r="AL499" s="637">
        <f t="shared" si="193"/>
        <v>0</v>
      </c>
      <c r="AM499" s="638"/>
      <c r="AN499" s="638"/>
      <c r="AO499" s="640">
        <f t="shared" si="194"/>
        <v>0</v>
      </c>
      <c r="AP499" s="636"/>
      <c r="AQ499" s="636"/>
      <c r="AR499" s="637">
        <f t="shared" si="195"/>
        <v>0</v>
      </c>
      <c r="AS499" s="638"/>
      <c r="AT499" s="638"/>
      <c r="AU499" s="635">
        <f t="shared" si="196"/>
        <v>0</v>
      </c>
      <c r="AV499" s="636"/>
      <c r="AW499" s="636"/>
      <c r="AX499" s="637">
        <f t="shared" si="197"/>
        <v>0</v>
      </c>
      <c r="AY499" s="638"/>
      <c r="AZ499" s="638"/>
      <c r="BA499" s="635">
        <f t="shared" si="198"/>
        <v>0</v>
      </c>
      <c r="BB499" s="636"/>
      <c r="BC499" s="636"/>
      <c r="BD499" s="637">
        <f t="shared" si="199"/>
        <v>0</v>
      </c>
      <c r="BE499" s="638"/>
      <c r="BF499" s="638"/>
      <c r="BG499" s="635">
        <f t="shared" si="200"/>
        <v>0</v>
      </c>
      <c r="BH499" s="636"/>
      <c r="BI499" s="636"/>
      <c r="BJ499" s="637">
        <f t="shared" si="201"/>
        <v>0</v>
      </c>
      <c r="BK499" s="638"/>
      <c r="BL499" s="638"/>
      <c r="BM499" s="635">
        <f t="shared" si="202"/>
        <v>0</v>
      </c>
      <c r="BN499" s="636"/>
      <c r="BO499" s="636"/>
      <c r="BP499" s="637">
        <f t="shared" si="203"/>
        <v>0</v>
      </c>
      <c r="BQ499" s="638"/>
      <c r="BR499" s="638"/>
      <c r="BS499" s="635">
        <f t="shared" si="204"/>
        <v>0</v>
      </c>
      <c r="BT499" s="636">
        <v>9</v>
      </c>
      <c r="BU499" s="636">
        <v>48926.111111111109</v>
      </c>
      <c r="BV499" s="637">
        <f t="shared" si="205"/>
        <v>360282.09700000001</v>
      </c>
      <c r="BW499" s="638">
        <v>9</v>
      </c>
      <c r="BX499" s="638">
        <v>50469.333333333336</v>
      </c>
      <c r="BY499" s="641">
        <f t="shared" si="206"/>
        <v>371646.07680000004</v>
      </c>
    </row>
    <row r="500" spans="1:102" x14ac:dyDescent="0.2">
      <c r="A500" s="377" t="s">
        <v>78</v>
      </c>
      <c r="B500" s="378" t="s">
        <v>684</v>
      </c>
      <c r="C500" s="379"/>
      <c r="D500" s="380">
        <v>221616</v>
      </c>
      <c r="E500" s="381">
        <v>13</v>
      </c>
      <c r="F500" s="631"/>
      <c r="G500" s="632"/>
      <c r="H500" s="633">
        <f t="shared" si="183"/>
        <v>0</v>
      </c>
      <c r="I500" s="634"/>
      <c r="J500" s="634"/>
      <c r="K500" s="635">
        <f t="shared" si="184"/>
        <v>0</v>
      </c>
      <c r="L500" s="636"/>
      <c r="M500" s="636"/>
      <c r="N500" s="637">
        <f t="shared" si="185"/>
        <v>0</v>
      </c>
      <c r="O500" s="638"/>
      <c r="P500" s="638"/>
      <c r="Q500" s="635">
        <f t="shared" si="186"/>
        <v>0</v>
      </c>
      <c r="R500" s="636"/>
      <c r="S500" s="636"/>
      <c r="T500" s="637">
        <f t="shared" si="187"/>
        <v>0</v>
      </c>
      <c r="U500" s="638"/>
      <c r="V500" s="638"/>
      <c r="W500" s="635">
        <f t="shared" si="188"/>
        <v>0</v>
      </c>
      <c r="X500" s="636"/>
      <c r="Y500" s="636"/>
      <c r="Z500" s="637">
        <f t="shared" si="189"/>
        <v>0</v>
      </c>
      <c r="AA500" s="638"/>
      <c r="AB500" s="638"/>
      <c r="AC500" s="635">
        <f t="shared" si="190"/>
        <v>0</v>
      </c>
      <c r="AD500" s="636"/>
      <c r="AE500" s="636"/>
      <c r="AF500" s="637">
        <f t="shared" si="191"/>
        <v>0</v>
      </c>
      <c r="AG500" s="638"/>
      <c r="AH500" s="638"/>
      <c r="AI500" s="635">
        <f t="shared" si="192"/>
        <v>0</v>
      </c>
      <c r="AJ500" s="636"/>
      <c r="AK500" s="636"/>
      <c r="AL500" s="637">
        <f t="shared" si="193"/>
        <v>0</v>
      </c>
      <c r="AM500" s="638"/>
      <c r="AN500" s="638"/>
      <c r="AO500" s="640">
        <f t="shared" si="194"/>
        <v>0</v>
      </c>
      <c r="AP500" s="636"/>
      <c r="AQ500" s="636"/>
      <c r="AR500" s="637">
        <f t="shared" si="195"/>
        <v>0</v>
      </c>
      <c r="AS500" s="638"/>
      <c r="AT500" s="638"/>
      <c r="AU500" s="635">
        <f t="shared" si="196"/>
        <v>0</v>
      </c>
      <c r="AV500" s="636"/>
      <c r="AW500" s="636"/>
      <c r="AX500" s="637">
        <f t="shared" si="197"/>
        <v>0</v>
      </c>
      <c r="AY500" s="638"/>
      <c r="AZ500" s="638"/>
      <c r="BA500" s="635">
        <f t="shared" si="198"/>
        <v>0</v>
      </c>
      <c r="BB500" s="636"/>
      <c r="BC500" s="636"/>
      <c r="BD500" s="637">
        <f t="shared" si="199"/>
        <v>0</v>
      </c>
      <c r="BE500" s="638"/>
      <c r="BF500" s="638"/>
      <c r="BG500" s="635">
        <f t="shared" si="200"/>
        <v>0</v>
      </c>
      <c r="BH500" s="636"/>
      <c r="BI500" s="636"/>
      <c r="BJ500" s="637">
        <f t="shared" si="201"/>
        <v>0</v>
      </c>
      <c r="BK500" s="638"/>
      <c r="BL500" s="638"/>
      <c r="BM500" s="635">
        <f t="shared" si="202"/>
        <v>0</v>
      </c>
      <c r="BN500" s="636"/>
      <c r="BO500" s="636"/>
      <c r="BP500" s="637">
        <f t="shared" si="203"/>
        <v>0</v>
      </c>
      <c r="BQ500" s="638"/>
      <c r="BR500" s="638"/>
      <c r="BS500" s="635">
        <f t="shared" si="204"/>
        <v>0</v>
      </c>
      <c r="BT500" s="636">
        <v>25</v>
      </c>
      <c r="BU500" s="636">
        <v>46710.68</v>
      </c>
      <c r="BV500" s="637">
        <f t="shared" si="205"/>
        <v>955466.95940000005</v>
      </c>
      <c r="BW500" s="638">
        <v>18</v>
      </c>
      <c r="BX500" s="638">
        <v>48310.833333333336</v>
      </c>
      <c r="BY500" s="641">
        <f t="shared" si="206"/>
        <v>711502.62900000007</v>
      </c>
    </row>
    <row r="501" spans="1:102" x14ac:dyDescent="0.2">
      <c r="A501" s="377" t="s">
        <v>78</v>
      </c>
      <c r="B501" s="378" t="s">
        <v>685</v>
      </c>
      <c r="C501" s="379"/>
      <c r="D501" s="380">
        <v>221625</v>
      </c>
      <c r="E501" s="381">
        <v>13</v>
      </c>
      <c r="F501" s="631"/>
      <c r="G501" s="632"/>
      <c r="H501" s="633">
        <f t="shared" si="183"/>
        <v>0</v>
      </c>
      <c r="I501" s="634"/>
      <c r="J501" s="634"/>
      <c r="K501" s="635">
        <f t="shared" si="184"/>
        <v>0</v>
      </c>
      <c r="L501" s="636"/>
      <c r="M501" s="636"/>
      <c r="N501" s="637">
        <f t="shared" si="185"/>
        <v>0</v>
      </c>
      <c r="O501" s="638"/>
      <c r="P501" s="638"/>
      <c r="Q501" s="635">
        <f t="shared" si="186"/>
        <v>0</v>
      </c>
      <c r="R501" s="636"/>
      <c r="S501" s="636"/>
      <c r="T501" s="637">
        <f t="shared" si="187"/>
        <v>0</v>
      </c>
      <c r="U501" s="638"/>
      <c r="V501" s="638"/>
      <c r="W501" s="635">
        <f t="shared" si="188"/>
        <v>0</v>
      </c>
      <c r="X501" s="636"/>
      <c r="Y501" s="636"/>
      <c r="Z501" s="637">
        <f t="shared" si="189"/>
        <v>0</v>
      </c>
      <c r="AA501" s="638"/>
      <c r="AB501" s="638"/>
      <c r="AC501" s="635">
        <f t="shared" si="190"/>
        <v>0</v>
      </c>
      <c r="AD501" s="636"/>
      <c r="AE501" s="636"/>
      <c r="AF501" s="637">
        <f t="shared" si="191"/>
        <v>0</v>
      </c>
      <c r="AG501" s="638"/>
      <c r="AH501" s="638"/>
      <c r="AI501" s="635">
        <f t="shared" si="192"/>
        <v>0</v>
      </c>
      <c r="AJ501" s="636"/>
      <c r="AK501" s="636"/>
      <c r="AL501" s="637">
        <f t="shared" si="193"/>
        <v>0</v>
      </c>
      <c r="AM501" s="638"/>
      <c r="AN501" s="638"/>
      <c r="AO501" s="640">
        <f t="shared" si="194"/>
        <v>0</v>
      </c>
      <c r="AP501" s="636"/>
      <c r="AQ501" s="636"/>
      <c r="AR501" s="637">
        <f t="shared" si="195"/>
        <v>0</v>
      </c>
      <c r="AS501" s="638"/>
      <c r="AT501" s="638"/>
      <c r="AU501" s="635">
        <f t="shared" si="196"/>
        <v>0</v>
      </c>
      <c r="AV501" s="636"/>
      <c r="AW501" s="636"/>
      <c r="AX501" s="637">
        <f t="shared" si="197"/>
        <v>0</v>
      </c>
      <c r="AY501" s="638"/>
      <c r="AZ501" s="638"/>
      <c r="BA501" s="635">
        <f t="shared" si="198"/>
        <v>0</v>
      </c>
      <c r="BB501" s="636"/>
      <c r="BC501" s="636"/>
      <c r="BD501" s="637">
        <f t="shared" si="199"/>
        <v>0</v>
      </c>
      <c r="BE501" s="638"/>
      <c r="BF501" s="638"/>
      <c r="BG501" s="635">
        <f t="shared" si="200"/>
        <v>0</v>
      </c>
      <c r="BH501" s="636"/>
      <c r="BI501" s="636"/>
      <c r="BJ501" s="637">
        <f t="shared" si="201"/>
        <v>0</v>
      </c>
      <c r="BK501" s="638"/>
      <c r="BL501" s="638"/>
      <c r="BM501" s="635">
        <f t="shared" si="202"/>
        <v>0</v>
      </c>
      <c r="BN501" s="636"/>
      <c r="BO501" s="636"/>
      <c r="BP501" s="637">
        <f t="shared" si="203"/>
        <v>0</v>
      </c>
      <c r="BQ501" s="638"/>
      <c r="BR501" s="638"/>
      <c r="BS501" s="635">
        <f t="shared" si="204"/>
        <v>0</v>
      </c>
      <c r="BT501" s="636">
        <v>31</v>
      </c>
      <c r="BU501" s="636">
        <v>45472.806451612902</v>
      </c>
      <c r="BV501" s="637">
        <f t="shared" si="205"/>
        <v>1153381.3574000001</v>
      </c>
      <c r="BW501" s="638">
        <v>25</v>
      </c>
      <c r="BX501" s="638">
        <v>46392.639999999999</v>
      </c>
      <c r="BY501" s="641">
        <f t="shared" si="206"/>
        <v>948961.45120000001</v>
      </c>
    </row>
    <row r="502" spans="1:102" x14ac:dyDescent="0.2">
      <c r="A502" s="377" t="s">
        <v>78</v>
      </c>
      <c r="B502" s="378" t="s">
        <v>686</v>
      </c>
      <c r="C502" s="379"/>
      <c r="D502" s="380">
        <v>220640</v>
      </c>
      <c r="E502" s="381">
        <v>13</v>
      </c>
      <c r="F502" s="631"/>
      <c r="G502" s="632"/>
      <c r="H502" s="633">
        <f t="shared" si="183"/>
        <v>0</v>
      </c>
      <c r="I502" s="634"/>
      <c r="J502" s="634"/>
      <c r="K502" s="635">
        <f t="shared" si="184"/>
        <v>0</v>
      </c>
      <c r="L502" s="636"/>
      <c r="M502" s="636"/>
      <c r="N502" s="637">
        <f t="shared" si="185"/>
        <v>0</v>
      </c>
      <c r="O502" s="638"/>
      <c r="P502" s="638"/>
      <c r="Q502" s="635">
        <f t="shared" si="186"/>
        <v>0</v>
      </c>
      <c r="R502" s="636"/>
      <c r="S502" s="636"/>
      <c r="T502" s="637">
        <f t="shared" si="187"/>
        <v>0</v>
      </c>
      <c r="U502" s="638"/>
      <c r="V502" s="638"/>
      <c r="W502" s="635">
        <f t="shared" si="188"/>
        <v>0</v>
      </c>
      <c r="X502" s="636"/>
      <c r="Y502" s="636"/>
      <c r="Z502" s="637">
        <f t="shared" si="189"/>
        <v>0</v>
      </c>
      <c r="AA502" s="638"/>
      <c r="AB502" s="638"/>
      <c r="AC502" s="635">
        <f t="shared" si="190"/>
        <v>0</v>
      </c>
      <c r="AD502" s="636"/>
      <c r="AE502" s="636"/>
      <c r="AF502" s="637">
        <f t="shared" si="191"/>
        <v>0</v>
      </c>
      <c r="AG502" s="638"/>
      <c r="AH502" s="638"/>
      <c r="AI502" s="635">
        <f t="shared" si="192"/>
        <v>0</v>
      </c>
      <c r="AJ502" s="636"/>
      <c r="AK502" s="636"/>
      <c r="AL502" s="637">
        <f t="shared" si="193"/>
        <v>0</v>
      </c>
      <c r="AM502" s="638"/>
      <c r="AN502" s="638"/>
      <c r="AO502" s="640">
        <f t="shared" si="194"/>
        <v>0</v>
      </c>
      <c r="AP502" s="636"/>
      <c r="AQ502" s="636"/>
      <c r="AR502" s="637">
        <f t="shared" si="195"/>
        <v>0</v>
      </c>
      <c r="AS502" s="638"/>
      <c r="AT502" s="638"/>
      <c r="AU502" s="635">
        <f t="shared" si="196"/>
        <v>0</v>
      </c>
      <c r="AV502" s="636"/>
      <c r="AW502" s="636"/>
      <c r="AX502" s="637">
        <f t="shared" si="197"/>
        <v>0</v>
      </c>
      <c r="AY502" s="638"/>
      <c r="AZ502" s="638"/>
      <c r="BA502" s="635">
        <f t="shared" si="198"/>
        <v>0</v>
      </c>
      <c r="BB502" s="636"/>
      <c r="BC502" s="636"/>
      <c r="BD502" s="637">
        <f t="shared" si="199"/>
        <v>0</v>
      </c>
      <c r="BE502" s="638"/>
      <c r="BF502" s="638"/>
      <c r="BG502" s="635">
        <f t="shared" si="200"/>
        <v>0</v>
      </c>
      <c r="BH502" s="636"/>
      <c r="BI502" s="636"/>
      <c r="BJ502" s="637">
        <f t="shared" si="201"/>
        <v>0</v>
      </c>
      <c r="BK502" s="638"/>
      <c r="BL502" s="638"/>
      <c r="BM502" s="635">
        <f t="shared" si="202"/>
        <v>0</v>
      </c>
      <c r="BN502" s="636"/>
      <c r="BO502" s="636"/>
      <c r="BP502" s="637">
        <f t="shared" si="203"/>
        <v>0</v>
      </c>
      <c r="BQ502" s="638"/>
      <c r="BR502" s="638"/>
      <c r="BS502" s="635">
        <f t="shared" si="204"/>
        <v>0</v>
      </c>
      <c r="BT502" s="636">
        <v>19</v>
      </c>
      <c r="BU502" s="636">
        <v>43994.15789473684</v>
      </c>
      <c r="BV502" s="637">
        <f t="shared" si="205"/>
        <v>683924.3798</v>
      </c>
      <c r="BW502" s="638">
        <v>16</v>
      </c>
      <c r="BX502" s="638">
        <v>45826.438125000001</v>
      </c>
      <c r="BY502" s="641">
        <f t="shared" si="206"/>
        <v>599923.06678200001</v>
      </c>
    </row>
    <row r="503" spans="1:102" x14ac:dyDescent="0.2">
      <c r="A503" s="377" t="s">
        <v>78</v>
      </c>
      <c r="B503" s="378" t="s">
        <v>687</v>
      </c>
      <c r="C503" s="379"/>
      <c r="D503" s="380">
        <v>220756</v>
      </c>
      <c r="E503" s="381">
        <v>13</v>
      </c>
      <c r="F503" s="631"/>
      <c r="G503" s="632"/>
      <c r="H503" s="633">
        <f t="shared" si="183"/>
        <v>0</v>
      </c>
      <c r="I503" s="634"/>
      <c r="J503" s="634"/>
      <c r="K503" s="635">
        <f t="shared" si="184"/>
        <v>0</v>
      </c>
      <c r="L503" s="636"/>
      <c r="M503" s="636"/>
      <c r="N503" s="637">
        <f t="shared" si="185"/>
        <v>0</v>
      </c>
      <c r="O503" s="638"/>
      <c r="P503" s="638"/>
      <c r="Q503" s="635">
        <f t="shared" si="186"/>
        <v>0</v>
      </c>
      <c r="R503" s="636"/>
      <c r="S503" s="636"/>
      <c r="T503" s="637">
        <f t="shared" si="187"/>
        <v>0</v>
      </c>
      <c r="U503" s="638"/>
      <c r="V503" s="638"/>
      <c r="W503" s="635">
        <f t="shared" si="188"/>
        <v>0</v>
      </c>
      <c r="X503" s="636"/>
      <c r="Y503" s="636"/>
      <c r="Z503" s="637">
        <f t="shared" si="189"/>
        <v>0</v>
      </c>
      <c r="AA503" s="638"/>
      <c r="AB503" s="638"/>
      <c r="AC503" s="635">
        <f t="shared" si="190"/>
        <v>0</v>
      </c>
      <c r="AD503" s="636"/>
      <c r="AE503" s="636"/>
      <c r="AF503" s="637">
        <f t="shared" si="191"/>
        <v>0</v>
      </c>
      <c r="AG503" s="638"/>
      <c r="AH503" s="638"/>
      <c r="AI503" s="635">
        <f t="shared" si="192"/>
        <v>0</v>
      </c>
      <c r="AJ503" s="636"/>
      <c r="AK503" s="636"/>
      <c r="AL503" s="637">
        <f t="shared" si="193"/>
        <v>0</v>
      </c>
      <c r="AM503" s="638"/>
      <c r="AN503" s="638"/>
      <c r="AO503" s="640">
        <f t="shared" si="194"/>
        <v>0</v>
      </c>
      <c r="AP503" s="636"/>
      <c r="AQ503" s="636"/>
      <c r="AR503" s="637">
        <f t="shared" si="195"/>
        <v>0</v>
      </c>
      <c r="AS503" s="638"/>
      <c r="AT503" s="638"/>
      <c r="AU503" s="635">
        <f t="shared" si="196"/>
        <v>0</v>
      </c>
      <c r="AV503" s="636"/>
      <c r="AW503" s="636"/>
      <c r="AX503" s="637">
        <f t="shared" si="197"/>
        <v>0</v>
      </c>
      <c r="AY503" s="638"/>
      <c r="AZ503" s="638"/>
      <c r="BA503" s="635">
        <f t="shared" si="198"/>
        <v>0</v>
      </c>
      <c r="BB503" s="636"/>
      <c r="BC503" s="636"/>
      <c r="BD503" s="637">
        <f t="shared" si="199"/>
        <v>0</v>
      </c>
      <c r="BE503" s="638"/>
      <c r="BF503" s="638"/>
      <c r="BG503" s="635">
        <f t="shared" si="200"/>
        <v>0</v>
      </c>
      <c r="BH503" s="636"/>
      <c r="BI503" s="636"/>
      <c r="BJ503" s="637">
        <f t="shared" si="201"/>
        <v>0</v>
      </c>
      <c r="BK503" s="638"/>
      <c r="BL503" s="638"/>
      <c r="BM503" s="635">
        <f t="shared" si="202"/>
        <v>0</v>
      </c>
      <c r="BN503" s="636"/>
      <c r="BO503" s="636"/>
      <c r="BP503" s="637">
        <f t="shared" si="203"/>
        <v>0</v>
      </c>
      <c r="BQ503" s="638"/>
      <c r="BR503" s="638"/>
      <c r="BS503" s="635">
        <f t="shared" si="204"/>
        <v>0</v>
      </c>
      <c r="BT503" s="636">
        <v>9</v>
      </c>
      <c r="BU503" s="636">
        <v>43708</v>
      </c>
      <c r="BV503" s="637">
        <f t="shared" si="205"/>
        <v>321856.97039999999</v>
      </c>
      <c r="BW503" s="638">
        <v>9</v>
      </c>
      <c r="BX503" s="638">
        <v>46011.888888888891</v>
      </c>
      <c r="BY503" s="641">
        <f t="shared" si="206"/>
        <v>338822.34740000003</v>
      </c>
    </row>
    <row r="504" spans="1:102" x14ac:dyDescent="0.2">
      <c r="A504" s="377" t="s">
        <v>78</v>
      </c>
      <c r="B504" s="378" t="s">
        <v>688</v>
      </c>
      <c r="C504" s="379"/>
      <c r="D504" s="380">
        <v>221607</v>
      </c>
      <c r="E504" s="381">
        <v>13</v>
      </c>
      <c r="F504" s="631"/>
      <c r="G504" s="632"/>
      <c r="H504" s="633">
        <f t="shared" si="183"/>
        <v>0</v>
      </c>
      <c r="I504" s="634"/>
      <c r="J504" s="634"/>
      <c r="K504" s="635">
        <f t="shared" si="184"/>
        <v>0</v>
      </c>
      <c r="L504" s="636"/>
      <c r="M504" s="636"/>
      <c r="N504" s="637">
        <f t="shared" si="185"/>
        <v>0</v>
      </c>
      <c r="O504" s="638"/>
      <c r="P504" s="638"/>
      <c r="Q504" s="635">
        <f t="shared" si="186"/>
        <v>0</v>
      </c>
      <c r="R504" s="636"/>
      <c r="S504" s="636"/>
      <c r="T504" s="637">
        <f t="shared" si="187"/>
        <v>0</v>
      </c>
      <c r="U504" s="638"/>
      <c r="V504" s="638"/>
      <c r="W504" s="635">
        <f t="shared" si="188"/>
        <v>0</v>
      </c>
      <c r="X504" s="636"/>
      <c r="Y504" s="636"/>
      <c r="Z504" s="637">
        <f t="shared" si="189"/>
        <v>0</v>
      </c>
      <c r="AA504" s="638"/>
      <c r="AB504" s="638"/>
      <c r="AC504" s="635">
        <f t="shared" si="190"/>
        <v>0</v>
      </c>
      <c r="AD504" s="636"/>
      <c r="AE504" s="636"/>
      <c r="AF504" s="637">
        <f t="shared" si="191"/>
        <v>0</v>
      </c>
      <c r="AG504" s="638"/>
      <c r="AH504" s="638"/>
      <c r="AI504" s="635">
        <f t="shared" si="192"/>
        <v>0</v>
      </c>
      <c r="AJ504" s="636"/>
      <c r="AK504" s="636"/>
      <c r="AL504" s="637">
        <f t="shared" si="193"/>
        <v>0</v>
      </c>
      <c r="AM504" s="638"/>
      <c r="AN504" s="638"/>
      <c r="AO504" s="640">
        <f t="shared" si="194"/>
        <v>0</v>
      </c>
      <c r="AP504" s="636"/>
      <c r="AQ504" s="636"/>
      <c r="AR504" s="637">
        <f t="shared" si="195"/>
        <v>0</v>
      </c>
      <c r="AS504" s="638"/>
      <c r="AT504" s="638"/>
      <c r="AU504" s="635">
        <f t="shared" si="196"/>
        <v>0</v>
      </c>
      <c r="AV504" s="636"/>
      <c r="AW504" s="636"/>
      <c r="AX504" s="637">
        <f t="shared" si="197"/>
        <v>0</v>
      </c>
      <c r="AY504" s="638"/>
      <c r="AZ504" s="638"/>
      <c r="BA504" s="635">
        <f t="shared" si="198"/>
        <v>0</v>
      </c>
      <c r="BB504" s="636"/>
      <c r="BC504" s="636"/>
      <c r="BD504" s="637">
        <f t="shared" si="199"/>
        <v>0</v>
      </c>
      <c r="BE504" s="638"/>
      <c r="BF504" s="638"/>
      <c r="BG504" s="635">
        <f t="shared" si="200"/>
        <v>0</v>
      </c>
      <c r="BH504" s="636"/>
      <c r="BI504" s="636"/>
      <c r="BJ504" s="637">
        <f t="shared" si="201"/>
        <v>0</v>
      </c>
      <c r="BK504" s="638"/>
      <c r="BL504" s="638"/>
      <c r="BM504" s="635">
        <f t="shared" si="202"/>
        <v>0</v>
      </c>
      <c r="BN504" s="636"/>
      <c r="BO504" s="636"/>
      <c r="BP504" s="637">
        <f t="shared" si="203"/>
        <v>0</v>
      </c>
      <c r="BQ504" s="638"/>
      <c r="BR504" s="638"/>
      <c r="BS504" s="635">
        <f t="shared" si="204"/>
        <v>0</v>
      </c>
      <c r="BT504" s="636">
        <v>12</v>
      </c>
      <c r="BU504" s="636">
        <v>45230.083333333336</v>
      </c>
      <c r="BV504" s="637">
        <f t="shared" si="205"/>
        <v>444087.0502</v>
      </c>
      <c r="BW504" s="638">
        <v>11</v>
      </c>
      <c r="BX504" s="638">
        <v>48715</v>
      </c>
      <c r="BY504" s="641">
        <f t="shared" si="206"/>
        <v>438444.74300000002</v>
      </c>
    </row>
    <row r="505" spans="1:102" x14ac:dyDescent="0.2">
      <c r="A505" s="377" t="s">
        <v>78</v>
      </c>
      <c r="B505" s="378" t="s">
        <v>689</v>
      </c>
      <c r="C505" s="383" t="s">
        <v>947</v>
      </c>
      <c r="D505" s="380">
        <v>220853</v>
      </c>
      <c r="E505" s="381">
        <v>13</v>
      </c>
      <c r="F505" s="631"/>
      <c r="G505" s="632"/>
      <c r="H505" s="633">
        <f t="shared" si="183"/>
        <v>0</v>
      </c>
      <c r="I505" s="634"/>
      <c r="J505" s="634"/>
      <c r="K505" s="635">
        <f t="shared" si="184"/>
        <v>0</v>
      </c>
      <c r="L505" s="636"/>
      <c r="M505" s="636"/>
      <c r="N505" s="637">
        <f t="shared" si="185"/>
        <v>0</v>
      </c>
      <c r="O505" s="638"/>
      <c r="P505" s="638"/>
      <c r="Q505" s="635">
        <f t="shared" si="186"/>
        <v>0</v>
      </c>
      <c r="R505" s="636"/>
      <c r="S505" s="636"/>
      <c r="T505" s="637">
        <f t="shared" si="187"/>
        <v>0</v>
      </c>
      <c r="U505" s="638"/>
      <c r="V505" s="638"/>
      <c r="W505" s="635">
        <f t="shared" si="188"/>
        <v>0</v>
      </c>
      <c r="X505" s="636"/>
      <c r="Y505" s="636"/>
      <c r="Z505" s="637">
        <f t="shared" si="189"/>
        <v>0</v>
      </c>
      <c r="AA505" s="638"/>
      <c r="AB505" s="638"/>
      <c r="AC505" s="635">
        <f t="shared" si="190"/>
        <v>0</v>
      </c>
      <c r="AD505" s="636"/>
      <c r="AE505" s="636"/>
      <c r="AF505" s="637">
        <f t="shared" si="191"/>
        <v>0</v>
      </c>
      <c r="AG505" s="638"/>
      <c r="AH505" s="638"/>
      <c r="AI505" s="635">
        <f t="shared" si="192"/>
        <v>0</v>
      </c>
      <c r="AJ505" s="636"/>
      <c r="AK505" s="636"/>
      <c r="AL505" s="637">
        <f t="shared" si="193"/>
        <v>0</v>
      </c>
      <c r="AM505" s="638"/>
      <c r="AN505" s="638"/>
      <c r="AO505" s="640">
        <f t="shared" si="194"/>
        <v>0</v>
      </c>
      <c r="AP505" s="636"/>
      <c r="AQ505" s="636"/>
      <c r="AR505" s="637">
        <f t="shared" si="195"/>
        <v>0</v>
      </c>
      <c r="AS505" s="638"/>
      <c r="AT505" s="638"/>
      <c r="AU505" s="635">
        <f t="shared" si="196"/>
        <v>0</v>
      </c>
      <c r="AV505" s="636"/>
      <c r="AW505" s="636"/>
      <c r="AX505" s="637">
        <f t="shared" si="197"/>
        <v>0</v>
      </c>
      <c r="AY505" s="638"/>
      <c r="AZ505" s="638"/>
      <c r="BA505" s="635">
        <f t="shared" si="198"/>
        <v>0</v>
      </c>
      <c r="BB505" s="636"/>
      <c r="BC505" s="636"/>
      <c r="BD505" s="637">
        <f t="shared" si="199"/>
        <v>0</v>
      </c>
      <c r="BE505" s="638"/>
      <c r="BF505" s="638"/>
      <c r="BG505" s="635">
        <f t="shared" si="200"/>
        <v>0</v>
      </c>
      <c r="BH505" s="636"/>
      <c r="BI505" s="636"/>
      <c r="BJ505" s="637">
        <f t="shared" si="201"/>
        <v>0</v>
      </c>
      <c r="BK505" s="638"/>
      <c r="BL505" s="638"/>
      <c r="BM505" s="635">
        <f t="shared" si="202"/>
        <v>0</v>
      </c>
      <c r="BN505" s="636"/>
      <c r="BO505" s="636"/>
      <c r="BP505" s="637">
        <f t="shared" si="203"/>
        <v>0</v>
      </c>
      <c r="BQ505" s="638"/>
      <c r="BR505" s="638"/>
      <c r="BS505" s="635">
        <f t="shared" si="204"/>
        <v>0</v>
      </c>
      <c r="BT505" s="636">
        <v>36</v>
      </c>
      <c r="BU505" s="636">
        <v>44371.555555555555</v>
      </c>
      <c r="BV505" s="637">
        <f t="shared" si="205"/>
        <v>1306973.0432</v>
      </c>
      <c r="BW505" s="638">
        <v>38</v>
      </c>
      <c r="BX505" s="638">
        <v>47199</v>
      </c>
      <c r="BY505" s="641">
        <f t="shared" si="206"/>
        <v>1467492.4284000001</v>
      </c>
    </row>
    <row r="506" spans="1:102" x14ac:dyDescent="0.2">
      <c r="A506" s="377" t="s">
        <v>78</v>
      </c>
      <c r="B506" s="378" t="s">
        <v>690</v>
      </c>
      <c r="C506" s="379"/>
      <c r="D506" s="380">
        <v>221050</v>
      </c>
      <c r="E506" s="381">
        <v>13</v>
      </c>
      <c r="F506" s="631"/>
      <c r="G506" s="632"/>
      <c r="H506" s="633">
        <f t="shared" si="183"/>
        <v>0</v>
      </c>
      <c r="I506" s="634"/>
      <c r="J506" s="634"/>
      <c r="K506" s="635">
        <f t="shared" si="184"/>
        <v>0</v>
      </c>
      <c r="L506" s="636"/>
      <c r="M506" s="636"/>
      <c r="N506" s="637">
        <f t="shared" si="185"/>
        <v>0</v>
      </c>
      <c r="O506" s="638"/>
      <c r="P506" s="638"/>
      <c r="Q506" s="635">
        <f t="shared" si="186"/>
        <v>0</v>
      </c>
      <c r="R506" s="636"/>
      <c r="S506" s="636"/>
      <c r="T506" s="637">
        <f t="shared" si="187"/>
        <v>0</v>
      </c>
      <c r="U506" s="638"/>
      <c r="V506" s="638"/>
      <c r="W506" s="635">
        <f t="shared" si="188"/>
        <v>0</v>
      </c>
      <c r="X506" s="636"/>
      <c r="Y506" s="636"/>
      <c r="Z506" s="637">
        <f t="shared" si="189"/>
        <v>0</v>
      </c>
      <c r="AA506" s="638"/>
      <c r="AB506" s="638"/>
      <c r="AC506" s="635">
        <f t="shared" si="190"/>
        <v>0</v>
      </c>
      <c r="AD506" s="636"/>
      <c r="AE506" s="636"/>
      <c r="AF506" s="637">
        <f t="shared" si="191"/>
        <v>0</v>
      </c>
      <c r="AG506" s="638"/>
      <c r="AH506" s="638"/>
      <c r="AI506" s="635">
        <f t="shared" si="192"/>
        <v>0</v>
      </c>
      <c r="AJ506" s="636"/>
      <c r="AK506" s="636"/>
      <c r="AL506" s="637">
        <f t="shared" si="193"/>
        <v>0</v>
      </c>
      <c r="AM506" s="638"/>
      <c r="AN506" s="638"/>
      <c r="AO506" s="640">
        <f t="shared" si="194"/>
        <v>0</v>
      </c>
      <c r="AP506" s="636"/>
      <c r="AQ506" s="636"/>
      <c r="AR506" s="637">
        <f t="shared" si="195"/>
        <v>0</v>
      </c>
      <c r="AS506" s="638"/>
      <c r="AT506" s="638"/>
      <c r="AU506" s="635">
        <f t="shared" si="196"/>
        <v>0</v>
      </c>
      <c r="AV506" s="636"/>
      <c r="AW506" s="636"/>
      <c r="AX506" s="637">
        <f t="shared" si="197"/>
        <v>0</v>
      </c>
      <c r="AY506" s="638"/>
      <c r="AZ506" s="638"/>
      <c r="BA506" s="635">
        <f t="shared" si="198"/>
        <v>0</v>
      </c>
      <c r="BB506" s="636"/>
      <c r="BC506" s="636"/>
      <c r="BD506" s="637">
        <f t="shared" si="199"/>
        <v>0</v>
      </c>
      <c r="BE506" s="638"/>
      <c r="BF506" s="638"/>
      <c r="BG506" s="635">
        <f t="shared" si="200"/>
        <v>0</v>
      </c>
      <c r="BH506" s="636"/>
      <c r="BI506" s="636"/>
      <c r="BJ506" s="637">
        <f t="shared" si="201"/>
        <v>0</v>
      </c>
      <c r="BK506" s="638"/>
      <c r="BL506" s="638"/>
      <c r="BM506" s="635">
        <f t="shared" si="202"/>
        <v>0</v>
      </c>
      <c r="BN506" s="636"/>
      <c r="BO506" s="636"/>
      <c r="BP506" s="637">
        <f t="shared" si="203"/>
        <v>0</v>
      </c>
      <c r="BQ506" s="638"/>
      <c r="BR506" s="638"/>
      <c r="BS506" s="635">
        <f t="shared" si="204"/>
        <v>0</v>
      </c>
      <c r="BT506" s="636">
        <v>36</v>
      </c>
      <c r="BU506" s="636">
        <v>48137.055555555555</v>
      </c>
      <c r="BV506" s="637">
        <f t="shared" si="205"/>
        <v>1417886.5988</v>
      </c>
      <c r="BW506" s="638">
        <v>19</v>
      </c>
      <c r="BX506" s="638">
        <v>54594.526315789473</v>
      </c>
      <c r="BY506" s="641">
        <f t="shared" si="206"/>
        <v>848715.58720000007</v>
      </c>
    </row>
    <row r="507" spans="1:102" x14ac:dyDescent="0.2">
      <c r="A507" s="377" t="s">
        <v>78</v>
      </c>
      <c r="B507" s="378" t="s">
        <v>691</v>
      </c>
      <c r="C507" s="379"/>
      <c r="D507" s="380">
        <v>221102</v>
      </c>
      <c r="E507" s="381">
        <v>13</v>
      </c>
      <c r="F507" s="631"/>
      <c r="G507" s="632"/>
      <c r="H507" s="633">
        <f t="shared" si="183"/>
        <v>0</v>
      </c>
      <c r="I507" s="634"/>
      <c r="J507" s="634"/>
      <c r="K507" s="635">
        <f t="shared" si="184"/>
        <v>0</v>
      </c>
      <c r="L507" s="636"/>
      <c r="M507" s="636"/>
      <c r="N507" s="637">
        <f t="shared" si="185"/>
        <v>0</v>
      </c>
      <c r="O507" s="638"/>
      <c r="P507" s="638"/>
      <c r="Q507" s="635">
        <f t="shared" si="186"/>
        <v>0</v>
      </c>
      <c r="R507" s="636"/>
      <c r="S507" s="636"/>
      <c r="T507" s="637">
        <f t="shared" si="187"/>
        <v>0</v>
      </c>
      <c r="U507" s="638"/>
      <c r="V507" s="638"/>
      <c r="W507" s="635">
        <f t="shared" si="188"/>
        <v>0</v>
      </c>
      <c r="X507" s="636"/>
      <c r="Y507" s="636"/>
      <c r="Z507" s="637">
        <f t="shared" si="189"/>
        <v>0</v>
      </c>
      <c r="AA507" s="638"/>
      <c r="AB507" s="638"/>
      <c r="AC507" s="635">
        <f t="shared" si="190"/>
        <v>0</v>
      </c>
      <c r="AD507" s="636"/>
      <c r="AE507" s="636"/>
      <c r="AF507" s="637">
        <f t="shared" si="191"/>
        <v>0</v>
      </c>
      <c r="AG507" s="638"/>
      <c r="AH507" s="638"/>
      <c r="AI507" s="635">
        <f t="shared" si="192"/>
        <v>0</v>
      </c>
      <c r="AJ507" s="636"/>
      <c r="AK507" s="636"/>
      <c r="AL507" s="637">
        <f t="shared" si="193"/>
        <v>0</v>
      </c>
      <c r="AM507" s="638"/>
      <c r="AN507" s="638"/>
      <c r="AO507" s="640">
        <f t="shared" si="194"/>
        <v>0</v>
      </c>
      <c r="AP507" s="636"/>
      <c r="AQ507" s="636"/>
      <c r="AR507" s="637">
        <f t="shared" si="195"/>
        <v>0</v>
      </c>
      <c r="AS507" s="638"/>
      <c r="AT507" s="638"/>
      <c r="AU507" s="635">
        <f t="shared" si="196"/>
        <v>0</v>
      </c>
      <c r="AV507" s="636"/>
      <c r="AW507" s="636"/>
      <c r="AX507" s="637">
        <f t="shared" si="197"/>
        <v>0</v>
      </c>
      <c r="AY507" s="638"/>
      <c r="AZ507" s="638"/>
      <c r="BA507" s="635">
        <f t="shared" si="198"/>
        <v>0</v>
      </c>
      <c r="BB507" s="636"/>
      <c r="BC507" s="636"/>
      <c r="BD507" s="637">
        <f t="shared" si="199"/>
        <v>0</v>
      </c>
      <c r="BE507" s="638"/>
      <c r="BF507" s="638"/>
      <c r="BG507" s="635">
        <f t="shared" si="200"/>
        <v>0</v>
      </c>
      <c r="BH507" s="636"/>
      <c r="BI507" s="636"/>
      <c r="BJ507" s="637">
        <f t="shared" si="201"/>
        <v>0</v>
      </c>
      <c r="BK507" s="638"/>
      <c r="BL507" s="638"/>
      <c r="BM507" s="635">
        <f t="shared" si="202"/>
        <v>0</v>
      </c>
      <c r="BN507" s="636"/>
      <c r="BO507" s="636"/>
      <c r="BP507" s="637">
        <f t="shared" si="203"/>
        <v>0</v>
      </c>
      <c r="BQ507" s="638"/>
      <c r="BR507" s="638"/>
      <c r="BS507" s="635">
        <f t="shared" si="204"/>
        <v>0</v>
      </c>
      <c r="BT507" s="636">
        <v>21</v>
      </c>
      <c r="BU507" s="636">
        <v>50978.952380952382</v>
      </c>
      <c r="BV507" s="637">
        <f t="shared" si="205"/>
        <v>875930.55560000008</v>
      </c>
      <c r="BW507" s="638">
        <v>20</v>
      </c>
      <c r="BX507" s="638">
        <v>54049.4</v>
      </c>
      <c r="BY507" s="641">
        <f t="shared" si="206"/>
        <v>884464.38160000008</v>
      </c>
    </row>
    <row r="508" spans="1:102" x14ac:dyDescent="0.2">
      <c r="A508" s="377" t="s">
        <v>78</v>
      </c>
      <c r="B508" s="378" t="s">
        <v>692</v>
      </c>
      <c r="C508" s="383" t="s">
        <v>947</v>
      </c>
      <c r="D508" s="380">
        <v>248925</v>
      </c>
      <c r="E508" s="381">
        <v>13</v>
      </c>
      <c r="F508" s="631"/>
      <c r="G508" s="632"/>
      <c r="H508" s="633">
        <f t="shared" si="183"/>
        <v>0</v>
      </c>
      <c r="I508" s="634"/>
      <c r="J508" s="634"/>
      <c r="K508" s="635">
        <f t="shared" si="184"/>
        <v>0</v>
      </c>
      <c r="L508" s="636"/>
      <c r="M508" s="636"/>
      <c r="N508" s="637">
        <f t="shared" si="185"/>
        <v>0</v>
      </c>
      <c r="O508" s="638"/>
      <c r="P508" s="638"/>
      <c r="Q508" s="635">
        <f t="shared" si="186"/>
        <v>0</v>
      </c>
      <c r="R508" s="636"/>
      <c r="S508" s="636"/>
      <c r="T508" s="637">
        <f t="shared" si="187"/>
        <v>0</v>
      </c>
      <c r="U508" s="638"/>
      <c r="V508" s="638"/>
      <c r="W508" s="635">
        <f t="shared" si="188"/>
        <v>0</v>
      </c>
      <c r="X508" s="636"/>
      <c r="Y508" s="636"/>
      <c r="Z508" s="637">
        <f t="shared" si="189"/>
        <v>0</v>
      </c>
      <c r="AA508" s="638"/>
      <c r="AB508" s="638"/>
      <c r="AC508" s="635">
        <f t="shared" si="190"/>
        <v>0</v>
      </c>
      <c r="AD508" s="636"/>
      <c r="AE508" s="636"/>
      <c r="AF508" s="637">
        <f t="shared" si="191"/>
        <v>0</v>
      </c>
      <c r="AG508" s="638"/>
      <c r="AH508" s="638"/>
      <c r="AI508" s="635">
        <f t="shared" si="192"/>
        <v>0</v>
      </c>
      <c r="AJ508" s="636"/>
      <c r="AK508" s="636"/>
      <c r="AL508" s="637">
        <f t="shared" si="193"/>
        <v>0</v>
      </c>
      <c r="AM508" s="638"/>
      <c r="AN508" s="638"/>
      <c r="AO508" s="640">
        <f t="shared" si="194"/>
        <v>0</v>
      </c>
      <c r="AP508" s="636"/>
      <c r="AQ508" s="636"/>
      <c r="AR508" s="637">
        <f t="shared" si="195"/>
        <v>0</v>
      </c>
      <c r="AS508" s="638"/>
      <c r="AT508" s="638"/>
      <c r="AU508" s="635">
        <f t="shared" si="196"/>
        <v>0</v>
      </c>
      <c r="AV508" s="636"/>
      <c r="AW508" s="636"/>
      <c r="AX508" s="637">
        <f t="shared" si="197"/>
        <v>0</v>
      </c>
      <c r="AY508" s="638"/>
      <c r="AZ508" s="638"/>
      <c r="BA508" s="635">
        <f t="shared" si="198"/>
        <v>0</v>
      </c>
      <c r="BB508" s="636"/>
      <c r="BC508" s="636"/>
      <c r="BD508" s="637">
        <f t="shared" si="199"/>
        <v>0</v>
      </c>
      <c r="BE508" s="638"/>
      <c r="BF508" s="638"/>
      <c r="BG508" s="635">
        <f t="shared" si="200"/>
        <v>0</v>
      </c>
      <c r="BH508" s="636"/>
      <c r="BI508" s="636"/>
      <c r="BJ508" s="637">
        <f t="shared" si="201"/>
        <v>0</v>
      </c>
      <c r="BK508" s="638"/>
      <c r="BL508" s="638"/>
      <c r="BM508" s="635">
        <f t="shared" si="202"/>
        <v>0</v>
      </c>
      <c r="BN508" s="636"/>
      <c r="BO508" s="636"/>
      <c r="BP508" s="637">
        <f t="shared" si="203"/>
        <v>0</v>
      </c>
      <c r="BQ508" s="638"/>
      <c r="BR508" s="638"/>
      <c r="BS508" s="635">
        <f t="shared" si="204"/>
        <v>0</v>
      </c>
      <c r="BT508" s="636">
        <v>34</v>
      </c>
      <c r="BU508" s="636">
        <v>43997.617647058825</v>
      </c>
      <c r="BV508" s="637">
        <f t="shared" si="205"/>
        <v>1223960.9258000001</v>
      </c>
      <c r="BW508" s="638">
        <v>38</v>
      </c>
      <c r="BX508" s="638">
        <v>42436.947368421053</v>
      </c>
      <c r="BY508" s="641">
        <f t="shared" si="206"/>
        <v>1319432.5928</v>
      </c>
    </row>
    <row r="509" spans="1:102" x14ac:dyDescent="0.2">
      <c r="A509" s="377" t="s">
        <v>78</v>
      </c>
      <c r="B509" s="378" t="s">
        <v>693</v>
      </c>
      <c r="C509" s="379"/>
      <c r="D509" s="380">
        <v>221236</v>
      </c>
      <c r="E509" s="381">
        <v>13</v>
      </c>
      <c r="F509" s="631"/>
      <c r="G509" s="632"/>
      <c r="H509" s="633">
        <f t="shared" si="183"/>
        <v>0</v>
      </c>
      <c r="I509" s="634"/>
      <c r="J509" s="634"/>
      <c r="K509" s="635">
        <f t="shared" si="184"/>
        <v>0</v>
      </c>
      <c r="L509" s="636"/>
      <c r="M509" s="636"/>
      <c r="N509" s="637">
        <f t="shared" si="185"/>
        <v>0</v>
      </c>
      <c r="O509" s="638"/>
      <c r="P509" s="638"/>
      <c r="Q509" s="635">
        <f t="shared" si="186"/>
        <v>0</v>
      </c>
      <c r="R509" s="636"/>
      <c r="S509" s="636"/>
      <c r="T509" s="637">
        <f t="shared" si="187"/>
        <v>0</v>
      </c>
      <c r="U509" s="638"/>
      <c r="V509" s="638"/>
      <c r="W509" s="635">
        <f t="shared" si="188"/>
        <v>0</v>
      </c>
      <c r="X509" s="636"/>
      <c r="Y509" s="636"/>
      <c r="Z509" s="637">
        <f t="shared" si="189"/>
        <v>0</v>
      </c>
      <c r="AA509" s="638"/>
      <c r="AB509" s="638"/>
      <c r="AC509" s="635">
        <f t="shared" si="190"/>
        <v>0</v>
      </c>
      <c r="AD509" s="636"/>
      <c r="AE509" s="636"/>
      <c r="AF509" s="637">
        <f t="shared" si="191"/>
        <v>0</v>
      </c>
      <c r="AG509" s="638"/>
      <c r="AH509" s="638"/>
      <c r="AI509" s="635">
        <f t="shared" si="192"/>
        <v>0</v>
      </c>
      <c r="AJ509" s="636"/>
      <c r="AK509" s="636"/>
      <c r="AL509" s="637">
        <f t="shared" si="193"/>
        <v>0</v>
      </c>
      <c r="AM509" s="638"/>
      <c r="AN509" s="638"/>
      <c r="AO509" s="640">
        <f t="shared" si="194"/>
        <v>0</v>
      </c>
      <c r="AP509" s="636"/>
      <c r="AQ509" s="636"/>
      <c r="AR509" s="637">
        <f t="shared" si="195"/>
        <v>0</v>
      </c>
      <c r="AS509" s="638"/>
      <c r="AT509" s="638"/>
      <c r="AU509" s="635">
        <f t="shared" si="196"/>
        <v>0</v>
      </c>
      <c r="AV509" s="636"/>
      <c r="AW509" s="636"/>
      <c r="AX509" s="637">
        <f t="shared" si="197"/>
        <v>0</v>
      </c>
      <c r="AY509" s="638"/>
      <c r="AZ509" s="638"/>
      <c r="BA509" s="635">
        <f t="shared" si="198"/>
        <v>0</v>
      </c>
      <c r="BB509" s="636"/>
      <c r="BC509" s="636"/>
      <c r="BD509" s="637">
        <f t="shared" si="199"/>
        <v>0</v>
      </c>
      <c r="BE509" s="638"/>
      <c r="BF509" s="638"/>
      <c r="BG509" s="635">
        <f t="shared" si="200"/>
        <v>0</v>
      </c>
      <c r="BH509" s="636"/>
      <c r="BI509" s="636"/>
      <c r="BJ509" s="637">
        <f t="shared" si="201"/>
        <v>0</v>
      </c>
      <c r="BK509" s="638"/>
      <c r="BL509" s="638"/>
      <c r="BM509" s="635">
        <f t="shared" si="202"/>
        <v>0</v>
      </c>
      <c r="BN509" s="636"/>
      <c r="BO509" s="636"/>
      <c r="BP509" s="637">
        <f t="shared" si="203"/>
        <v>0</v>
      </c>
      <c r="BQ509" s="638"/>
      <c r="BR509" s="638"/>
      <c r="BS509" s="635">
        <f t="shared" si="204"/>
        <v>0</v>
      </c>
      <c r="BT509" s="636">
        <v>11</v>
      </c>
      <c r="BU509" s="636">
        <v>42310.727272727272</v>
      </c>
      <c r="BV509" s="637">
        <f t="shared" si="205"/>
        <v>380805.00760000001</v>
      </c>
      <c r="BW509" s="638">
        <v>11</v>
      </c>
      <c r="BX509" s="638">
        <v>45553.36363636364</v>
      </c>
      <c r="BY509" s="641">
        <f t="shared" si="206"/>
        <v>409989.38340000005</v>
      </c>
    </row>
    <row r="510" spans="1:102" ht="13.5" thickBot="1" x14ac:dyDescent="0.25">
      <c r="A510" s="377" t="s">
        <v>78</v>
      </c>
      <c r="B510" s="378" t="s">
        <v>694</v>
      </c>
      <c r="C510" s="379"/>
      <c r="D510" s="380">
        <v>221582</v>
      </c>
      <c r="E510" s="381">
        <v>13</v>
      </c>
      <c r="F510" s="631"/>
      <c r="G510" s="632"/>
      <c r="H510" s="633">
        <f t="shared" si="183"/>
        <v>0</v>
      </c>
      <c r="I510" s="634"/>
      <c r="J510" s="634"/>
      <c r="K510" s="635">
        <f t="shared" si="184"/>
        <v>0</v>
      </c>
      <c r="L510" s="636"/>
      <c r="M510" s="636"/>
      <c r="N510" s="637">
        <f t="shared" si="185"/>
        <v>0</v>
      </c>
      <c r="O510" s="638"/>
      <c r="P510" s="638"/>
      <c r="Q510" s="635">
        <f t="shared" si="186"/>
        <v>0</v>
      </c>
      <c r="R510" s="636"/>
      <c r="S510" s="636"/>
      <c r="T510" s="637">
        <f t="shared" si="187"/>
        <v>0</v>
      </c>
      <c r="U510" s="638"/>
      <c r="V510" s="638"/>
      <c r="W510" s="635">
        <f t="shared" si="188"/>
        <v>0</v>
      </c>
      <c r="X510" s="636"/>
      <c r="Y510" s="636"/>
      <c r="Z510" s="637">
        <f t="shared" si="189"/>
        <v>0</v>
      </c>
      <c r="AA510" s="638"/>
      <c r="AB510" s="638"/>
      <c r="AC510" s="635">
        <f t="shared" si="190"/>
        <v>0</v>
      </c>
      <c r="AD510" s="636"/>
      <c r="AE510" s="636"/>
      <c r="AF510" s="637">
        <f t="shared" si="191"/>
        <v>0</v>
      </c>
      <c r="AG510" s="638"/>
      <c r="AH510" s="638"/>
      <c r="AI510" s="635">
        <f t="shared" si="192"/>
        <v>0</v>
      </c>
      <c r="AJ510" s="636"/>
      <c r="AK510" s="636"/>
      <c r="AL510" s="637">
        <f t="shared" si="193"/>
        <v>0</v>
      </c>
      <c r="AM510" s="638"/>
      <c r="AN510" s="638"/>
      <c r="AO510" s="640">
        <f t="shared" si="194"/>
        <v>0</v>
      </c>
      <c r="AP510" s="636"/>
      <c r="AQ510" s="636"/>
      <c r="AR510" s="637">
        <f t="shared" si="195"/>
        <v>0</v>
      </c>
      <c r="AS510" s="638"/>
      <c r="AT510" s="638"/>
      <c r="AU510" s="635">
        <f t="shared" si="196"/>
        <v>0</v>
      </c>
      <c r="AV510" s="636"/>
      <c r="AW510" s="636"/>
      <c r="AX510" s="637">
        <f t="shared" si="197"/>
        <v>0</v>
      </c>
      <c r="AY510" s="638"/>
      <c r="AZ510" s="638"/>
      <c r="BA510" s="635">
        <f t="shared" si="198"/>
        <v>0</v>
      </c>
      <c r="BB510" s="636"/>
      <c r="BC510" s="636"/>
      <c r="BD510" s="637">
        <f t="shared" si="199"/>
        <v>0</v>
      </c>
      <c r="BE510" s="638"/>
      <c r="BF510" s="638"/>
      <c r="BG510" s="635">
        <f t="shared" si="200"/>
        <v>0</v>
      </c>
      <c r="BH510" s="636"/>
      <c r="BI510" s="636"/>
      <c r="BJ510" s="637">
        <f t="shared" si="201"/>
        <v>0</v>
      </c>
      <c r="BK510" s="638"/>
      <c r="BL510" s="638"/>
      <c r="BM510" s="635">
        <f t="shared" si="202"/>
        <v>0</v>
      </c>
      <c r="BN510" s="636"/>
      <c r="BO510" s="636"/>
      <c r="BP510" s="637">
        <f t="shared" si="203"/>
        <v>0</v>
      </c>
      <c r="BQ510" s="638"/>
      <c r="BR510" s="638"/>
      <c r="BS510" s="635">
        <f t="shared" si="204"/>
        <v>0</v>
      </c>
      <c r="BT510" s="636">
        <v>14</v>
      </c>
      <c r="BU510" s="636">
        <v>41542</v>
      </c>
      <c r="BV510" s="637">
        <f t="shared" si="205"/>
        <v>475855.30160000001</v>
      </c>
      <c r="BW510" s="638">
        <v>11</v>
      </c>
      <c r="BX510" s="638">
        <v>43263.909090909088</v>
      </c>
      <c r="BY510" s="641">
        <f t="shared" si="206"/>
        <v>389383.8346</v>
      </c>
    </row>
    <row r="511" spans="1:102" ht="13.5" thickBot="1" x14ac:dyDescent="0.25">
      <c r="A511" s="377" t="s">
        <v>78</v>
      </c>
      <c r="B511" s="378" t="s">
        <v>695</v>
      </c>
      <c r="C511" s="379"/>
      <c r="D511" s="380">
        <v>221281</v>
      </c>
      <c r="E511" s="381">
        <v>13</v>
      </c>
      <c r="F511" s="631"/>
      <c r="G511" s="632"/>
      <c r="H511" s="633">
        <f t="shared" si="183"/>
        <v>0</v>
      </c>
      <c r="I511" s="634"/>
      <c r="J511" s="634"/>
      <c r="K511" s="635">
        <f t="shared" si="184"/>
        <v>0</v>
      </c>
      <c r="L511" s="636"/>
      <c r="M511" s="636"/>
      <c r="N511" s="637">
        <f t="shared" si="185"/>
        <v>0</v>
      </c>
      <c r="O511" s="638"/>
      <c r="P511" s="638"/>
      <c r="Q511" s="635">
        <f t="shared" si="186"/>
        <v>0</v>
      </c>
      <c r="R511" s="636"/>
      <c r="S511" s="636"/>
      <c r="T511" s="637">
        <f t="shared" si="187"/>
        <v>0</v>
      </c>
      <c r="U511" s="638"/>
      <c r="V511" s="638"/>
      <c r="W511" s="635">
        <f t="shared" si="188"/>
        <v>0</v>
      </c>
      <c r="X511" s="636"/>
      <c r="Y511" s="636"/>
      <c r="Z511" s="637">
        <f t="shared" si="189"/>
        <v>0</v>
      </c>
      <c r="AA511" s="638"/>
      <c r="AB511" s="638"/>
      <c r="AC511" s="635">
        <f t="shared" si="190"/>
        <v>0</v>
      </c>
      <c r="AD511" s="636"/>
      <c r="AE511" s="636"/>
      <c r="AF511" s="637">
        <f t="shared" si="191"/>
        <v>0</v>
      </c>
      <c r="AG511" s="638"/>
      <c r="AH511" s="638"/>
      <c r="AI511" s="635">
        <f t="shared" si="192"/>
        <v>0</v>
      </c>
      <c r="AJ511" s="636"/>
      <c r="AK511" s="636"/>
      <c r="AL511" s="637">
        <f t="shared" si="193"/>
        <v>0</v>
      </c>
      <c r="AM511" s="638"/>
      <c r="AN511" s="638"/>
      <c r="AO511" s="640">
        <f t="shared" si="194"/>
        <v>0</v>
      </c>
      <c r="AP511" s="636"/>
      <c r="AQ511" s="636"/>
      <c r="AR511" s="637">
        <f t="shared" si="195"/>
        <v>0</v>
      </c>
      <c r="AS511" s="638"/>
      <c r="AT511" s="638"/>
      <c r="AU511" s="635">
        <f t="shared" si="196"/>
        <v>0</v>
      </c>
      <c r="AV511" s="636"/>
      <c r="AW511" s="636"/>
      <c r="AX511" s="637">
        <f t="shared" si="197"/>
        <v>0</v>
      </c>
      <c r="AY511" s="638"/>
      <c r="AZ511" s="638"/>
      <c r="BA511" s="635">
        <f t="shared" si="198"/>
        <v>0</v>
      </c>
      <c r="BB511" s="636"/>
      <c r="BC511" s="636"/>
      <c r="BD511" s="637">
        <f t="shared" si="199"/>
        <v>0</v>
      </c>
      <c r="BE511" s="638"/>
      <c r="BF511" s="638"/>
      <c r="BG511" s="635">
        <f t="shared" si="200"/>
        <v>0</v>
      </c>
      <c r="BH511" s="636"/>
      <c r="BI511" s="636"/>
      <c r="BJ511" s="637">
        <f t="shared" si="201"/>
        <v>0</v>
      </c>
      <c r="BK511" s="638"/>
      <c r="BL511" s="638"/>
      <c r="BM511" s="635">
        <f t="shared" si="202"/>
        <v>0</v>
      </c>
      <c r="BN511" s="636"/>
      <c r="BO511" s="636"/>
      <c r="BP511" s="637">
        <f t="shared" si="203"/>
        <v>0</v>
      </c>
      <c r="BQ511" s="638"/>
      <c r="BR511" s="638"/>
      <c r="BS511" s="635">
        <f t="shared" si="204"/>
        <v>0</v>
      </c>
      <c r="BT511" s="636">
        <v>19</v>
      </c>
      <c r="BU511" s="636">
        <v>43863.947368421053</v>
      </c>
      <c r="BV511" s="637">
        <f t="shared" si="205"/>
        <v>681900.15300000005</v>
      </c>
      <c r="BW511" s="638">
        <v>12</v>
      </c>
      <c r="BX511" s="638">
        <v>45186.333333333336</v>
      </c>
      <c r="BY511" s="641">
        <f t="shared" si="206"/>
        <v>443657.4952</v>
      </c>
      <c r="CA511" s="541" t="s">
        <v>1073</v>
      </c>
      <c r="CB511" s="542"/>
      <c r="CC511" s="542"/>
      <c r="CD511" s="542"/>
      <c r="CE511" s="542"/>
      <c r="CF511" s="542"/>
      <c r="CG511" s="542"/>
      <c r="CH511" s="542"/>
      <c r="CI511" s="542"/>
      <c r="CJ511" s="542"/>
      <c r="CK511" s="542"/>
      <c r="CL511" s="543"/>
      <c r="CM511" s="535" t="s">
        <v>1074</v>
      </c>
      <c r="CN511" s="535"/>
      <c r="CO511" s="535"/>
      <c r="CP511" s="535"/>
      <c r="CQ511" s="535"/>
      <c r="CR511" s="535"/>
      <c r="CS511" s="535"/>
      <c r="CT511" s="535"/>
      <c r="CU511" s="535"/>
      <c r="CV511" s="535"/>
      <c r="CW511" s="535"/>
      <c r="CX511" s="535"/>
    </row>
    <row r="512" spans="1:102" ht="15.75" x14ac:dyDescent="0.25">
      <c r="A512" s="377" t="s">
        <v>78</v>
      </c>
      <c r="B512" s="378" t="s">
        <v>696</v>
      </c>
      <c r="C512" s="379"/>
      <c r="D512" s="380">
        <v>221333</v>
      </c>
      <c r="E512" s="381">
        <v>13</v>
      </c>
      <c r="F512" s="631"/>
      <c r="G512" s="632"/>
      <c r="H512" s="633">
        <f t="shared" si="183"/>
        <v>0</v>
      </c>
      <c r="I512" s="634"/>
      <c r="J512" s="634"/>
      <c r="K512" s="635">
        <f t="shared" si="184"/>
        <v>0</v>
      </c>
      <c r="L512" s="636"/>
      <c r="M512" s="636"/>
      <c r="N512" s="637">
        <f t="shared" si="185"/>
        <v>0</v>
      </c>
      <c r="O512" s="638"/>
      <c r="P512" s="638"/>
      <c r="Q512" s="635">
        <f t="shared" si="186"/>
        <v>0</v>
      </c>
      <c r="R512" s="636"/>
      <c r="S512" s="636"/>
      <c r="T512" s="637">
        <f t="shared" si="187"/>
        <v>0</v>
      </c>
      <c r="U512" s="638"/>
      <c r="V512" s="638"/>
      <c r="W512" s="635">
        <f t="shared" si="188"/>
        <v>0</v>
      </c>
      <c r="X512" s="636"/>
      <c r="Y512" s="636"/>
      <c r="Z512" s="637">
        <f t="shared" si="189"/>
        <v>0</v>
      </c>
      <c r="AA512" s="638"/>
      <c r="AB512" s="638"/>
      <c r="AC512" s="635">
        <f t="shared" si="190"/>
        <v>0</v>
      </c>
      <c r="AD512" s="636"/>
      <c r="AE512" s="636"/>
      <c r="AF512" s="637">
        <f t="shared" si="191"/>
        <v>0</v>
      </c>
      <c r="AG512" s="638"/>
      <c r="AH512" s="638"/>
      <c r="AI512" s="635">
        <f t="shared" si="192"/>
        <v>0</v>
      </c>
      <c r="AJ512" s="636"/>
      <c r="AK512" s="636"/>
      <c r="AL512" s="637">
        <f t="shared" si="193"/>
        <v>0</v>
      </c>
      <c r="AM512" s="638"/>
      <c r="AN512" s="638"/>
      <c r="AO512" s="640">
        <f t="shared" si="194"/>
        <v>0</v>
      </c>
      <c r="AP512" s="636"/>
      <c r="AQ512" s="636"/>
      <c r="AR512" s="637">
        <f t="shared" si="195"/>
        <v>0</v>
      </c>
      <c r="AS512" s="638"/>
      <c r="AT512" s="638"/>
      <c r="AU512" s="635">
        <f t="shared" si="196"/>
        <v>0</v>
      </c>
      <c r="AV512" s="636"/>
      <c r="AW512" s="636"/>
      <c r="AX512" s="637">
        <f t="shared" si="197"/>
        <v>0</v>
      </c>
      <c r="AY512" s="638"/>
      <c r="AZ512" s="638"/>
      <c r="BA512" s="635">
        <f t="shared" si="198"/>
        <v>0</v>
      </c>
      <c r="BB512" s="636"/>
      <c r="BC512" s="636"/>
      <c r="BD512" s="637">
        <f t="shared" si="199"/>
        <v>0</v>
      </c>
      <c r="BE512" s="638"/>
      <c r="BF512" s="638"/>
      <c r="BG512" s="635">
        <f t="shared" si="200"/>
        <v>0</v>
      </c>
      <c r="BH512" s="636"/>
      <c r="BI512" s="636"/>
      <c r="BJ512" s="637">
        <f t="shared" si="201"/>
        <v>0</v>
      </c>
      <c r="BK512" s="638"/>
      <c r="BL512" s="638"/>
      <c r="BM512" s="635">
        <f t="shared" si="202"/>
        <v>0</v>
      </c>
      <c r="BN512" s="636"/>
      <c r="BO512" s="636"/>
      <c r="BP512" s="637">
        <f t="shared" si="203"/>
        <v>0</v>
      </c>
      <c r="BQ512" s="638"/>
      <c r="BR512" s="638"/>
      <c r="BS512" s="635">
        <f t="shared" si="204"/>
        <v>0</v>
      </c>
      <c r="BT512" s="636">
        <v>15</v>
      </c>
      <c r="BU512" s="636">
        <v>46387.533333333333</v>
      </c>
      <c r="BV512" s="637">
        <f t="shared" si="205"/>
        <v>569314.19660000002</v>
      </c>
      <c r="BW512" s="638">
        <v>16</v>
      </c>
      <c r="BX512" s="638">
        <v>47572.375</v>
      </c>
      <c r="BY512" s="641">
        <f t="shared" si="206"/>
        <v>622779.47560000001</v>
      </c>
      <c r="CA512" s="517" t="s">
        <v>3</v>
      </c>
      <c r="CB512" s="518"/>
      <c r="CC512" s="518"/>
      <c r="CD512" s="518"/>
      <c r="CE512" s="518"/>
      <c r="CF512" s="519"/>
      <c r="CG512" s="517" t="s">
        <v>293</v>
      </c>
      <c r="CH512" s="518"/>
      <c r="CI512" s="518"/>
      <c r="CJ512" s="518"/>
      <c r="CK512" s="518"/>
      <c r="CL512" s="518"/>
      <c r="CM512" s="536" t="s">
        <v>3</v>
      </c>
      <c r="CN512" s="518"/>
      <c r="CO512" s="518"/>
      <c r="CP512" s="518"/>
      <c r="CQ512" s="518"/>
      <c r="CR512" s="519"/>
      <c r="CS512" s="517" t="s">
        <v>293</v>
      </c>
      <c r="CT512" s="518"/>
      <c r="CU512" s="518"/>
      <c r="CV512" s="518"/>
      <c r="CW512" s="518"/>
      <c r="CX512" s="519"/>
    </row>
    <row r="513" spans="1:102" x14ac:dyDescent="0.2">
      <c r="A513" s="377" t="s">
        <v>78</v>
      </c>
      <c r="B513" s="378" t="s">
        <v>697</v>
      </c>
      <c r="C513" s="379"/>
      <c r="D513" s="380">
        <v>221388</v>
      </c>
      <c r="E513" s="381">
        <v>13</v>
      </c>
      <c r="F513" s="631"/>
      <c r="G513" s="632"/>
      <c r="H513" s="633">
        <f t="shared" si="183"/>
        <v>0</v>
      </c>
      <c r="I513" s="634"/>
      <c r="J513" s="634"/>
      <c r="K513" s="635">
        <f t="shared" si="184"/>
        <v>0</v>
      </c>
      <c r="L513" s="636"/>
      <c r="M513" s="636"/>
      <c r="N513" s="637">
        <f t="shared" si="185"/>
        <v>0</v>
      </c>
      <c r="O513" s="638"/>
      <c r="P513" s="638"/>
      <c r="Q513" s="635">
        <f t="shared" si="186"/>
        <v>0</v>
      </c>
      <c r="R513" s="636"/>
      <c r="S513" s="636"/>
      <c r="T513" s="637">
        <f t="shared" si="187"/>
        <v>0</v>
      </c>
      <c r="U513" s="638"/>
      <c r="V513" s="638"/>
      <c r="W513" s="635">
        <f t="shared" si="188"/>
        <v>0</v>
      </c>
      <c r="X513" s="636"/>
      <c r="Y513" s="636"/>
      <c r="Z513" s="637">
        <f t="shared" si="189"/>
        <v>0</v>
      </c>
      <c r="AA513" s="638"/>
      <c r="AB513" s="638"/>
      <c r="AC513" s="635">
        <f t="shared" si="190"/>
        <v>0</v>
      </c>
      <c r="AD513" s="636"/>
      <c r="AE513" s="636"/>
      <c r="AF513" s="637">
        <f t="shared" si="191"/>
        <v>0</v>
      </c>
      <c r="AG513" s="638"/>
      <c r="AH513" s="638"/>
      <c r="AI513" s="635">
        <f t="shared" si="192"/>
        <v>0</v>
      </c>
      <c r="AJ513" s="636"/>
      <c r="AK513" s="636"/>
      <c r="AL513" s="637">
        <f t="shared" si="193"/>
        <v>0</v>
      </c>
      <c r="AM513" s="638"/>
      <c r="AN513" s="638"/>
      <c r="AO513" s="640">
        <f t="shared" si="194"/>
        <v>0</v>
      </c>
      <c r="AP513" s="636"/>
      <c r="AQ513" s="636"/>
      <c r="AR513" s="637">
        <f t="shared" si="195"/>
        <v>0</v>
      </c>
      <c r="AS513" s="638"/>
      <c r="AT513" s="638"/>
      <c r="AU513" s="635">
        <f t="shared" si="196"/>
        <v>0</v>
      </c>
      <c r="AV513" s="636"/>
      <c r="AW513" s="636"/>
      <c r="AX513" s="637">
        <f t="shared" si="197"/>
        <v>0</v>
      </c>
      <c r="AY513" s="638"/>
      <c r="AZ513" s="638"/>
      <c r="BA513" s="635">
        <f t="shared" si="198"/>
        <v>0</v>
      </c>
      <c r="BB513" s="636"/>
      <c r="BC513" s="636"/>
      <c r="BD513" s="637">
        <f t="shared" si="199"/>
        <v>0</v>
      </c>
      <c r="BE513" s="638"/>
      <c r="BF513" s="638"/>
      <c r="BG513" s="635">
        <f t="shared" si="200"/>
        <v>0</v>
      </c>
      <c r="BH513" s="636"/>
      <c r="BI513" s="636"/>
      <c r="BJ513" s="637">
        <f t="shared" si="201"/>
        <v>0</v>
      </c>
      <c r="BK513" s="638"/>
      <c r="BL513" s="638"/>
      <c r="BM513" s="635">
        <f t="shared" si="202"/>
        <v>0</v>
      </c>
      <c r="BN513" s="636"/>
      <c r="BO513" s="636"/>
      <c r="BP513" s="637">
        <f t="shared" si="203"/>
        <v>0</v>
      </c>
      <c r="BQ513" s="638"/>
      <c r="BR513" s="638"/>
      <c r="BS513" s="635">
        <f t="shared" si="204"/>
        <v>0</v>
      </c>
      <c r="BT513" s="636">
        <v>11</v>
      </c>
      <c r="BU513" s="636">
        <v>42441.545454545456</v>
      </c>
      <c r="BV513" s="637">
        <f t="shared" si="205"/>
        <v>381982.39740000002</v>
      </c>
      <c r="BW513" s="638">
        <v>8</v>
      </c>
      <c r="BX513" s="638">
        <v>46476.75</v>
      </c>
      <c r="BY513" s="641">
        <f t="shared" si="206"/>
        <v>304218.21480000002</v>
      </c>
      <c r="CA513" s="172"/>
      <c r="CB513" s="173" t="s">
        <v>103</v>
      </c>
      <c r="CC513" s="174"/>
      <c r="CD513" s="175"/>
      <c r="CE513" s="175" t="s">
        <v>103</v>
      </c>
      <c r="CF513" s="176"/>
      <c r="CG513" s="172"/>
      <c r="CH513" s="173" t="s">
        <v>103</v>
      </c>
      <c r="CI513" s="174"/>
      <c r="CJ513" s="175"/>
      <c r="CK513" s="175" t="s">
        <v>103</v>
      </c>
      <c r="CL513" s="176"/>
      <c r="CM513" s="537"/>
      <c r="CN513" s="173" t="s">
        <v>103</v>
      </c>
      <c r="CO513" s="174"/>
      <c r="CP513" s="175"/>
      <c r="CQ513" s="175" t="s">
        <v>103</v>
      </c>
      <c r="CR513" s="176"/>
      <c r="CS513" s="172"/>
      <c r="CT513" s="173" t="s">
        <v>103</v>
      </c>
      <c r="CU513" s="174"/>
      <c r="CV513" s="175"/>
      <c r="CW513" s="175" t="s">
        <v>103</v>
      </c>
      <c r="CX513" s="176"/>
    </row>
    <row r="514" spans="1:102" x14ac:dyDescent="0.2">
      <c r="A514" s="377" t="s">
        <v>78</v>
      </c>
      <c r="B514" s="378" t="s">
        <v>698</v>
      </c>
      <c r="C514" s="379"/>
      <c r="D514" s="380">
        <v>221494</v>
      </c>
      <c r="E514" s="381">
        <v>13</v>
      </c>
      <c r="F514" s="631"/>
      <c r="G514" s="632"/>
      <c r="H514" s="633">
        <f t="shared" si="183"/>
        <v>0</v>
      </c>
      <c r="I514" s="634"/>
      <c r="J514" s="634"/>
      <c r="K514" s="635">
        <f t="shared" si="184"/>
        <v>0</v>
      </c>
      <c r="L514" s="636"/>
      <c r="M514" s="636"/>
      <c r="N514" s="637">
        <f t="shared" si="185"/>
        <v>0</v>
      </c>
      <c r="O514" s="638"/>
      <c r="P514" s="638"/>
      <c r="Q514" s="635">
        <f t="shared" si="186"/>
        <v>0</v>
      </c>
      <c r="R514" s="636"/>
      <c r="S514" s="636"/>
      <c r="T514" s="637">
        <f t="shared" si="187"/>
        <v>0</v>
      </c>
      <c r="U514" s="638"/>
      <c r="V514" s="638"/>
      <c r="W514" s="635">
        <f t="shared" si="188"/>
        <v>0</v>
      </c>
      <c r="X514" s="636"/>
      <c r="Y514" s="636"/>
      <c r="Z514" s="637">
        <f t="shared" si="189"/>
        <v>0</v>
      </c>
      <c r="AA514" s="638"/>
      <c r="AB514" s="638"/>
      <c r="AC514" s="635">
        <f t="shared" si="190"/>
        <v>0</v>
      </c>
      <c r="AD514" s="636"/>
      <c r="AE514" s="636"/>
      <c r="AF514" s="637">
        <f t="shared" si="191"/>
        <v>0</v>
      </c>
      <c r="AG514" s="638"/>
      <c r="AH514" s="638"/>
      <c r="AI514" s="635">
        <f t="shared" si="192"/>
        <v>0</v>
      </c>
      <c r="AJ514" s="636"/>
      <c r="AK514" s="636"/>
      <c r="AL514" s="637">
        <f t="shared" si="193"/>
        <v>0</v>
      </c>
      <c r="AM514" s="638"/>
      <c r="AN514" s="638"/>
      <c r="AO514" s="640">
        <f t="shared" si="194"/>
        <v>0</v>
      </c>
      <c r="AP514" s="636"/>
      <c r="AQ514" s="636"/>
      <c r="AR514" s="637">
        <f t="shared" si="195"/>
        <v>0</v>
      </c>
      <c r="AS514" s="638"/>
      <c r="AT514" s="638"/>
      <c r="AU514" s="635">
        <f t="shared" si="196"/>
        <v>0</v>
      </c>
      <c r="AV514" s="636"/>
      <c r="AW514" s="636"/>
      <c r="AX514" s="637">
        <f t="shared" si="197"/>
        <v>0</v>
      </c>
      <c r="AY514" s="638"/>
      <c r="AZ514" s="638"/>
      <c r="BA514" s="635">
        <f t="shared" si="198"/>
        <v>0</v>
      </c>
      <c r="BB514" s="636"/>
      <c r="BC514" s="636"/>
      <c r="BD514" s="637">
        <f t="shared" si="199"/>
        <v>0</v>
      </c>
      <c r="BE514" s="638"/>
      <c r="BF514" s="638"/>
      <c r="BG514" s="635">
        <f t="shared" si="200"/>
        <v>0</v>
      </c>
      <c r="BH514" s="636"/>
      <c r="BI514" s="636"/>
      <c r="BJ514" s="637">
        <f t="shared" si="201"/>
        <v>0</v>
      </c>
      <c r="BK514" s="638"/>
      <c r="BL514" s="638"/>
      <c r="BM514" s="635">
        <f t="shared" si="202"/>
        <v>0</v>
      </c>
      <c r="BN514" s="636"/>
      <c r="BO514" s="636"/>
      <c r="BP514" s="637">
        <f t="shared" si="203"/>
        <v>0</v>
      </c>
      <c r="BQ514" s="638"/>
      <c r="BR514" s="638"/>
      <c r="BS514" s="635">
        <f t="shared" si="204"/>
        <v>0</v>
      </c>
      <c r="BT514" s="636">
        <v>22</v>
      </c>
      <c r="BU514" s="636">
        <v>46959</v>
      </c>
      <c r="BV514" s="637">
        <f t="shared" si="205"/>
        <v>845280.78360000008</v>
      </c>
      <c r="BW514" s="638">
        <v>20</v>
      </c>
      <c r="BX514" s="638">
        <v>48206.2</v>
      </c>
      <c r="BY514" s="641">
        <f t="shared" si="206"/>
        <v>788846.25680000009</v>
      </c>
      <c r="CA514" s="179" t="s">
        <v>96</v>
      </c>
      <c r="CB514" s="180" t="s">
        <v>104</v>
      </c>
      <c r="CC514" s="181"/>
      <c r="CD514" s="175" t="s">
        <v>96</v>
      </c>
      <c r="CE514" s="175" t="s">
        <v>104</v>
      </c>
      <c r="CF514" s="176"/>
      <c r="CG514" s="179" t="s">
        <v>96</v>
      </c>
      <c r="CH514" s="180" t="s">
        <v>104</v>
      </c>
      <c r="CI514" s="181"/>
      <c r="CJ514" s="175" t="s">
        <v>96</v>
      </c>
      <c r="CK514" s="175" t="s">
        <v>104</v>
      </c>
      <c r="CL514" s="176"/>
      <c r="CM514" s="538" t="s">
        <v>96</v>
      </c>
      <c r="CN514" s="180" t="s">
        <v>104</v>
      </c>
      <c r="CO514" s="181"/>
      <c r="CP514" s="175" t="s">
        <v>96</v>
      </c>
      <c r="CQ514" s="175" t="s">
        <v>104</v>
      </c>
      <c r="CR514" s="176"/>
      <c r="CS514" s="179" t="s">
        <v>96</v>
      </c>
      <c r="CT514" s="180" t="s">
        <v>104</v>
      </c>
      <c r="CU514" s="181"/>
      <c r="CV514" s="175" t="s">
        <v>96</v>
      </c>
      <c r="CW514" s="175" t="s">
        <v>104</v>
      </c>
      <c r="CX514" s="176"/>
    </row>
    <row r="515" spans="1:102" x14ac:dyDescent="0.2">
      <c r="A515" s="377" t="s">
        <v>78</v>
      </c>
      <c r="B515" s="378" t="s">
        <v>699</v>
      </c>
      <c r="C515" s="379"/>
      <c r="D515" s="380">
        <v>221634</v>
      </c>
      <c r="E515" s="381">
        <v>13</v>
      </c>
      <c r="F515" s="631"/>
      <c r="G515" s="632"/>
      <c r="H515" s="633">
        <f t="shared" si="183"/>
        <v>0</v>
      </c>
      <c r="I515" s="634"/>
      <c r="J515" s="634"/>
      <c r="K515" s="635">
        <f t="shared" si="184"/>
        <v>0</v>
      </c>
      <c r="L515" s="636"/>
      <c r="M515" s="636"/>
      <c r="N515" s="637">
        <f t="shared" si="185"/>
        <v>0</v>
      </c>
      <c r="O515" s="638"/>
      <c r="P515" s="638"/>
      <c r="Q515" s="635">
        <f t="shared" si="186"/>
        <v>0</v>
      </c>
      <c r="R515" s="636"/>
      <c r="S515" s="636"/>
      <c r="T515" s="637">
        <f t="shared" si="187"/>
        <v>0</v>
      </c>
      <c r="U515" s="638"/>
      <c r="V515" s="638"/>
      <c r="W515" s="635">
        <f t="shared" si="188"/>
        <v>0</v>
      </c>
      <c r="X515" s="636"/>
      <c r="Y515" s="636"/>
      <c r="Z515" s="637">
        <f t="shared" si="189"/>
        <v>0</v>
      </c>
      <c r="AA515" s="638"/>
      <c r="AB515" s="638"/>
      <c r="AC515" s="635">
        <f t="shared" si="190"/>
        <v>0</v>
      </c>
      <c r="AD515" s="636"/>
      <c r="AE515" s="636"/>
      <c r="AF515" s="637">
        <f t="shared" si="191"/>
        <v>0</v>
      </c>
      <c r="AG515" s="638"/>
      <c r="AH515" s="638"/>
      <c r="AI515" s="635">
        <f t="shared" si="192"/>
        <v>0</v>
      </c>
      <c r="AJ515" s="636"/>
      <c r="AK515" s="636"/>
      <c r="AL515" s="637">
        <f t="shared" si="193"/>
        <v>0</v>
      </c>
      <c r="AM515" s="638"/>
      <c r="AN515" s="638"/>
      <c r="AO515" s="640">
        <f t="shared" si="194"/>
        <v>0</v>
      </c>
      <c r="AP515" s="636"/>
      <c r="AQ515" s="636"/>
      <c r="AR515" s="637">
        <f t="shared" si="195"/>
        <v>0</v>
      </c>
      <c r="AS515" s="638"/>
      <c r="AT515" s="638"/>
      <c r="AU515" s="635">
        <f t="shared" si="196"/>
        <v>0</v>
      </c>
      <c r="AV515" s="636"/>
      <c r="AW515" s="636"/>
      <c r="AX515" s="637">
        <f t="shared" si="197"/>
        <v>0</v>
      </c>
      <c r="AY515" s="638"/>
      <c r="AZ515" s="638"/>
      <c r="BA515" s="635">
        <f t="shared" si="198"/>
        <v>0</v>
      </c>
      <c r="BB515" s="636"/>
      <c r="BC515" s="636"/>
      <c r="BD515" s="637">
        <f t="shared" si="199"/>
        <v>0</v>
      </c>
      <c r="BE515" s="638"/>
      <c r="BF515" s="638"/>
      <c r="BG515" s="635">
        <f t="shared" si="200"/>
        <v>0</v>
      </c>
      <c r="BH515" s="636"/>
      <c r="BI515" s="636"/>
      <c r="BJ515" s="637">
        <f t="shared" si="201"/>
        <v>0</v>
      </c>
      <c r="BK515" s="638"/>
      <c r="BL515" s="638"/>
      <c r="BM515" s="635">
        <f t="shared" si="202"/>
        <v>0</v>
      </c>
      <c r="BN515" s="636"/>
      <c r="BO515" s="636"/>
      <c r="BP515" s="637">
        <f t="shared" si="203"/>
        <v>0</v>
      </c>
      <c r="BQ515" s="638"/>
      <c r="BR515" s="638"/>
      <c r="BS515" s="635">
        <f t="shared" si="204"/>
        <v>0</v>
      </c>
      <c r="BT515" s="636">
        <v>9</v>
      </c>
      <c r="BU515" s="636">
        <v>48681.111111111109</v>
      </c>
      <c r="BV515" s="637">
        <f t="shared" si="205"/>
        <v>358477.96600000001</v>
      </c>
      <c r="BW515" s="638">
        <v>8</v>
      </c>
      <c r="BX515" s="638">
        <v>48777.25</v>
      </c>
      <c r="BY515" s="641">
        <f t="shared" si="206"/>
        <v>319276.3676</v>
      </c>
      <c r="CA515" s="186" t="s">
        <v>299</v>
      </c>
      <c r="CB515" s="187" t="s">
        <v>299</v>
      </c>
      <c r="CC515" s="188"/>
      <c r="CD515" s="189" t="s">
        <v>331</v>
      </c>
      <c r="CE515" s="189" t="s">
        <v>331</v>
      </c>
      <c r="CF515" s="190"/>
      <c r="CG515" s="186" t="s">
        <v>299</v>
      </c>
      <c r="CH515" s="187" t="s">
        <v>299</v>
      </c>
      <c r="CI515" s="188"/>
      <c r="CJ515" s="189" t="s">
        <v>331</v>
      </c>
      <c r="CK515" s="189" t="s">
        <v>331</v>
      </c>
      <c r="CL515" s="190"/>
      <c r="CM515" s="539" t="s">
        <v>299</v>
      </c>
      <c r="CN515" s="187" t="s">
        <v>299</v>
      </c>
      <c r="CO515" s="188"/>
      <c r="CP515" s="189" t="s">
        <v>331</v>
      </c>
      <c r="CQ515" s="189" t="s">
        <v>331</v>
      </c>
      <c r="CR515" s="190"/>
      <c r="CS515" s="186" t="s">
        <v>299</v>
      </c>
      <c r="CT515" s="187" t="s">
        <v>299</v>
      </c>
      <c r="CU515" s="188"/>
      <c r="CV515" s="189" t="s">
        <v>331</v>
      </c>
      <c r="CW515" s="189" t="s">
        <v>331</v>
      </c>
      <c r="CX515" s="190"/>
    </row>
    <row r="516" spans="1:102" x14ac:dyDescent="0.2">
      <c r="A516" s="384" t="s">
        <v>77</v>
      </c>
      <c r="B516" s="348" t="s">
        <v>700</v>
      </c>
      <c r="C516" s="349"/>
      <c r="D516" s="351">
        <v>228723</v>
      </c>
      <c r="E516" s="260">
        <v>1</v>
      </c>
      <c r="F516" s="631">
        <v>930</v>
      </c>
      <c r="G516" s="632">
        <v>119759.39247311828</v>
      </c>
      <c r="H516" s="633">
        <f t="shared" si="183"/>
        <v>111376235</v>
      </c>
      <c r="I516" s="634">
        <v>427</v>
      </c>
      <c r="J516" s="634">
        <v>123805.44730679157</v>
      </c>
      <c r="K516" s="635">
        <f t="shared" si="184"/>
        <v>52864926</v>
      </c>
      <c r="L516" s="636">
        <v>590</v>
      </c>
      <c r="M516" s="636">
        <v>80873.37627118644</v>
      </c>
      <c r="N516" s="637">
        <f t="shared" si="185"/>
        <v>47715292</v>
      </c>
      <c r="O516" s="638">
        <v>309</v>
      </c>
      <c r="P516" s="638">
        <v>81669.145631067964</v>
      </c>
      <c r="Q516" s="635">
        <f t="shared" si="186"/>
        <v>25235766</v>
      </c>
      <c r="R516" s="636">
        <v>647</v>
      </c>
      <c r="S516" s="636">
        <v>69372.77125193199</v>
      </c>
      <c r="T516" s="637">
        <f t="shared" si="187"/>
        <v>44884183</v>
      </c>
      <c r="U516" s="638">
        <v>282</v>
      </c>
      <c r="V516" s="638">
        <v>70550.127659574471</v>
      </c>
      <c r="W516" s="635">
        <f t="shared" si="188"/>
        <v>19895136</v>
      </c>
      <c r="X516" s="636">
        <v>111</v>
      </c>
      <c r="Y516" s="636">
        <v>37890.729729729726</v>
      </c>
      <c r="Z516" s="637">
        <f t="shared" si="189"/>
        <v>4205871</v>
      </c>
      <c r="AA516" s="638">
        <v>67</v>
      </c>
      <c r="AB516" s="638">
        <v>49263.626865671642</v>
      </c>
      <c r="AC516" s="635">
        <f t="shared" si="190"/>
        <v>3300663</v>
      </c>
      <c r="AD516" s="649">
        <f t="shared" ref="AD516:AD550" si="207">+CA516+CG516</f>
        <v>347</v>
      </c>
      <c r="AE516" s="649">
        <f t="shared" ref="AE516:AE550" si="208">IF(AD516&gt;0,((CA516*CB516)+(CG516*CH516))/AD516,)</f>
        <v>42663.694524495681</v>
      </c>
      <c r="AF516" s="637">
        <f t="shared" si="191"/>
        <v>14804302.000000002</v>
      </c>
      <c r="AG516" s="649">
        <f t="shared" ref="AG516:AG550" si="209">+CD516+CJ516</f>
        <v>145</v>
      </c>
      <c r="AH516" s="649">
        <f t="shared" ref="AH516:AH550" si="210">IF(AG516&gt;0,((CD516*CE516)+(CJ516*CK516))/AG516,)</f>
        <v>47341.524137931032</v>
      </c>
      <c r="AI516" s="635">
        <f t="shared" si="192"/>
        <v>6864521</v>
      </c>
      <c r="AJ516" s="649"/>
      <c r="AK516" s="649"/>
      <c r="AL516" s="637">
        <f t="shared" ref="AL516:AL550" si="211">AG516*AH516</f>
        <v>6864521</v>
      </c>
      <c r="AM516" s="649"/>
      <c r="AN516" s="649"/>
      <c r="AO516" s="640">
        <f t="shared" si="194"/>
        <v>0</v>
      </c>
      <c r="AP516" s="636"/>
      <c r="AQ516" s="636"/>
      <c r="AR516" s="637">
        <f t="shared" si="195"/>
        <v>0</v>
      </c>
      <c r="AS516" s="638">
        <v>429</v>
      </c>
      <c r="AT516" s="638">
        <v>158980.65034965036</v>
      </c>
      <c r="AU516" s="635">
        <f t="shared" si="196"/>
        <v>55803448.321800001</v>
      </c>
      <c r="AV516" s="636"/>
      <c r="AW516" s="636"/>
      <c r="AX516" s="637">
        <f t="shared" si="197"/>
        <v>0</v>
      </c>
      <c r="AY516" s="638">
        <v>274</v>
      </c>
      <c r="AZ516" s="638">
        <v>111224.46715328467</v>
      </c>
      <c r="BA516" s="635">
        <f t="shared" si="198"/>
        <v>24935057.3728</v>
      </c>
      <c r="BB516" s="636"/>
      <c r="BC516" s="636"/>
      <c r="BD516" s="637">
        <f t="shared" si="199"/>
        <v>0</v>
      </c>
      <c r="BE516" s="638">
        <v>239</v>
      </c>
      <c r="BF516" s="638">
        <v>95071.100418410046</v>
      </c>
      <c r="BG516" s="635">
        <f t="shared" si="200"/>
        <v>18591134.672600001</v>
      </c>
      <c r="BH516" s="636"/>
      <c r="BI516" s="636"/>
      <c r="BJ516" s="637">
        <f t="shared" si="201"/>
        <v>0</v>
      </c>
      <c r="BK516" s="638">
        <v>48</v>
      </c>
      <c r="BL516" s="638">
        <v>40627.020833333336</v>
      </c>
      <c r="BM516" s="635">
        <f t="shared" si="202"/>
        <v>1595569.3654</v>
      </c>
      <c r="BN516" s="649">
        <f>+CM516+CS516</f>
        <v>0</v>
      </c>
      <c r="BO516" s="649">
        <f>IF(BN516&gt;0,((CM516+CN516)+(CS516*CT516))/BN516,)</f>
        <v>0</v>
      </c>
      <c r="BP516" s="637">
        <f t="shared" si="203"/>
        <v>0</v>
      </c>
      <c r="BQ516" s="649">
        <f>+CP516+CV516</f>
        <v>91</v>
      </c>
      <c r="BR516" s="649">
        <f>IF(BQ516&gt;0,((CP516+CQ516)+(CV516*CW516))/BQ516,)</f>
        <v>706.78420480618286</v>
      </c>
      <c r="BS516" s="635">
        <f t="shared" si="204"/>
        <v>52624.466109890112</v>
      </c>
      <c r="BT516" s="649"/>
      <c r="BU516" s="649"/>
      <c r="BV516" s="637">
        <f t="shared" si="205"/>
        <v>0</v>
      </c>
      <c r="BW516" s="649"/>
      <c r="BX516" s="649"/>
      <c r="BY516" s="641">
        <f t="shared" si="206"/>
        <v>0</v>
      </c>
      <c r="CA516" s="467">
        <v>347</v>
      </c>
      <c r="CB516" s="467">
        <v>42663.694524495681</v>
      </c>
      <c r="CC516" s="462"/>
      <c r="CD516" s="192">
        <v>144</v>
      </c>
      <c r="CE516" s="192">
        <v>47420.284722222219</v>
      </c>
      <c r="CF516" s="205"/>
      <c r="CG516" s="467"/>
      <c r="CH516" s="467"/>
      <c r="CI516" s="462"/>
      <c r="CJ516" s="192">
        <v>1</v>
      </c>
      <c r="CK516" s="192">
        <v>36000</v>
      </c>
      <c r="CL516" s="464"/>
      <c r="CM516" s="540"/>
      <c r="CN516" s="467"/>
      <c r="CO516" s="462"/>
      <c r="CP516" s="192">
        <v>91</v>
      </c>
      <c r="CQ516" s="192">
        <v>64226.362637362639</v>
      </c>
      <c r="CR516" s="205"/>
      <c r="CS516" s="467"/>
      <c r="CT516" s="467"/>
      <c r="CU516" s="462"/>
      <c r="CV516" s="192"/>
      <c r="CW516" s="192"/>
      <c r="CX516" s="205"/>
    </row>
    <row r="517" spans="1:102" x14ac:dyDescent="0.2">
      <c r="A517" s="384" t="s">
        <v>77</v>
      </c>
      <c r="B517" s="348" t="s">
        <v>701</v>
      </c>
      <c r="C517" s="349"/>
      <c r="D517" s="351">
        <v>229115</v>
      </c>
      <c r="E517" s="260">
        <v>1</v>
      </c>
      <c r="F517" s="631">
        <v>264</v>
      </c>
      <c r="G517" s="632">
        <v>102657.90909090909</v>
      </c>
      <c r="H517" s="633">
        <f t="shared" si="183"/>
        <v>27101688</v>
      </c>
      <c r="I517" s="634">
        <v>279</v>
      </c>
      <c r="J517" s="634">
        <v>105609.55913978495</v>
      </c>
      <c r="K517" s="635">
        <f t="shared" si="184"/>
        <v>29465067</v>
      </c>
      <c r="L517" s="636">
        <v>355</v>
      </c>
      <c r="M517" s="636">
        <v>74012.461971830984</v>
      </c>
      <c r="N517" s="637">
        <f t="shared" si="185"/>
        <v>26274424</v>
      </c>
      <c r="O517" s="638">
        <v>367</v>
      </c>
      <c r="P517" s="638">
        <v>73697.607629427788</v>
      </c>
      <c r="Q517" s="635">
        <f t="shared" si="186"/>
        <v>27047022</v>
      </c>
      <c r="R517" s="636">
        <v>296</v>
      </c>
      <c r="S517" s="636">
        <v>65213.800675675673</v>
      </c>
      <c r="T517" s="637">
        <f t="shared" si="187"/>
        <v>19303285</v>
      </c>
      <c r="U517" s="638">
        <v>273</v>
      </c>
      <c r="V517" s="638">
        <v>66162.091575091574</v>
      </c>
      <c r="W517" s="635">
        <f t="shared" si="188"/>
        <v>18062251</v>
      </c>
      <c r="X517" s="636">
        <v>172</v>
      </c>
      <c r="Y517" s="636">
        <v>41938.988372093023</v>
      </c>
      <c r="Z517" s="637">
        <f t="shared" si="189"/>
        <v>7213506</v>
      </c>
      <c r="AA517" s="638">
        <v>173</v>
      </c>
      <c r="AB517" s="638">
        <v>43368.578034682083</v>
      </c>
      <c r="AC517" s="635">
        <f t="shared" si="190"/>
        <v>7502764</v>
      </c>
      <c r="AD517" s="649">
        <f t="shared" si="207"/>
        <v>0</v>
      </c>
      <c r="AE517" s="649">
        <f t="shared" si="208"/>
        <v>0</v>
      </c>
      <c r="AF517" s="637">
        <f t="shared" si="191"/>
        <v>0</v>
      </c>
      <c r="AG517" s="649">
        <f t="shared" si="209"/>
        <v>0</v>
      </c>
      <c r="AH517" s="649">
        <f t="shared" si="210"/>
        <v>0</v>
      </c>
      <c r="AI517" s="635">
        <f t="shared" si="192"/>
        <v>0</v>
      </c>
      <c r="AJ517" s="649"/>
      <c r="AK517" s="649"/>
      <c r="AL517" s="637">
        <f t="shared" si="211"/>
        <v>0</v>
      </c>
      <c r="AM517" s="649"/>
      <c r="AN517" s="649"/>
      <c r="AO517" s="640">
        <f t="shared" si="194"/>
        <v>0</v>
      </c>
      <c r="AP517" s="636">
        <v>48</v>
      </c>
      <c r="AQ517" s="636">
        <v>147775.8125</v>
      </c>
      <c r="AR517" s="637">
        <f t="shared" si="195"/>
        <v>5803688.1498000007</v>
      </c>
      <c r="AS517" s="638">
        <v>30</v>
      </c>
      <c r="AT517" s="638">
        <v>129637.06666666667</v>
      </c>
      <c r="AU517" s="635">
        <f t="shared" si="196"/>
        <v>3182071.4384000003</v>
      </c>
      <c r="AV517" s="636">
        <v>10</v>
      </c>
      <c r="AW517" s="636">
        <v>102865.60000000001</v>
      </c>
      <c r="AX517" s="637">
        <f t="shared" si="197"/>
        <v>841646.33920000005</v>
      </c>
      <c r="AY517" s="638">
        <v>9</v>
      </c>
      <c r="AZ517" s="638">
        <v>86843.666666666672</v>
      </c>
      <c r="BA517" s="635">
        <f t="shared" si="198"/>
        <v>639499.39260000002</v>
      </c>
      <c r="BB517" s="636">
        <v>11</v>
      </c>
      <c r="BC517" s="636">
        <v>83343.272727272721</v>
      </c>
      <c r="BD517" s="637">
        <f t="shared" si="199"/>
        <v>750106.12319999991</v>
      </c>
      <c r="BE517" s="638">
        <v>8</v>
      </c>
      <c r="BF517" s="638">
        <v>70578.875</v>
      </c>
      <c r="BG517" s="635">
        <f t="shared" si="200"/>
        <v>461981.08420000004</v>
      </c>
      <c r="BH517" s="636">
        <v>20</v>
      </c>
      <c r="BI517" s="636">
        <v>67335</v>
      </c>
      <c r="BJ517" s="637">
        <f t="shared" si="201"/>
        <v>1101869.94</v>
      </c>
      <c r="BK517" s="638">
        <v>11</v>
      </c>
      <c r="BL517" s="638">
        <v>69874.545454545456</v>
      </c>
      <c r="BM517" s="635">
        <f t="shared" si="202"/>
        <v>628884.88400000008</v>
      </c>
      <c r="BN517" s="649">
        <f t="shared" ref="BN517:BN550" si="212">+CM517+CS517</f>
        <v>0</v>
      </c>
      <c r="BO517" s="649">
        <f t="shared" ref="BO517:BO550" si="213">IF(BN517&gt;0,((CM517+CN517)+(CS517*CT517))/BN517,)</f>
        <v>0</v>
      </c>
      <c r="BP517" s="637">
        <f t="shared" si="203"/>
        <v>0</v>
      </c>
      <c r="BQ517" s="649">
        <f t="shared" ref="BQ517:BQ550" si="214">+CP517+CV517</f>
        <v>0</v>
      </c>
      <c r="BR517" s="649">
        <f t="shared" ref="BR517:BR550" si="215">IF(BQ517&gt;0,((CP517+CQ517)+(CV517*CW517))/BQ517,)</f>
        <v>0</v>
      </c>
      <c r="BS517" s="635">
        <f t="shared" si="204"/>
        <v>0</v>
      </c>
      <c r="BT517" s="649"/>
      <c r="BU517" s="649"/>
      <c r="BV517" s="637">
        <f t="shared" si="205"/>
        <v>0</v>
      </c>
      <c r="BW517" s="649"/>
      <c r="BX517" s="649"/>
      <c r="BY517" s="641">
        <f t="shared" si="206"/>
        <v>0</v>
      </c>
      <c r="CA517" s="467"/>
      <c r="CB517" s="467"/>
      <c r="CC517" s="462"/>
      <c r="CD517" s="192"/>
      <c r="CE517" s="192"/>
      <c r="CF517" s="205"/>
      <c r="CG517" s="467"/>
      <c r="CH517" s="467"/>
      <c r="CI517" s="462"/>
      <c r="CJ517" s="192"/>
      <c r="CK517" s="192"/>
      <c r="CL517" s="464"/>
      <c r="CM517" s="540"/>
      <c r="CN517" s="467"/>
      <c r="CO517" s="462"/>
      <c r="CP517" s="192"/>
      <c r="CQ517" s="192"/>
      <c r="CR517" s="205"/>
      <c r="CS517" s="467"/>
      <c r="CT517" s="467"/>
      <c r="CU517" s="462"/>
      <c r="CV517" s="192"/>
      <c r="CW517" s="192"/>
      <c r="CX517" s="205"/>
    </row>
    <row r="518" spans="1:102" x14ac:dyDescent="0.2">
      <c r="A518" s="384" t="s">
        <v>77</v>
      </c>
      <c r="B518" s="348" t="s">
        <v>702</v>
      </c>
      <c r="C518" s="349"/>
      <c r="D518" s="351">
        <v>225511</v>
      </c>
      <c r="E518" s="260">
        <v>1</v>
      </c>
      <c r="F518" s="631">
        <v>380</v>
      </c>
      <c r="G518" s="632">
        <v>126182.98947368421</v>
      </c>
      <c r="H518" s="633">
        <f t="shared" si="183"/>
        <v>47949536</v>
      </c>
      <c r="I518" s="634">
        <v>385</v>
      </c>
      <c r="J518" s="634">
        <v>126938.23116883117</v>
      </c>
      <c r="K518" s="635">
        <f t="shared" si="184"/>
        <v>48871219</v>
      </c>
      <c r="L518" s="636">
        <v>280</v>
      </c>
      <c r="M518" s="636">
        <v>80756.571428571435</v>
      </c>
      <c r="N518" s="637">
        <f t="shared" si="185"/>
        <v>22611840</v>
      </c>
      <c r="O518" s="638">
        <v>294</v>
      </c>
      <c r="P518" s="638">
        <v>82750.717687074837</v>
      </c>
      <c r="Q518" s="635">
        <f t="shared" si="186"/>
        <v>24328711.000000004</v>
      </c>
      <c r="R518" s="636">
        <v>194</v>
      </c>
      <c r="S518" s="636">
        <v>81005.036082474224</v>
      </c>
      <c r="T518" s="637">
        <f t="shared" si="187"/>
        <v>15714977</v>
      </c>
      <c r="U518" s="638">
        <v>202</v>
      </c>
      <c r="V518" s="638">
        <v>81201.712871287134</v>
      </c>
      <c r="W518" s="635">
        <f t="shared" si="188"/>
        <v>16402746.000000002</v>
      </c>
      <c r="X518" s="636"/>
      <c r="Y518" s="636"/>
      <c r="Z518" s="637">
        <f t="shared" si="189"/>
        <v>0</v>
      </c>
      <c r="AA518" s="638"/>
      <c r="AB518" s="638"/>
      <c r="AC518" s="635">
        <f t="shared" si="190"/>
        <v>0</v>
      </c>
      <c r="AD518" s="649">
        <f t="shared" si="207"/>
        <v>227</v>
      </c>
      <c r="AE518" s="649">
        <f t="shared" si="208"/>
        <v>61283.643171806165</v>
      </c>
      <c r="AF518" s="637">
        <f t="shared" si="191"/>
        <v>13911387</v>
      </c>
      <c r="AG518" s="649">
        <f t="shared" si="209"/>
        <v>246</v>
      </c>
      <c r="AH518" s="649">
        <f t="shared" si="210"/>
        <v>61606.967479674793</v>
      </c>
      <c r="AI518" s="635">
        <f t="shared" si="192"/>
        <v>15155314</v>
      </c>
      <c r="AJ518" s="649"/>
      <c r="AK518" s="649"/>
      <c r="AL518" s="637">
        <f t="shared" si="211"/>
        <v>15155314</v>
      </c>
      <c r="AM518" s="649"/>
      <c r="AN518" s="649"/>
      <c r="AO518" s="640">
        <f t="shared" si="194"/>
        <v>0</v>
      </c>
      <c r="AP518" s="636">
        <v>15</v>
      </c>
      <c r="AQ518" s="636">
        <v>154174.66666666666</v>
      </c>
      <c r="AR518" s="637">
        <f t="shared" si="195"/>
        <v>1892185.6840000001</v>
      </c>
      <c r="AS518" s="638">
        <v>14</v>
      </c>
      <c r="AT518" s="638">
        <v>155628.78571428571</v>
      </c>
      <c r="AU518" s="635">
        <f t="shared" si="196"/>
        <v>1782696.6146</v>
      </c>
      <c r="AV518" s="636">
        <v>15</v>
      </c>
      <c r="AW518" s="636">
        <v>112776.93333333333</v>
      </c>
      <c r="AX518" s="637">
        <f t="shared" si="197"/>
        <v>1384111.3028000002</v>
      </c>
      <c r="AY518" s="638">
        <v>12</v>
      </c>
      <c r="AZ518" s="638">
        <v>112557.75</v>
      </c>
      <c r="BA518" s="635">
        <f t="shared" si="198"/>
        <v>1105137.0126</v>
      </c>
      <c r="BB518" s="636">
        <v>12</v>
      </c>
      <c r="BC518" s="636">
        <v>88642.833333333328</v>
      </c>
      <c r="BD518" s="637">
        <f t="shared" si="199"/>
        <v>870330.79480000003</v>
      </c>
      <c r="BE518" s="638">
        <v>11</v>
      </c>
      <c r="BF518" s="638">
        <v>88183.545454545456</v>
      </c>
      <c r="BG518" s="635">
        <f t="shared" si="200"/>
        <v>793669.54580000008</v>
      </c>
      <c r="BH518" s="636"/>
      <c r="BI518" s="636"/>
      <c r="BJ518" s="637">
        <f t="shared" si="201"/>
        <v>0</v>
      </c>
      <c r="BK518" s="638"/>
      <c r="BL518" s="638"/>
      <c r="BM518" s="635">
        <f t="shared" si="202"/>
        <v>0</v>
      </c>
      <c r="BN518" s="649">
        <f t="shared" si="212"/>
        <v>66</v>
      </c>
      <c r="BO518" s="649">
        <f t="shared" si="213"/>
        <v>72595.530303030304</v>
      </c>
      <c r="BP518" s="637">
        <f t="shared" si="203"/>
        <v>3920245.7510000002</v>
      </c>
      <c r="BQ518" s="649">
        <f t="shared" si="214"/>
        <v>70</v>
      </c>
      <c r="BR518" s="649">
        <f t="shared" si="215"/>
        <v>74595.857142857145</v>
      </c>
      <c r="BS518" s="635">
        <f t="shared" si="204"/>
        <v>4272403.1220000004</v>
      </c>
      <c r="BT518" s="649"/>
      <c r="BU518" s="649"/>
      <c r="BV518" s="637">
        <f t="shared" si="205"/>
        <v>0</v>
      </c>
      <c r="BW518" s="649"/>
      <c r="BX518" s="649"/>
      <c r="BY518" s="641">
        <f t="shared" si="206"/>
        <v>0</v>
      </c>
      <c r="CA518" s="467">
        <v>89</v>
      </c>
      <c r="CB518" s="467">
        <v>54954.685393258427</v>
      </c>
      <c r="CC518" s="462"/>
      <c r="CD518" s="192">
        <v>45</v>
      </c>
      <c r="CE518" s="192">
        <v>42786.533333333333</v>
      </c>
      <c r="CF518" s="205"/>
      <c r="CG518" s="467">
        <v>138</v>
      </c>
      <c r="CH518" s="467">
        <v>65365.362318840576</v>
      </c>
      <c r="CI518" s="462"/>
      <c r="CJ518" s="192">
        <v>201</v>
      </c>
      <c r="CK518" s="192">
        <v>65820.497512437811</v>
      </c>
      <c r="CL518" s="464"/>
      <c r="CM518" s="540">
        <v>4</v>
      </c>
      <c r="CN518" s="467">
        <v>59841</v>
      </c>
      <c r="CO518" s="462"/>
      <c r="CP518" s="192">
        <v>1</v>
      </c>
      <c r="CQ518" s="192">
        <v>59772</v>
      </c>
      <c r="CR518" s="205"/>
      <c r="CS518" s="467">
        <v>62</v>
      </c>
      <c r="CT518" s="467">
        <v>76313.870967741939</v>
      </c>
      <c r="CU518" s="462"/>
      <c r="CV518" s="192">
        <v>69</v>
      </c>
      <c r="CW518" s="192">
        <v>74810.681159420288</v>
      </c>
      <c r="CX518" s="205"/>
    </row>
    <row r="519" spans="1:102" x14ac:dyDescent="0.2">
      <c r="A519" s="384" t="s">
        <v>77</v>
      </c>
      <c r="B519" s="348" t="s">
        <v>703</v>
      </c>
      <c r="C519" s="349"/>
      <c r="D519" s="351">
        <v>227216</v>
      </c>
      <c r="E519" s="260">
        <v>1</v>
      </c>
      <c r="F519" s="631">
        <v>239</v>
      </c>
      <c r="G519" s="632">
        <v>105525.85355648535</v>
      </c>
      <c r="H519" s="633">
        <f t="shared" si="183"/>
        <v>25220679</v>
      </c>
      <c r="I519" s="634">
        <v>245</v>
      </c>
      <c r="J519" s="634">
        <v>106180.94693877551</v>
      </c>
      <c r="K519" s="635">
        <f t="shared" si="184"/>
        <v>26014332</v>
      </c>
      <c r="L519" s="636">
        <v>260</v>
      </c>
      <c r="M519" s="636">
        <v>80286.292307692303</v>
      </c>
      <c r="N519" s="637">
        <f t="shared" si="185"/>
        <v>20874436</v>
      </c>
      <c r="O519" s="638">
        <v>260</v>
      </c>
      <c r="P519" s="638">
        <v>80195.315384615387</v>
      </c>
      <c r="Q519" s="635">
        <f t="shared" si="186"/>
        <v>20850782</v>
      </c>
      <c r="R519" s="636">
        <v>258</v>
      </c>
      <c r="S519" s="636">
        <v>65935.686046511633</v>
      </c>
      <c r="T519" s="637">
        <f t="shared" si="187"/>
        <v>17011407</v>
      </c>
      <c r="U519" s="638">
        <v>219</v>
      </c>
      <c r="V519" s="638">
        <v>66547.621004566216</v>
      </c>
      <c r="W519" s="635">
        <f t="shared" si="188"/>
        <v>14573929.000000002</v>
      </c>
      <c r="X519" s="636">
        <v>2</v>
      </c>
      <c r="Y519" s="636">
        <v>60950</v>
      </c>
      <c r="Z519" s="637">
        <f t="shared" si="189"/>
        <v>121900</v>
      </c>
      <c r="AA519" s="638">
        <v>6</v>
      </c>
      <c r="AB519" s="638">
        <v>57150</v>
      </c>
      <c r="AC519" s="635">
        <f t="shared" si="190"/>
        <v>342900</v>
      </c>
      <c r="AD519" s="649">
        <f t="shared" si="207"/>
        <v>193</v>
      </c>
      <c r="AE519" s="649">
        <f t="shared" si="208"/>
        <v>50323.533678756474</v>
      </c>
      <c r="AF519" s="637">
        <f t="shared" si="191"/>
        <v>9712442</v>
      </c>
      <c r="AG519" s="649">
        <f t="shared" si="209"/>
        <v>219</v>
      </c>
      <c r="AH519" s="649">
        <f t="shared" si="210"/>
        <v>51555.963470319635</v>
      </c>
      <c r="AI519" s="635">
        <f t="shared" si="192"/>
        <v>11290756</v>
      </c>
      <c r="AJ519" s="649"/>
      <c r="AK519" s="649"/>
      <c r="AL519" s="637">
        <f t="shared" si="211"/>
        <v>11290756</v>
      </c>
      <c r="AM519" s="649"/>
      <c r="AN519" s="649"/>
      <c r="AO519" s="640">
        <f t="shared" si="194"/>
        <v>0</v>
      </c>
      <c r="AP519" s="636">
        <v>34</v>
      </c>
      <c r="AQ519" s="636">
        <v>147971.4705882353</v>
      </c>
      <c r="AR519" s="637">
        <f t="shared" si="195"/>
        <v>4116388.7460000003</v>
      </c>
      <c r="AS519" s="638">
        <v>36</v>
      </c>
      <c r="AT519" s="638">
        <v>146903.44444444444</v>
      </c>
      <c r="AU519" s="635">
        <f t="shared" si="196"/>
        <v>4327070.3368000006</v>
      </c>
      <c r="AV519" s="636">
        <v>18</v>
      </c>
      <c r="AW519" s="636">
        <v>101600.27777777778</v>
      </c>
      <c r="AX519" s="637">
        <f t="shared" si="197"/>
        <v>1496328.2510000002</v>
      </c>
      <c r="AY519" s="638">
        <v>16</v>
      </c>
      <c r="AZ519" s="638">
        <v>98147.75</v>
      </c>
      <c r="BA519" s="635">
        <f t="shared" si="198"/>
        <v>1284871.8248000001</v>
      </c>
      <c r="BB519" s="636"/>
      <c r="BC519" s="636"/>
      <c r="BD519" s="637">
        <f t="shared" si="199"/>
        <v>0</v>
      </c>
      <c r="BE519" s="638"/>
      <c r="BF519" s="638"/>
      <c r="BG519" s="635">
        <f t="shared" si="200"/>
        <v>0</v>
      </c>
      <c r="BH519" s="636"/>
      <c r="BI519" s="636"/>
      <c r="BJ519" s="637">
        <f t="shared" si="201"/>
        <v>0</v>
      </c>
      <c r="BK519" s="638">
        <v>1</v>
      </c>
      <c r="BL519" s="638">
        <v>60000</v>
      </c>
      <c r="BM519" s="635">
        <f t="shared" si="202"/>
        <v>49092</v>
      </c>
      <c r="BN519" s="649">
        <f t="shared" si="212"/>
        <v>0</v>
      </c>
      <c r="BO519" s="649">
        <f t="shared" si="213"/>
        <v>0</v>
      </c>
      <c r="BP519" s="637">
        <f t="shared" si="203"/>
        <v>0</v>
      </c>
      <c r="BQ519" s="649">
        <f t="shared" si="214"/>
        <v>5</v>
      </c>
      <c r="BR519" s="649">
        <f t="shared" si="215"/>
        <v>70348.2</v>
      </c>
      <c r="BS519" s="635">
        <f t="shared" si="204"/>
        <v>287794.48619999998</v>
      </c>
      <c r="BT519" s="649"/>
      <c r="BU519" s="649"/>
      <c r="BV519" s="637">
        <f t="shared" si="205"/>
        <v>0</v>
      </c>
      <c r="BW519" s="649"/>
      <c r="BX519" s="649"/>
      <c r="BY519" s="641">
        <f t="shared" si="206"/>
        <v>0</v>
      </c>
      <c r="CA519" s="467">
        <v>179</v>
      </c>
      <c r="CB519" s="467">
        <v>49354.888268156421</v>
      </c>
      <c r="CC519" s="462"/>
      <c r="CD519" s="192">
        <v>196</v>
      </c>
      <c r="CE519" s="192">
        <v>50843.306122448979</v>
      </c>
      <c r="CF519" s="205"/>
      <c r="CG519" s="467">
        <v>14</v>
      </c>
      <c r="CH519" s="467">
        <v>62708.357142857145</v>
      </c>
      <c r="CI519" s="462"/>
      <c r="CJ519" s="192">
        <v>23</v>
      </c>
      <c r="CK519" s="192">
        <v>57629.043478260872</v>
      </c>
      <c r="CL519" s="206"/>
      <c r="CM519" s="467"/>
      <c r="CN519" s="467"/>
      <c r="CO519" s="462"/>
      <c r="CP519" s="192">
        <v>1</v>
      </c>
      <c r="CQ519" s="192">
        <v>76040</v>
      </c>
      <c r="CR519" s="205"/>
      <c r="CS519" s="467"/>
      <c r="CT519" s="467"/>
      <c r="CU519" s="462"/>
      <c r="CV519" s="192">
        <v>4</v>
      </c>
      <c r="CW519" s="192">
        <v>68925</v>
      </c>
      <c r="CX519" s="205"/>
    </row>
    <row r="520" spans="1:102" x14ac:dyDescent="0.2">
      <c r="A520" s="384" t="s">
        <v>77</v>
      </c>
      <c r="B520" s="348" t="s">
        <v>704</v>
      </c>
      <c r="C520" s="349"/>
      <c r="D520" s="351">
        <v>228769</v>
      </c>
      <c r="E520" s="385">
        <v>1</v>
      </c>
      <c r="F520" s="631">
        <v>184</v>
      </c>
      <c r="G520" s="632">
        <v>102457.66304347826</v>
      </c>
      <c r="H520" s="633">
        <f t="shared" ref="H520:H583" si="216">F520*G520</f>
        <v>18852210</v>
      </c>
      <c r="I520" s="634">
        <v>170</v>
      </c>
      <c r="J520" s="634">
        <v>106543.17647058824</v>
      </c>
      <c r="K520" s="635">
        <f t="shared" ref="K520:K583" si="217">I520*J520</f>
        <v>18112340</v>
      </c>
      <c r="L520" s="636">
        <v>195</v>
      </c>
      <c r="M520" s="636">
        <v>79042.348717948713</v>
      </c>
      <c r="N520" s="637">
        <f t="shared" ref="N520:N583" si="218">L520*M520</f>
        <v>15413257.999999998</v>
      </c>
      <c r="O520" s="638">
        <v>205</v>
      </c>
      <c r="P520" s="638">
        <v>80003.921951219512</v>
      </c>
      <c r="Q520" s="635">
        <f t="shared" ref="Q520:Q583" si="219">O520*P520</f>
        <v>16400804</v>
      </c>
      <c r="R520" s="636">
        <v>219</v>
      </c>
      <c r="S520" s="636">
        <v>72424.109589041094</v>
      </c>
      <c r="T520" s="637">
        <f t="shared" ref="T520:T583" si="220">R520*S520</f>
        <v>15860880</v>
      </c>
      <c r="U520" s="638">
        <v>200</v>
      </c>
      <c r="V520" s="638">
        <v>72548.56</v>
      </c>
      <c r="W520" s="635">
        <f t="shared" ref="W520:W583" si="221">U520*V520</f>
        <v>14509712</v>
      </c>
      <c r="X520" s="636"/>
      <c r="Y520" s="636"/>
      <c r="Z520" s="637">
        <f t="shared" ref="Z520:Z583" si="222">X520*Y520</f>
        <v>0</v>
      </c>
      <c r="AA520" s="638"/>
      <c r="AB520" s="638"/>
      <c r="AC520" s="635">
        <f t="shared" ref="AC520:AC583" si="223">AA520*AB520</f>
        <v>0</v>
      </c>
      <c r="AD520" s="649">
        <f t="shared" si="207"/>
        <v>266</v>
      </c>
      <c r="AE520" s="649">
        <f t="shared" si="208"/>
        <v>50148.691729323305</v>
      </c>
      <c r="AF520" s="637">
        <f t="shared" ref="AF520:AF553" si="224">AD520*AE520</f>
        <v>13339552</v>
      </c>
      <c r="AG520" s="649">
        <f t="shared" si="209"/>
        <v>276</v>
      </c>
      <c r="AH520" s="649">
        <f t="shared" si="210"/>
        <v>50671.246376811592</v>
      </c>
      <c r="AI520" s="635">
        <f t="shared" ref="AI520:AI552" si="225">AG520*AH520</f>
        <v>13985264</v>
      </c>
      <c r="AJ520" s="649"/>
      <c r="AK520" s="649"/>
      <c r="AL520" s="637">
        <f t="shared" si="211"/>
        <v>13985264</v>
      </c>
      <c r="AM520" s="649"/>
      <c r="AN520" s="649"/>
      <c r="AO520" s="640">
        <f t="shared" ref="AO520:AO583" si="226">AM520*AN520</f>
        <v>0</v>
      </c>
      <c r="AP520" s="636"/>
      <c r="AQ520" s="636"/>
      <c r="AR520" s="637">
        <f t="shared" ref="AR520:AR583" si="227">(AP520*AQ520)*0.8182</f>
        <v>0</v>
      </c>
      <c r="AS520" s="638"/>
      <c r="AT520" s="638"/>
      <c r="AU520" s="635">
        <f t="shared" ref="AU520:AU583" si="228">(AS520*AT520)*0.8182</f>
        <v>0</v>
      </c>
      <c r="AV520" s="636"/>
      <c r="AW520" s="636"/>
      <c r="AX520" s="637">
        <f t="shared" ref="AX520:AX583" si="229">(AV520*AW520)*0.8182</f>
        <v>0</v>
      </c>
      <c r="AY520" s="638"/>
      <c r="AZ520" s="638"/>
      <c r="BA520" s="635">
        <f t="shared" ref="BA520:BA583" si="230">(AY520*AZ520)*0.8182</f>
        <v>0</v>
      </c>
      <c r="BB520" s="636"/>
      <c r="BC520" s="636"/>
      <c r="BD520" s="637">
        <f t="shared" ref="BD520:BD583" si="231">(BB520*BC520)*0.8182</f>
        <v>0</v>
      </c>
      <c r="BE520" s="638"/>
      <c r="BF520" s="638"/>
      <c r="BG520" s="635">
        <f t="shared" ref="BG520:BG583" si="232">(BE520*BF520)*0.8182</f>
        <v>0</v>
      </c>
      <c r="BH520" s="636"/>
      <c r="BI520" s="636"/>
      <c r="BJ520" s="637">
        <f t="shared" ref="BJ520:BJ583" si="233">(BH520*BI520)*0.8182</f>
        <v>0</v>
      </c>
      <c r="BK520" s="638"/>
      <c r="BL520" s="638"/>
      <c r="BM520" s="635">
        <f t="shared" ref="BM520:BM583" si="234">(BK520*BL520)*0.8182</f>
        <v>0</v>
      </c>
      <c r="BN520" s="649">
        <f t="shared" si="212"/>
        <v>0</v>
      </c>
      <c r="BO520" s="649">
        <f t="shared" si="213"/>
        <v>0</v>
      </c>
      <c r="BP520" s="637">
        <f t="shared" ref="BP520:BP583" si="235">(BN520*BO520)*0.8182</f>
        <v>0</v>
      </c>
      <c r="BQ520" s="649">
        <f t="shared" si="214"/>
        <v>0</v>
      </c>
      <c r="BR520" s="649">
        <f t="shared" si="215"/>
        <v>0</v>
      </c>
      <c r="BS520" s="635">
        <f t="shared" ref="BS520:BS583" si="236">(BQ520*BR520)*0.8182</f>
        <v>0</v>
      </c>
      <c r="BT520" s="649"/>
      <c r="BU520" s="649"/>
      <c r="BV520" s="637">
        <f t="shared" ref="BV520:BV583" si="237">(BT520*BU520)*0.8182</f>
        <v>0</v>
      </c>
      <c r="BW520" s="649"/>
      <c r="BX520" s="649"/>
      <c r="BY520" s="641">
        <f t="shared" ref="BY520:BY583" si="238">(BW520*BX520)*0.8182</f>
        <v>0</v>
      </c>
      <c r="CA520" s="467">
        <v>266</v>
      </c>
      <c r="CB520" s="467">
        <v>50148.691729323305</v>
      </c>
      <c r="CC520" s="462"/>
      <c r="CD520" s="192">
        <v>276</v>
      </c>
      <c r="CE520" s="192">
        <v>50671.246376811592</v>
      </c>
      <c r="CF520" s="205"/>
      <c r="CG520" s="467"/>
      <c r="CH520" s="467"/>
      <c r="CI520" s="462"/>
      <c r="CJ520" s="192"/>
      <c r="CK520" s="192"/>
      <c r="CL520" s="206"/>
      <c r="CM520" s="467"/>
      <c r="CN520" s="467"/>
      <c r="CO520" s="462"/>
      <c r="CP520" s="192"/>
      <c r="CQ520" s="192"/>
      <c r="CR520" s="205"/>
      <c r="CS520" s="467"/>
      <c r="CT520" s="467"/>
      <c r="CU520" s="462"/>
      <c r="CV520" s="192"/>
      <c r="CW520" s="192"/>
      <c r="CX520" s="205"/>
    </row>
    <row r="521" spans="1:102" x14ac:dyDescent="0.2">
      <c r="A521" s="384" t="s">
        <v>77</v>
      </c>
      <c r="B521" s="348" t="s">
        <v>705</v>
      </c>
      <c r="C521" s="349"/>
      <c r="D521" s="351">
        <v>228778</v>
      </c>
      <c r="E521" s="260">
        <v>1</v>
      </c>
      <c r="F521" s="631">
        <v>985</v>
      </c>
      <c r="G521" s="632">
        <v>136404.60507614212</v>
      </c>
      <c r="H521" s="633">
        <f t="shared" si="216"/>
        <v>134358536</v>
      </c>
      <c r="I521" s="634">
        <v>982</v>
      </c>
      <c r="J521" s="634">
        <v>140582.7118126273</v>
      </c>
      <c r="K521" s="635">
        <f t="shared" si="217"/>
        <v>138052223</v>
      </c>
      <c r="L521" s="636">
        <v>530</v>
      </c>
      <c r="M521" s="636">
        <v>88581.905660377364</v>
      </c>
      <c r="N521" s="637">
        <f t="shared" si="218"/>
        <v>46948410</v>
      </c>
      <c r="O521" s="638">
        <v>527</v>
      </c>
      <c r="P521" s="638">
        <v>89901.206831119547</v>
      </c>
      <c r="Q521" s="635">
        <f t="shared" si="219"/>
        <v>47377936</v>
      </c>
      <c r="R521" s="636">
        <v>439</v>
      </c>
      <c r="S521" s="636">
        <v>82382.107061503411</v>
      </c>
      <c r="T521" s="637">
        <f t="shared" si="220"/>
        <v>36165745</v>
      </c>
      <c r="U521" s="638">
        <v>400</v>
      </c>
      <c r="V521" s="638">
        <v>83898.99</v>
      </c>
      <c r="W521" s="635">
        <f t="shared" si="221"/>
        <v>33559596</v>
      </c>
      <c r="X521" s="636"/>
      <c r="Y521" s="636"/>
      <c r="Z521" s="637">
        <f t="shared" si="222"/>
        <v>0</v>
      </c>
      <c r="AA521" s="638"/>
      <c r="AB521" s="638"/>
      <c r="AC521" s="635">
        <f t="shared" si="223"/>
        <v>0</v>
      </c>
      <c r="AD521" s="649">
        <f t="shared" si="207"/>
        <v>541</v>
      </c>
      <c r="AE521" s="649">
        <f t="shared" si="208"/>
        <v>59079.029574861364</v>
      </c>
      <c r="AF521" s="637">
        <f t="shared" si="224"/>
        <v>31961754.999999996</v>
      </c>
      <c r="AG521" s="649">
        <f t="shared" si="209"/>
        <v>553</v>
      </c>
      <c r="AH521" s="649">
        <f t="shared" si="210"/>
        <v>59229.186256781191</v>
      </c>
      <c r="AI521" s="635">
        <f t="shared" si="225"/>
        <v>32753740</v>
      </c>
      <c r="AJ521" s="649"/>
      <c r="AK521" s="649"/>
      <c r="AL521" s="637">
        <f t="shared" si="211"/>
        <v>32753740</v>
      </c>
      <c r="AM521" s="649"/>
      <c r="AN521" s="649"/>
      <c r="AO521" s="640">
        <f t="shared" si="226"/>
        <v>0</v>
      </c>
      <c r="AP521" s="636"/>
      <c r="AQ521" s="636"/>
      <c r="AR521" s="637">
        <f t="shared" si="227"/>
        <v>0</v>
      </c>
      <c r="AS521" s="638"/>
      <c r="AT521" s="638"/>
      <c r="AU521" s="635">
        <f t="shared" si="228"/>
        <v>0</v>
      </c>
      <c r="AV521" s="636"/>
      <c r="AW521" s="636"/>
      <c r="AX521" s="637">
        <f t="shared" si="229"/>
        <v>0</v>
      </c>
      <c r="AY521" s="638"/>
      <c r="AZ521" s="638"/>
      <c r="BA521" s="635">
        <f t="shared" si="230"/>
        <v>0</v>
      </c>
      <c r="BB521" s="636"/>
      <c r="BC521" s="636"/>
      <c r="BD521" s="637">
        <f t="shared" si="231"/>
        <v>0</v>
      </c>
      <c r="BE521" s="638"/>
      <c r="BF521" s="638"/>
      <c r="BG521" s="635">
        <f t="shared" si="232"/>
        <v>0</v>
      </c>
      <c r="BH521" s="636"/>
      <c r="BI521" s="636"/>
      <c r="BJ521" s="637">
        <f t="shared" si="233"/>
        <v>0</v>
      </c>
      <c r="BK521" s="638"/>
      <c r="BL521" s="638"/>
      <c r="BM521" s="635">
        <f t="shared" si="234"/>
        <v>0</v>
      </c>
      <c r="BN521" s="649">
        <f t="shared" si="212"/>
        <v>0</v>
      </c>
      <c r="BO521" s="649">
        <f t="shared" si="213"/>
        <v>0</v>
      </c>
      <c r="BP521" s="637">
        <f t="shared" si="235"/>
        <v>0</v>
      </c>
      <c r="BQ521" s="649">
        <f t="shared" si="214"/>
        <v>0</v>
      </c>
      <c r="BR521" s="649">
        <f t="shared" si="215"/>
        <v>0</v>
      </c>
      <c r="BS521" s="635">
        <f t="shared" si="236"/>
        <v>0</v>
      </c>
      <c r="BT521" s="649"/>
      <c r="BU521" s="649"/>
      <c r="BV521" s="637">
        <f t="shared" si="237"/>
        <v>0</v>
      </c>
      <c r="BW521" s="649"/>
      <c r="BX521" s="649"/>
      <c r="BY521" s="641">
        <f t="shared" si="238"/>
        <v>0</v>
      </c>
      <c r="CA521" s="467">
        <v>354</v>
      </c>
      <c r="CB521" s="467">
        <v>56903.661016949154</v>
      </c>
      <c r="CC521" s="462"/>
      <c r="CD521" s="192">
        <v>363</v>
      </c>
      <c r="CE521" s="192">
        <v>56849.123966942148</v>
      </c>
      <c r="CF521" s="205"/>
      <c r="CG521" s="467">
        <v>187</v>
      </c>
      <c r="CH521" s="467">
        <v>63197.106951871661</v>
      </c>
      <c r="CI521" s="462"/>
      <c r="CJ521" s="192">
        <v>190</v>
      </c>
      <c r="CK521" s="192">
        <v>63776.357894736844</v>
      </c>
      <c r="CL521" s="206"/>
      <c r="CM521" s="467"/>
      <c r="CN521" s="467"/>
      <c r="CO521" s="462"/>
      <c r="CP521" s="192"/>
      <c r="CQ521" s="192"/>
      <c r="CR521" s="205"/>
      <c r="CS521" s="467"/>
      <c r="CT521" s="467"/>
      <c r="CU521" s="462"/>
      <c r="CV521" s="192"/>
      <c r="CW521" s="192"/>
      <c r="CX521" s="205"/>
    </row>
    <row r="522" spans="1:102" x14ac:dyDescent="0.2">
      <c r="A522" s="384" t="s">
        <v>77</v>
      </c>
      <c r="B522" s="348" t="s">
        <v>706</v>
      </c>
      <c r="C522" s="349"/>
      <c r="D522" s="351">
        <v>228787</v>
      </c>
      <c r="E522" s="260">
        <v>1</v>
      </c>
      <c r="F522" s="631"/>
      <c r="G522" s="632"/>
      <c r="H522" s="633">
        <f t="shared" si="216"/>
        <v>0</v>
      </c>
      <c r="I522" s="634">
        <v>203</v>
      </c>
      <c r="J522" s="634">
        <v>150345.63546798029</v>
      </c>
      <c r="K522" s="635">
        <f t="shared" si="217"/>
        <v>30520164</v>
      </c>
      <c r="L522" s="636"/>
      <c r="M522" s="636"/>
      <c r="N522" s="637">
        <f t="shared" si="218"/>
        <v>0</v>
      </c>
      <c r="O522" s="638">
        <v>119</v>
      </c>
      <c r="P522" s="638">
        <v>108858.26050420168</v>
      </c>
      <c r="Q522" s="635">
        <f t="shared" si="219"/>
        <v>12954133</v>
      </c>
      <c r="R522" s="636"/>
      <c r="S522" s="636"/>
      <c r="T522" s="637">
        <f t="shared" si="220"/>
        <v>0</v>
      </c>
      <c r="U522" s="638">
        <v>113</v>
      </c>
      <c r="V522" s="638">
        <v>101044</v>
      </c>
      <c r="W522" s="635">
        <f t="shared" si="221"/>
        <v>11417972</v>
      </c>
      <c r="X522" s="636"/>
      <c r="Y522" s="636"/>
      <c r="Z522" s="637">
        <f t="shared" si="222"/>
        <v>0</v>
      </c>
      <c r="AA522" s="638"/>
      <c r="AB522" s="638"/>
      <c r="AC522" s="635">
        <f t="shared" si="223"/>
        <v>0</v>
      </c>
      <c r="AD522" s="649">
        <f t="shared" si="207"/>
        <v>0</v>
      </c>
      <c r="AE522" s="649">
        <f t="shared" si="208"/>
        <v>0</v>
      </c>
      <c r="AF522" s="637">
        <f t="shared" si="224"/>
        <v>0</v>
      </c>
      <c r="AG522" s="649">
        <f t="shared" si="209"/>
        <v>199</v>
      </c>
      <c r="AH522" s="649">
        <f t="shared" si="210"/>
        <v>64348.874371859296</v>
      </c>
      <c r="AI522" s="635">
        <f t="shared" si="225"/>
        <v>12805426</v>
      </c>
      <c r="AJ522" s="649"/>
      <c r="AK522" s="649"/>
      <c r="AL522" s="637">
        <f t="shared" si="211"/>
        <v>12805426</v>
      </c>
      <c r="AM522" s="649"/>
      <c r="AN522" s="649"/>
      <c r="AO522" s="640">
        <f t="shared" si="226"/>
        <v>0</v>
      </c>
      <c r="AP522" s="636">
        <v>1</v>
      </c>
      <c r="AQ522" s="636">
        <v>150667</v>
      </c>
      <c r="AR522" s="637">
        <f t="shared" si="227"/>
        <v>123275.73940000001</v>
      </c>
      <c r="AS522" s="638"/>
      <c r="AT522" s="638"/>
      <c r="AU522" s="635">
        <f t="shared" si="228"/>
        <v>0</v>
      </c>
      <c r="AV522" s="636">
        <v>1</v>
      </c>
      <c r="AW522" s="636">
        <v>98515</v>
      </c>
      <c r="AX522" s="637">
        <f t="shared" si="229"/>
        <v>80604.972999999998</v>
      </c>
      <c r="AY522" s="638"/>
      <c r="AZ522" s="638"/>
      <c r="BA522" s="635">
        <f t="shared" si="230"/>
        <v>0</v>
      </c>
      <c r="BB522" s="636"/>
      <c r="BC522" s="636"/>
      <c r="BD522" s="637">
        <f t="shared" si="231"/>
        <v>0</v>
      </c>
      <c r="BE522" s="638"/>
      <c r="BF522" s="638"/>
      <c r="BG522" s="635">
        <f t="shared" si="232"/>
        <v>0</v>
      </c>
      <c r="BH522" s="636"/>
      <c r="BI522" s="636"/>
      <c r="BJ522" s="637">
        <f t="shared" si="233"/>
        <v>0</v>
      </c>
      <c r="BK522" s="638"/>
      <c r="BL522" s="638"/>
      <c r="BM522" s="635">
        <f t="shared" si="234"/>
        <v>0</v>
      </c>
      <c r="BN522" s="649">
        <f t="shared" si="212"/>
        <v>0</v>
      </c>
      <c r="BO522" s="649">
        <f t="shared" si="213"/>
        <v>0</v>
      </c>
      <c r="BP522" s="637">
        <f t="shared" si="235"/>
        <v>0</v>
      </c>
      <c r="BQ522" s="649">
        <f t="shared" si="214"/>
        <v>0</v>
      </c>
      <c r="BR522" s="649">
        <f t="shared" si="215"/>
        <v>0</v>
      </c>
      <c r="BS522" s="635">
        <f t="shared" si="236"/>
        <v>0</v>
      </c>
      <c r="BT522" s="649"/>
      <c r="BU522" s="649"/>
      <c r="BV522" s="637">
        <f t="shared" si="237"/>
        <v>0</v>
      </c>
      <c r="BW522" s="649"/>
      <c r="BX522" s="649"/>
      <c r="BY522" s="641">
        <f t="shared" si="238"/>
        <v>0</v>
      </c>
      <c r="CA522" s="467"/>
      <c r="CB522" s="467"/>
      <c r="CC522" s="462"/>
      <c r="CD522" s="192">
        <v>199</v>
      </c>
      <c r="CE522" s="192">
        <v>64348.874371859296</v>
      </c>
      <c r="CF522" s="205"/>
      <c r="CG522" s="467"/>
      <c r="CH522" s="467"/>
      <c r="CI522" s="462"/>
      <c r="CJ522" s="192"/>
      <c r="CK522" s="192"/>
      <c r="CL522" s="206"/>
      <c r="CM522" s="467"/>
      <c r="CN522" s="467"/>
      <c r="CO522" s="462"/>
      <c r="CP522" s="192"/>
      <c r="CQ522" s="192"/>
      <c r="CR522" s="205"/>
      <c r="CS522" s="467"/>
      <c r="CT522" s="467"/>
      <c r="CU522" s="462"/>
      <c r="CV522" s="192"/>
      <c r="CW522" s="192"/>
      <c r="CX522" s="205"/>
    </row>
    <row r="523" spans="1:102" x14ac:dyDescent="0.2">
      <c r="A523" s="384" t="s">
        <v>77</v>
      </c>
      <c r="B523" s="350" t="s">
        <v>707</v>
      </c>
      <c r="C523" s="386" t="s">
        <v>872</v>
      </c>
      <c r="D523" s="351">
        <v>229179</v>
      </c>
      <c r="E523" s="260">
        <v>2</v>
      </c>
      <c r="F523" s="631">
        <v>57</v>
      </c>
      <c r="G523" s="632">
        <v>88009.754385964916</v>
      </c>
      <c r="H523" s="633">
        <f t="shared" si="216"/>
        <v>5016556</v>
      </c>
      <c r="I523" s="634">
        <v>51</v>
      </c>
      <c r="J523" s="634">
        <v>89427.647058823524</v>
      </c>
      <c r="K523" s="635">
        <f t="shared" si="217"/>
        <v>4560810</v>
      </c>
      <c r="L523" s="636">
        <v>82</v>
      </c>
      <c r="M523" s="636">
        <v>73856.975609756104</v>
      </c>
      <c r="N523" s="637">
        <f t="shared" si="218"/>
        <v>6056272.0000000009</v>
      </c>
      <c r="O523" s="638">
        <v>78</v>
      </c>
      <c r="P523" s="638">
        <v>74339.666666666672</v>
      </c>
      <c r="Q523" s="635">
        <f t="shared" si="219"/>
        <v>5798494</v>
      </c>
      <c r="R523" s="636">
        <v>101</v>
      </c>
      <c r="S523" s="636">
        <v>62013.049504950497</v>
      </c>
      <c r="T523" s="637">
        <f t="shared" si="220"/>
        <v>6263318</v>
      </c>
      <c r="U523" s="638">
        <v>93</v>
      </c>
      <c r="V523" s="638">
        <v>64082.494623655912</v>
      </c>
      <c r="W523" s="635">
        <f t="shared" si="221"/>
        <v>5959672</v>
      </c>
      <c r="X523" s="636">
        <v>10</v>
      </c>
      <c r="Y523" s="636">
        <v>53238.400000000001</v>
      </c>
      <c r="Z523" s="637">
        <f t="shared" si="222"/>
        <v>532384</v>
      </c>
      <c r="AA523" s="638">
        <v>11</v>
      </c>
      <c r="AB523" s="638">
        <v>49985.727272727272</v>
      </c>
      <c r="AC523" s="635">
        <f t="shared" si="223"/>
        <v>549843</v>
      </c>
      <c r="AD523" s="649">
        <f t="shared" si="207"/>
        <v>165</v>
      </c>
      <c r="AE523" s="649">
        <f t="shared" si="208"/>
        <v>58397.939393939392</v>
      </c>
      <c r="AF523" s="637">
        <f t="shared" si="224"/>
        <v>9635660</v>
      </c>
      <c r="AG523" s="649">
        <f t="shared" si="209"/>
        <v>168</v>
      </c>
      <c r="AH523" s="649">
        <f t="shared" si="210"/>
        <v>58762.964285714283</v>
      </c>
      <c r="AI523" s="635">
        <f t="shared" si="225"/>
        <v>9872178</v>
      </c>
      <c r="AJ523" s="649"/>
      <c r="AK523" s="649"/>
      <c r="AL523" s="637">
        <f t="shared" si="211"/>
        <v>9872178</v>
      </c>
      <c r="AM523" s="649"/>
      <c r="AN523" s="649"/>
      <c r="AO523" s="640">
        <f t="shared" si="226"/>
        <v>0</v>
      </c>
      <c r="AP523" s="636"/>
      <c r="AQ523" s="636"/>
      <c r="AR523" s="637">
        <f t="shared" si="227"/>
        <v>0</v>
      </c>
      <c r="AS523" s="638"/>
      <c r="AT523" s="638"/>
      <c r="AU523" s="635">
        <f t="shared" si="228"/>
        <v>0</v>
      </c>
      <c r="AV523" s="636"/>
      <c r="AW523" s="636"/>
      <c r="AX523" s="637">
        <f t="shared" si="229"/>
        <v>0</v>
      </c>
      <c r="AY523" s="638"/>
      <c r="AZ523" s="638"/>
      <c r="BA523" s="635">
        <f t="shared" si="230"/>
        <v>0</v>
      </c>
      <c r="BB523" s="636"/>
      <c r="BC523" s="636"/>
      <c r="BD523" s="637">
        <f t="shared" si="231"/>
        <v>0</v>
      </c>
      <c r="BE523" s="638"/>
      <c r="BF523" s="638"/>
      <c r="BG523" s="635">
        <f t="shared" si="232"/>
        <v>0</v>
      </c>
      <c r="BH523" s="636"/>
      <c r="BI523" s="636"/>
      <c r="BJ523" s="637">
        <f t="shared" si="233"/>
        <v>0</v>
      </c>
      <c r="BK523" s="638"/>
      <c r="BL523" s="638"/>
      <c r="BM523" s="635">
        <f t="shared" si="234"/>
        <v>0</v>
      </c>
      <c r="BN523" s="649">
        <f t="shared" si="212"/>
        <v>0</v>
      </c>
      <c r="BO523" s="649">
        <f t="shared" si="213"/>
        <v>0</v>
      </c>
      <c r="BP523" s="637">
        <f t="shared" si="235"/>
        <v>0</v>
      </c>
      <c r="BQ523" s="649">
        <f t="shared" si="214"/>
        <v>0</v>
      </c>
      <c r="BR523" s="649">
        <f t="shared" si="215"/>
        <v>0</v>
      </c>
      <c r="BS523" s="635">
        <f t="shared" si="236"/>
        <v>0</v>
      </c>
      <c r="BT523" s="649"/>
      <c r="BU523" s="649"/>
      <c r="BV523" s="637">
        <f t="shared" si="237"/>
        <v>0</v>
      </c>
      <c r="BW523" s="649"/>
      <c r="BX523" s="649"/>
      <c r="BY523" s="641">
        <f t="shared" si="238"/>
        <v>0</v>
      </c>
      <c r="CA523" s="467">
        <v>9</v>
      </c>
      <c r="CB523" s="467">
        <v>55964.666666666664</v>
      </c>
      <c r="CC523" s="462"/>
      <c r="CD523" s="192">
        <v>8</v>
      </c>
      <c r="CE523" s="192">
        <v>54428.875</v>
      </c>
      <c r="CF523" s="205"/>
      <c r="CG523" s="467">
        <v>156</v>
      </c>
      <c r="CH523" s="467">
        <v>58538.320512820515</v>
      </c>
      <c r="CI523" s="462"/>
      <c r="CJ523" s="192">
        <v>160</v>
      </c>
      <c r="CK523" s="192">
        <v>58979.668749999997</v>
      </c>
      <c r="CL523" s="206"/>
      <c r="CM523" s="467"/>
      <c r="CN523" s="467"/>
      <c r="CO523" s="462"/>
      <c r="CP523" s="192"/>
      <c r="CQ523" s="192"/>
      <c r="CR523" s="205"/>
      <c r="CS523" s="467"/>
      <c r="CT523" s="467"/>
      <c r="CU523" s="462"/>
      <c r="CV523" s="192"/>
      <c r="CW523" s="192"/>
      <c r="CX523" s="205"/>
    </row>
    <row r="524" spans="1:102" x14ac:dyDescent="0.2">
      <c r="A524" s="384" t="s">
        <v>77</v>
      </c>
      <c r="B524" s="348" t="s">
        <v>708</v>
      </c>
      <c r="C524" s="349"/>
      <c r="D524" s="351">
        <v>228796</v>
      </c>
      <c r="E524" s="385">
        <v>2</v>
      </c>
      <c r="F524" s="631">
        <v>142</v>
      </c>
      <c r="G524" s="632">
        <v>99886.091549295772</v>
      </c>
      <c r="H524" s="633">
        <f t="shared" si="216"/>
        <v>14183825</v>
      </c>
      <c r="I524" s="634">
        <v>142</v>
      </c>
      <c r="J524" s="634">
        <v>100208.6338028169</v>
      </c>
      <c r="K524" s="635">
        <f t="shared" si="217"/>
        <v>14229626</v>
      </c>
      <c r="L524" s="636">
        <v>196</v>
      </c>
      <c r="M524" s="636">
        <v>74647.102040816331</v>
      </c>
      <c r="N524" s="637">
        <f t="shared" si="218"/>
        <v>14630832</v>
      </c>
      <c r="O524" s="638">
        <v>198</v>
      </c>
      <c r="P524" s="638">
        <v>74257.616161616155</v>
      </c>
      <c r="Q524" s="635">
        <f t="shared" si="219"/>
        <v>14703007.999999998</v>
      </c>
      <c r="R524" s="636">
        <v>149</v>
      </c>
      <c r="S524" s="636">
        <v>67152.872483221479</v>
      </c>
      <c r="T524" s="637">
        <f t="shared" si="220"/>
        <v>10005778</v>
      </c>
      <c r="U524" s="638">
        <v>145</v>
      </c>
      <c r="V524" s="638">
        <v>68058.055172413791</v>
      </c>
      <c r="W524" s="635">
        <f t="shared" si="221"/>
        <v>9868418</v>
      </c>
      <c r="X524" s="636"/>
      <c r="Y524" s="636"/>
      <c r="Z524" s="637">
        <f t="shared" si="222"/>
        <v>0</v>
      </c>
      <c r="AA524" s="638"/>
      <c r="AB524" s="638"/>
      <c r="AC524" s="635">
        <f t="shared" si="223"/>
        <v>0</v>
      </c>
      <c r="AD524" s="649">
        <f t="shared" si="207"/>
        <v>189</v>
      </c>
      <c r="AE524" s="649">
        <f t="shared" si="208"/>
        <v>46415.650793650791</v>
      </c>
      <c r="AF524" s="637">
        <f t="shared" si="224"/>
        <v>8772558</v>
      </c>
      <c r="AG524" s="649">
        <f t="shared" si="209"/>
        <v>193</v>
      </c>
      <c r="AH524" s="649">
        <f t="shared" si="210"/>
        <v>45797.751295336784</v>
      </c>
      <c r="AI524" s="635">
        <f t="shared" si="225"/>
        <v>8838966</v>
      </c>
      <c r="AJ524" s="649"/>
      <c r="AK524" s="649"/>
      <c r="AL524" s="637">
        <f t="shared" si="211"/>
        <v>8838966</v>
      </c>
      <c r="AM524" s="649"/>
      <c r="AN524" s="649"/>
      <c r="AO524" s="640">
        <f t="shared" si="226"/>
        <v>0</v>
      </c>
      <c r="AP524" s="636"/>
      <c r="AQ524" s="636"/>
      <c r="AR524" s="637">
        <f t="shared" si="227"/>
        <v>0</v>
      </c>
      <c r="AS524" s="638"/>
      <c r="AT524" s="638"/>
      <c r="AU524" s="635">
        <f t="shared" si="228"/>
        <v>0</v>
      </c>
      <c r="AV524" s="636"/>
      <c r="AW524" s="636"/>
      <c r="AX524" s="637">
        <f t="shared" si="229"/>
        <v>0</v>
      </c>
      <c r="AY524" s="638"/>
      <c r="AZ524" s="638"/>
      <c r="BA524" s="635">
        <f t="shared" si="230"/>
        <v>0</v>
      </c>
      <c r="BB524" s="636"/>
      <c r="BC524" s="636"/>
      <c r="BD524" s="637">
        <f t="shared" si="231"/>
        <v>0</v>
      </c>
      <c r="BE524" s="638"/>
      <c r="BF524" s="638"/>
      <c r="BG524" s="635">
        <f t="shared" si="232"/>
        <v>0</v>
      </c>
      <c r="BH524" s="636"/>
      <c r="BI524" s="636"/>
      <c r="BJ524" s="637">
        <f t="shared" si="233"/>
        <v>0</v>
      </c>
      <c r="BK524" s="638"/>
      <c r="BL524" s="638"/>
      <c r="BM524" s="635">
        <f t="shared" si="234"/>
        <v>0</v>
      </c>
      <c r="BN524" s="649">
        <f t="shared" si="212"/>
        <v>0</v>
      </c>
      <c r="BO524" s="649">
        <f t="shared" si="213"/>
        <v>0</v>
      </c>
      <c r="BP524" s="637">
        <f t="shared" si="235"/>
        <v>0</v>
      </c>
      <c r="BQ524" s="649">
        <f t="shared" si="214"/>
        <v>0</v>
      </c>
      <c r="BR524" s="649">
        <f t="shared" si="215"/>
        <v>0</v>
      </c>
      <c r="BS524" s="635">
        <f t="shared" si="236"/>
        <v>0</v>
      </c>
      <c r="BT524" s="649"/>
      <c r="BU524" s="649"/>
      <c r="BV524" s="637">
        <f t="shared" si="237"/>
        <v>0</v>
      </c>
      <c r="BW524" s="649"/>
      <c r="BX524" s="649"/>
      <c r="BY524" s="641">
        <f t="shared" si="238"/>
        <v>0</v>
      </c>
      <c r="CA524" s="467">
        <v>189</v>
      </c>
      <c r="CB524" s="467">
        <v>46415.650793650791</v>
      </c>
      <c r="CC524" s="462"/>
      <c r="CD524" s="192">
        <v>193</v>
      </c>
      <c r="CE524" s="192">
        <v>45797.751295336784</v>
      </c>
      <c r="CF524" s="205"/>
      <c r="CG524" s="467"/>
      <c r="CH524" s="467"/>
      <c r="CI524" s="462"/>
      <c r="CJ524" s="192"/>
      <c r="CK524" s="192"/>
      <c r="CL524" s="206"/>
      <c r="CM524" s="467"/>
      <c r="CN524" s="467"/>
      <c r="CO524" s="462"/>
      <c r="CP524" s="192"/>
      <c r="CQ524" s="192"/>
      <c r="CR524" s="205"/>
      <c r="CS524" s="467"/>
      <c r="CT524" s="467"/>
      <c r="CU524" s="462"/>
      <c r="CV524" s="192"/>
      <c r="CW524" s="192"/>
      <c r="CX524" s="205"/>
    </row>
    <row r="525" spans="1:102" x14ac:dyDescent="0.2">
      <c r="A525" s="384" t="s">
        <v>77</v>
      </c>
      <c r="B525" s="348" t="s">
        <v>709</v>
      </c>
      <c r="C525" s="349"/>
      <c r="D525" s="351">
        <v>229027</v>
      </c>
      <c r="E525" s="260">
        <v>2</v>
      </c>
      <c r="F525" s="631">
        <v>191</v>
      </c>
      <c r="G525" s="632">
        <v>115425.79581151833</v>
      </c>
      <c r="H525" s="633">
        <f t="shared" si="216"/>
        <v>22046327</v>
      </c>
      <c r="I525" s="634">
        <v>195</v>
      </c>
      <c r="J525" s="634">
        <v>114711.42564102563</v>
      </c>
      <c r="K525" s="635">
        <f t="shared" si="217"/>
        <v>22368728</v>
      </c>
      <c r="L525" s="636">
        <v>199</v>
      </c>
      <c r="M525" s="636">
        <v>81332.381909547737</v>
      </c>
      <c r="N525" s="637">
        <f t="shared" si="218"/>
        <v>16185144</v>
      </c>
      <c r="O525" s="638">
        <v>207</v>
      </c>
      <c r="P525" s="638">
        <v>80877.942028985504</v>
      </c>
      <c r="Q525" s="635">
        <f t="shared" si="219"/>
        <v>16741734</v>
      </c>
      <c r="R525" s="636">
        <v>172</v>
      </c>
      <c r="S525" s="636">
        <v>69145.720930232565</v>
      </c>
      <c r="T525" s="637">
        <f t="shared" si="220"/>
        <v>11893064.000000002</v>
      </c>
      <c r="U525" s="638">
        <v>152</v>
      </c>
      <c r="V525" s="638">
        <v>70846.71710526316</v>
      </c>
      <c r="W525" s="635">
        <f t="shared" si="221"/>
        <v>10768701</v>
      </c>
      <c r="X525" s="636">
        <v>1</v>
      </c>
      <c r="Y525" s="636">
        <v>47708</v>
      </c>
      <c r="Z525" s="637">
        <f t="shared" si="222"/>
        <v>47708</v>
      </c>
      <c r="AA525" s="638"/>
      <c r="AB525" s="638"/>
      <c r="AC525" s="635">
        <f t="shared" si="223"/>
        <v>0</v>
      </c>
      <c r="AD525" s="649">
        <f t="shared" si="207"/>
        <v>285</v>
      </c>
      <c r="AE525" s="649">
        <f t="shared" si="208"/>
        <v>34875.249122807014</v>
      </c>
      <c r="AF525" s="637">
        <f t="shared" si="224"/>
        <v>9939445.9999999981</v>
      </c>
      <c r="AG525" s="649">
        <f t="shared" si="209"/>
        <v>322</v>
      </c>
      <c r="AH525" s="649">
        <f t="shared" si="210"/>
        <v>34150.149068322979</v>
      </c>
      <c r="AI525" s="635">
        <f t="shared" si="225"/>
        <v>10996348</v>
      </c>
      <c r="AJ525" s="649"/>
      <c r="AK525" s="649"/>
      <c r="AL525" s="637">
        <f t="shared" si="211"/>
        <v>10996348</v>
      </c>
      <c r="AM525" s="649"/>
      <c r="AN525" s="649"/>
      <c r="AO525" s="640">
        <f t="shared" si="226"/>
        <v>0</v>
      </c>
      <c r="AP525" s="636"/>
      <c r="AQ525" s="636"/>
      <c r="AR525" s="637">
        <f t="shared" si="227"/>
        <v>0</v>
      </c>
      <c r="AS525" s="638"/>
      <c r="AT525" s="638"/>
      <c r="AU525" s="635">
        <f t="shared" si="228"/>
        <v>0</v>
      </c>
      <c r="AV525" s="636"/>
      <c r="AW525" s="636"/>
      <c r="AX525" s="637">
        <f t="shared" si="229"/>
        <v>0</v>
      </c>
      <c r="AY525" s="638"/>
      <c r="AZ525" s="638"/>
      <c r="BA525" s="635">
        <f t="shared" si="230"/>
        <v>0</v>
      </c>
      <c r="BB525" s="636"/>
      <c r="BC525" s="636"/>
      <c r="BD525" s="637">
        <f t="shared" si="231"/>
        <v>0</v>
      </c>
      <c r="BE525" s="638"/>
      <c r="BF525" s="638"/>
      <c r="BG525" s="635">
        <f t="shared" si="232"/>
        <v>0</v>
      </c>
      <c r="BH525" s="636"/>
      <c r="BI525" s="636"/>
      <c r="BJ525" s="637">
        <f t="shared" si="233"/>
        <v>0</v>
      </c>
      <c r="BK525" s="638"/>
      <c r="BL525" s="638"/>
      <c r="BM525" s="635">
        <f t="shared" si="234"/>
        <v>0</v>
      </c>
      <c r="BN525" s="649">
        <f t="shared" si="212"/>
        <v>0</v>
      </c>
      <c r="BO525" s="649">
        <f t="shared" si="213"/>
        <v>0</v>
      </c>
      <c r="BP525" s="637">
        <f t="shared" si="235"/>
        <v>0</v>
      </c>
      <c r="BQ525" s="649">
        <f t="shared" si="214"/>
        <v>0</v>
      </c>
      <c r="BR525" s="649">
        <f t="shared" si="215"/>
        <v>0</v>
      </c>
      <c r="BS525" s="635">
        <f t="shared" si="236"/>
        <v>0</v>
      </c>
      <c r="BT525" s="649"/>
      <c r="BU525" s="649"/>
      <c r="BV525" s="637">
        <f t="shared" si="237"/>
        <v>0</v>
      </c>
      <c r="BW525" s="649"/>
      <c r="BX525" s="649"/>
      <c r="BY525" s="641">
        <f t="shared" si="238"/>
        <v>0</v>
      </c>
      <c r="CA525" s="467">
        <v>285</v>
      </c>
      <c r="CB525" s="467">
        <v>34875.249122807014</v>
      </c>
      <c r="CC525" s="462"/>
      <c r="CD525" s="192">
        <v>322</v>
      </c>
      <c r="CE525" s="192">
        <v>34150.149068322979</v>
      </c>
      <c r="CF525" s="205"/>
      <c r="CG525" s="467"/>
      <c r="CH525" s="467"/>
      <c r="CI525" s="462"/>
      <c r="CJ525" s="192"/>
      <c r="CK525" s="192"/>
      <c r="CL525" s="206"/>
      <c r="CM525" s="467"/>
      <c r="CN525" s="467"/>
      <c r="CO525" s="462"/>
      <c r="CP525" s="192"/>
      <c r="CQ525" s="192"/>
      <c r="CR525" s="205"/>
      <c r="CS525" s="467"/>
      <c r="CT525" s="467"/>
      <c r="CU525" s="462"/>
      <c r="CV525" s="192"/>
      <c r="CW525" s="192"/>
      <c r="CX525" s="205"/>
    </row>
    <row r="526" spans="1:102" x14ac:dyDescent="0.2">
      <c r="A526" s="384" t="s">
        <v>77</v>
      </c>
      <c r="B526" s="348" t="s">
        <v>710</v>
      </c>
      <c r="C526" s="349"/>
      <c r="D526" s="351">
        <v>222831</v>
      </c>
      <c r="E526" s="260">
        <v>3</v>
      </c>
      <c r="F526" s="631">
        <v>51</v>
      </c>
      <c r="G526" s="632">
        <v>76096.941176470587</v>
      </c>
      <c r="H526" s="633">
        <f t="shared" si="216"/>
        <v>3880944</v>
      </c>
      <c r="I526" s="634">
        <v>68</v>
      </c>
      <c r="J526" s="634">
        <v>75387.352941176476</v>
      </c>
      <c r="K526" s="635">
        <f t="shared" si="217"/>
        <v>5126340</v>
      </c>
      <c r="L526" s="636">
        <v>64</v>
      </c>
      <c r="M526" s="636">
        <v>63120.3125</v>
      </c>
      <c r="N526" s="637">
        <f t="shared" si="218"/>
        <v>4039700</v>
      </c>
      <c r="O526" s="638">
        <v>52</v>
      </c>
      <c r="P526" s="638">
        <v>65610.288461538468</v>
      </c>
      <c r="Q526" s="635">
        <f t="shared" si="219"/>
        <v>3411735.0000000005</v>
      </c>
      <c r="R526" s="636">
        <v>66</v>
      </c>
      <c r="S526" s="636">
        <v>55453.878787878784</v>
      </c>
      <c r="T526" s="637">
        <f t="shared" si="220"/>
        <v>3659956</v>
      </c>
      <c r="U526" s="638">
        <v>78</v>
      </c>
      <c r="V526" s="638">
        <v>58338.961538461539</v>
      </c>
      <c r="W526" s="635">
        <f t="shared" si="221"/>
        <v>4550439</v>
      </c>
      <c r="X526" s="636">
        <v>14</v>
      </c>
      <c r="Y526" s="636">
        <v>43618.571428571428</v>
      </c>
      <c r="Z526" s="637">
        <f t="shared" si="222"/>
        <v>610660</v>
      </c>
      <c r="AA526" s="638">
        <v>14</v>
      </c>
      <c r="AB526" s="638">
        <v>41361.642857142855</v>
      </c>
      <c r="AC526" s="635">
        <f t="shared" si="223"/>
        <v>579063</v>
      </c>
      <c r="AD526" s="649">
        <f t="shared" si="207"/>
        <v>46</v>
      </c>
      <c r="AE526" s="649">
        <f t="shared" si="208"/>
        <v>42730.630434782608</v>
      </c>
      <c r="AF526" s="637">
        <f t="shared" si="224"/>
        <v>1965609</v>
      </c>
      <c r="AG526" s="649">
        <f t="shared" si="209"/>
        <v>45</v>
      </c>
      <c r="AH526" s="649">
        <f t="shared" si="210"/>
        <v>44400.511111111111</v>
      </c>
      <c r="AI526" s="635">
        <f t="shared" si="225"/>
        <v>1998023</v>
      </c>
      <c r="AJ526" s="649"/>
      <c r="AK526" s="649"/>
      <c r="AL526" s="637">
        <f t="shared" si="211"/>
        <v>1998023</v>
      </c>
      <c r="AM526" s="649"/>
      <c r="AN526" s="649"/>
      <c r="AO526" s="640">
        <f t="shared" si="226"/>
        <v>0</v>
      </c>
      <c r="AP526" s="636">
        <v>3</v>
      </c>
      <c r="AQ526" s="636">
        <v>115911</v>
      </c>
      <c r="AR526" s="637">
        <f t="shared" si="227"/>
        <v>284515.14059999998</v>
      </c>
      <c r="AS526" s="638">
        <v>4</v>
      </c>
      <c r="AT526" s="638">
        <v>102126</v>
      </c>
      <c r="AU526" s="635">
        <f t="shared" si="228"/>
        <v>334237.97279999999</v>
      </c>
      <c r="AV526" s="636">
        <v>3</v>
      </c>
      <c r="AW526" s="636">
        <v>83993</v>
      </c>
      <c r="AX526" s="637">
        <f t="shared" si="229"/>
        <v>206169.21780000001</v>
      </c>
      <c r="AY526" s="638"/>
      <c r="AZ526" s="638"/>
      <c r="BA526" s="635">
        <f t="shared" si="230"/>
        <v>0</v>
      </c>
      <c r="BB526" s="636">
        <v>7</v>
      </c>
      <c r="BC526" s="636">
        <v>75800.28571428571</v>
      </c>
      <c r="BD526" s="637">
        <f t="shared" si="231"/>
        <v>434138.5564</v>
      </c>
      <c r="BE526" s="638">
        <v>3</v>
      </c>
      <c r="BF526" s="638">
        <v>70334</v>
      </c>
      <c r="BG526" s="635">
        <f t="shared" si="232"/>
        <v>172641.8364</v>
      </c>
      <c r="BH526" s="636">
        <v>2</v>
      </c>
      <c r="BI526" s="636">
        <v>45046</v>
      </c>
      <c r="BJ526" s="637">
        <f t="shared" si="233"/>
        <v>73713.274400000009</v>
      </c>
      <c r="BK526" s="638">
        <v>2</v>
      </c>
      <c r="BL526" s="638">
        <v>45046</v>
      </c>
      <c r="BM526" s="635">
        <f t="shared" si="234"/>
        <v>73713.274400000009</v>
      </c>
      <c r="BN526" s="649">
        <f t="shared" si="212"/>
        <v>4</v>
      </c>
      <c r="BO526" s="649">
        <f t="shared" si="213"/>
        <v>65961.25</v>
      </c>
      <c r="BP526" s="637">
        <f t="shared" si="235"/>
        <v>215877.97900000002</v>
      </c>
      <c r="BQ526" s="649">
        <f t="shared" si="214"/>
        <v>2</v>
      </c>
      <c r="BR526" s="649">
        <f t="shared" si="215"/>
        <v>70358</v>
      </c>
      <c r="BS526" s="635">
        <f t="shared" si="236"/>
        <v>115133.8312</v>
      </c>
      <c r="BT526" s="649"/>
      <c r="BU526" s="649"/>
      <c r="BV526" s="637">
        <f t="shared" si="237"/>
        <v>0</v>
      </c>
      <c r="BW526" s="649"/>
      <c r="BX526" s="649"/>
      <c r="BY526" s="641">
        <f t="shared" si="238"/>
        <v>0</v>
      </c>
      <c r="CA526" s="467">
        <v>27</v>
      </c>
      <c r="CB526" s="467">
        <v>37085.592592592591</v>
      </c>
      <c r="CC526" s="462"/>
      <c r="CD526" s="192">
        <v>24</v>
      </c>
      <c r="CE526" s="192">
        <v>35362.791666666664</v>
      </c>
      <c r="CF526" s="205"/>
      <c r="CG526" s="467">
        <v>19</v>
      </c>
      <c r="CH526" s="467">
        <v>50752.526315789473</v>
      </c>
      <c r="CI526" s="462"/>
      <c r="CJ526" s="192">
        <v>21</v>
      </c>
      <c r="CK526" s="192">
        <v>54729.333333333336</v>
      </c>
      <c r="CL526" s="206"/>
      <c r="CM526" s="467"/>
      <c r="CN526" s="467"/>
      <c r="CO526" s="462"/>
      <c r="CP526" s="192"/>
      <c r="CQ526" s="192"/>
      <c r="CR526" s="205"/>
      <c r="CS526" s="467">
        <v>4</v>
      </c>
      <c r="CT526" s="467">
        <v>65961.25</v>
      </c>
      <c r="CU526" s="462"/>
      <c r="CV526" s="192">
        <v>2</v>
      </c>
      <c r="CW526" s="192">
        <v>70358</v>
      </c>
      <c r="CX526" s="205"/>
    </row>
    <row r="527" spans="1:102" x14ac:dyDescent="0.2">
      <c r="A527" s="384" t="s">
        <v>77</v>
      </c>
      <c r="B527" s="348" t="s">
        <v>711</v>
      </c>
      <c r="C527" s="349"/>
      <c r="D527" s="351">
        <v>226091</v>
      </c>
      <c r="E527" s="260">
        <v>3</v>
      </c>
      <c r="F527" s="631">
        <v>106</v>
      </c>
      <c r="G527" s="632">
        <v>89905.801886792455</v>
      </c>
      <c r="H527" s="633">
        <f t="shared" si="216"/>
        <v>9530015</v>
      </c>
      <c r="I527" s="634">
        <v>97</v>
      </c>
      <c r="J527" s="634">
        <v>90335.938144329892</v>
      </c>
      <c r="K527" s="635">
        <f t="shared" si="217"/>
        <v>8762586</v>
      </c>
      <c r="L527" s="636">
        <v>93</v>
      </c>
      <c r="M527" s="636">
        <v>72144.559139784949</v>
      </c>
      <c r="N527" s="637">
        <f t="shared" si="218"/>
        <v>6709444</v>
      </c>
      <c r="O527" s="638">
        <v>105</v>
      </c>
      <c r="P527" s="638">
        <v>71468.333333333328</v>
      </c>
      <c r="Q527" s="635">
        <f t="shared" si="219"/>
        <v>7504174.9999999991</v>
      </c>
      <c r="R527" s="636">
        <v>103</v>
      </c>
      <c r="S527" s="636">
        <v>61164.699029126212</v>
      </c>
      <c r="T527" s="637">
        <f t="shared" si="220"/>
        <v>6299964</v>
      </c>
      <c r="U527" s="638">
        <v>81</v>
      </c>
      <c r="V527" s="638">
        <v>60340.728395061727</v>
      </c>
      <c r="W527" s="635">
        <f t="shared" si="221"/>
        <v>4887599</v>
      </c>
      <c r="X527" s="636">
        <v>105</v>
      </c>
      <c r="Y527" s="636">
        <v>41380.81904761905</v>
      </c>
      <c r="Z527" s="637">
        <f t="shared" si="222"/>
        <v>4344986</v>
      </c>
      <c r="AA527" s="638">
        <v>94</v>
      </c>
      <c r="AB527" s="638">
        <v>42237.031914893618</v>
      </c>
      <c r="AC527" s="635">
        <f t="shared" si="223"/>
        <v>3970281</v>
      </c>
      <c r="AD527" s="649">
        <f t="shared" si="207"/>
        <v>0</v>
      </c>
      <c r="AE527" s="649">
        <f t="shared" si="208"/>
        <v>0</v>
      </c>
      <c r="AF527" s="637">
        <f t="shared" si="224"/>
        <v>0</v>
      </c>
      <c r="AG527" s="649">
        <f t="shared" si="209"/>
        <v>10</v>
      </c>
      <c r="AH527" s="649">
        <f t="shared" si="210"/>
        <v>45119.3</v>
      </c>
      <c r="AI527" s="635">
        <f t="shared" si="225"/>
        <v>451193</v>
      </c>
      <c r="AJ527" s="649"/>
      <c r="AK527" s="649"/>
      <c r="AL527" s="637">
        <f t="shared" si="211"/>
        <v>451193</v>
      </c>
      <c r="AM527" s="649"/>
      <c r="AN527" s="649"/>
      <c r="AO527" s="640">
        <f t="shared" si="226"/>
        <v>0</v>
      </c>
      <c r="AP527" s="636"/>
      <c r="AQ527" s="636"/>
      <c r="AR527" s="637">
        <f t="shared" si="227"/>
        <v>0</v>
      </c>
      <c r="AS527" s="638"/>
      <c r="AT527" s="638"/>
      <c r="AU527" s="635">
        <f t="shared" si="228"/>
        <v>0</v>
      </c>
      <c r="AV527" s="636">
        <v>1</v>
      </c>
      <c r="AW527" s="636">
        <v>118758</v>
      </c>
      <c r="AX527" s="637">
        <f t="shared" si="229"/>
        <v>97167.795599999998</v>
      </c>
      <c r="AY527" s="638">
        <v>1</v>
      </c>
      <c r="AZ527" s="638">
        <v>118758</v>
      </c>
      <c r="BA527" s="635">
        <f t="shared" si="230"/>
        <v>97167.795599999998</v>
      </c>
      <c r="BB527" s="636"/>
      <c r="BC527" s="636"/>
      <c r="BD527" s="637">
        <f t="shared" si="231"/>
        <v>0</v>
      </c>
      <c r="BE527" s="638"/>
      <c r="BF527" s="638"/>
      <c r="BG527" s="635">
        <f t="shared" si="232"/>
        <v>0</v>
      </c>
      <c r="BH527" s="636"/>
      <c r="BI527" s="636"/>
      <c r="BJ527" s="637">
        <f t="shared" si="233"/>
        <v>0</v>
      </c>
      <c r="BK527" s="638"/>
      <c r="BL527" s="638"/>
      <c r="BM527" s="635">
        <f t="shared" si="234"/>
        <v>0</v>
      </c>
      <c r="BN527" s="649">
        <f t="shared" si="212"/>
        <v>0</v>
      </c>
      <c r="BO527" s="649">
        <f t="shared" si="213"/>
        <v>0</v>
      </c>
      <c r="BP527" s="637">
        <f t="shared" si="235"/>
        <v>0</v>
      </c>
      <c r="BQ527" s="649">
        <f t="shared" si="214"/>
        <v>0</v>
      </c>
      <c r="BR527" s="649">
        <f t="shared" si="215"/>
        <v>0</v>
      </c>
      <c r="BS527" s="635">
        <f t="shared" si="236"/>
        <v>0</v>
      </c>
      <c r="BT527" s="649"/>
      <c r="BU527" s="649"/>
      <c r="BV527" s="637">
        <f t="shared" si="237"/>
        <v>0</v>
      </c>
      <c r="BW527" s="649"/>
      <c r="BX527" s="649"/>
      <c r="BY527" s="641">
        <f t="shared" si="238"/>
        <v>0</v>
      </c>
      <c r="CA527" s="467"/>
      <c r="CB527" s="467"/>
      <c r="CC527" s="462"/>
      <c r="CD527" s="192"/>
      <c r="CE527" s="192"/>
      <c r="CF527" s="205"/>
      <c r="CG527" s="467"/>
      <c r="CH527" s="467"/>
      <c r="CI527" s="462"/>
      <c r="CJ527" s="192">
        <v>10</v>
      </c>
      <c r="CK527" s="192">
        <v>45119.3</v>
      </c>
      <c r="CL527" s="206"/>
      <c r="CM527" s="467"/>
      <c r="CN527" s="467"/>
      <c r="CO527" s="462"/>
      <c r="CP527" s="192"/>
      <c r="CQ527" s="192"/>
      <c r="CR527" s="205"/>
      <c r="CS527" s="467"/>
      <c r="CT527" s="467"/>
      <c r="CU527" s="462"/>
      <c r="CV527" s="192"/>
      <c r="CW527" s="192"/>
      <c r="CX527" s="205"/>
    </row>
    <row r="528" spans="1:102" x14ac:dyDescent="0.2">
      <c r="A528" s="384" t="s">
        <v>77</v>
      </c>
      <c r="B528" s="348" t="s">
        <v>712</v>
      </c>
      <c r="C528" s="349"/>
      <c r="D528" s="351">
        <v>226833</v>
      </c>
      <c r="E528" s="260">
        <v>3</v>
      </c>
      <c r="F528" s="631">
        <v>49</v>
      </c>
      <c r="G528" s="632">
        <v>81936.204081632648</v>
      </c>
      <c r="H528" s="633">
        <f t="shared" si="216"/>
        <v>4014873.9999999995</v>
      </c>
      <c r="I528" s="634">
        <v>52</v>
      </c>
      <c r="J528" s="634">
        <v>76003.076923076922</v>
      </c>
      <c r="K528" s="635">
        <f t="shared" si="217"/>
        <v>3952160</v>
      </c>
      <c r="L528" s="636">
        <v>55</v>
      </c>
      <c r="M528" s="636">
        <v>67109.290909090909</v>
      </c>
      <c r="N528" s="637">
        <f t="shared" si="218"/>
        <v>3691011</v>
      </c>
      <c r="O528" s="638">
        <v>43</v>
      </c>
      <c r="P528" s="638">
        <v>67006.558139534885</v>
      </c>
      <c r="Q528" s="635">
        <f t="shared" si="219"/>
        <v>2881282</v>
      </c>
      <c r="R528" s="636">
        <v>92</v>
      </c>
      <c r="S528" s="636">
        <v>58236.043478260872</v>
      </c>
      <c r="T528" s="637">
        <f t="shared" si="220"/>
        <v>5357716</v>
      </c>
      <c r="U528" s="638">
        <v>77</v>
      </c>
      <c r="V528" s="638">
        <v>57163.142857142855</v>
      </c>
      <c r="W528" s="635">
        <f t="shared" si="221"/>
        <v>4401562</v>
      </c>
      <c r="X528" s="636">
        <v>30</v>
      </c>
      <c r="Y528" s="636">
        <v>41413.466666666667</v>
      </c>
      <c r="Z528" s="637">
        <f t="shared" si="222"/>
        <v>1242404</v>
      </c>
      <c r="AA528" s="638">
        <v>17</v>
      </c>
      <c r="AB528" s="638">
        <v>39824.705882352944</v>
      </c>
      <c r="AC528" s="635">
        <f t="shared" si="223"/>
        <v>677020</v>
      </c>
      <c r="AD528" s="649">
        <f t="shared" si="207"/>
        <v>0</v>
      </c>
      <c r="AE528" s="649">
        <f t="shared" si="208"/>
        <v>0</v>
      </c>
      <c r="AF528" s="637">
        <f t="shared" si="224"/>
        <v>0</v>
      </c>
      <c r="AG528" s="649">
        <f t="shared" si="209"/>
        <v>0</v>
      </c>
      <c r="AH528" s="649">
        <f t="shared" si="210"/>
        <v>0</v>
      </c>
      <c r="AI528" s="635">
        <f t="shared" si="225"/>
        <v>0</v>
      </c>
      <c r="AJ528" s="649"/>
      <c r="AK528" s="649"/>
      <c r="AL528" s="637">
        <f t="shared" si="211"/>
        <v>0</v>
      </c>
      <c r="AM528" s="649"/>
      <c r="AN528" s="649"/>
      <c r="AO528" s="640">
        <f t="shared" si="226"/>
        <v>0</v>
      </c>
      <c r="AP528" s="636"/>
      <c r="AQ528" s="636"/>
      <c r="AR528" s="637">
        <f t="shared" si="227"/>
        <v>0</v>
      </c>
      <c r="AS528" s="638"/>
      <c r="AT528" s="638"/>
      <c r="AU528" s="635">
        <f t="shared" si="228"/>
        <v>0</v>
      </c>
      <c r="AV528" s="636"/>
      <c r="AW528" s="636"/>
      <c r="AX528" s="637">
        <f t="shared" si="229"/>
        <v>0</v>
      </c>
      <c r="AY528" s="638"/>
      <c r="AZ528" s="638"/>
      <c r="BA528" s="635">
        <f t="shared" si="230"/>
        <v>0</v>
      </c>
      <c r="BB528" s="636"/>
      <c r="BC528" s="636"/>
      <c r="BD528" s="637">
        <f t="shared" si="231"/>
        <v>0</v>
      </c>
      <c r="BE528" s="638"/>
      <c r="BF528" s="638"/>
      <c r="BG528" s="635">
        <f t="shared" si="232"/>
        <v>0</v>
      </c>
      <c r="BH528" s="636"/>
      <c r="BI528" s="636"/>
      <c r="BJ528" s="637">
        <f t="shared" si="233"/>
        <v>0</v>
      </c>
      <c r="BK528" s="638"/>
      <c r="BL528" s="638"/>
      <c r="BM528" s="635">
        <f t="shared" si="234"/>
        <v>0</v>
      </c>
      <c r="BN528" s="649">
        <f t="shared" si="212"/>
        <v>0</v>
      </c>
      <c r="BO528" s="649">
        <f t="shared" si="213"/>
        <v>0</v>
      </c>
      <c r="BP528" s="637">
        <f t="shared" si="235"/>
        <v>0</v>
      </c>
      <c r="BQ528" s="649">
        <f t="shared" si="214"/>
        <v>0</v>
      </c>
      <c r="BR528" s="649">
        <f t="shared" si="215"/>
        <v>0</v>
      </c>
      <c r="BS528" s="635">
        <f t="shared" si="236"/>
        <v>0</v>
      </c>
      <c r="BT528" s="649"/>
      <c r="BU528" s="649"/>
      <c r="BV528" s="637">
        <f t="shared" si="237"/>
        <v>0</v>
      </c>
      <c r="BW528" s="649"/>
      <c r="BX528" s="649"/>
      <c r="BY528" s="641">
        <f t="shared" si="238"/>
        <v>0</v>
      </c>
      <c r="CA528" s="467"/>
      <c r="CB528" s="467"/>
      <c r="CC528" s="462"/>
      <c r="CD528" s="192"/>
      <c r="CE528" s="192"/>
      <c r="CF528" s="205"/>
      <c r="CG528" s="467"/>
      <c r="CH528" s="467"/>
      <c r="CI528" s="462"/>
      <c r="CJ528" s="192"/>
      <c r="CK528" s="192"/>
      <c r="CL528" s="206"/>
      <c r="CM528" s="467"/>
      <c r="CN528" s="467"/>
      <c r="CO528" s="462"/>
      <c r="CP528" s="192"/>
      <c r="CQ528" s="192"/>
      <c r="CR528" s="205"/>
      <c r="CS528" s="467"/>
      <c r="CT528" s="467"/>
      <c r="CU528" s="462"/>
      <c r="CV528" s="192"/>
      <c r="CW528" s="192"/>
      <c r="CX528" s="205"/>
    </row>
    <row r="529" spans="1:102" x14ac:dyDescent="0.2">
      <c r="A529" s="384" t="s">
        <v>77</v>
      </c>
      <c r="B529" s="348" t="s">
        <v>713</v>
      </c>
      <c r="C529" s="349"/>
      <c r="D529" s="351">
        <v>227526</v>
      </c>
      <c r="E529" s="260">
        <v>3</v>
      </c>
      <c r="F529" s="631">
        <v>42</v>
      </c>
      <c r="G529" s="632">
        <v>80783.047619047618</v>
      </c>
      <c r="H529" s="633">
        <f t="shared" si="216"/>
        <v>3392888</v>
      </c>
      <c r="I529" s="634">
        <v>43</v>
      </c>
      <c r="J529" s="634">
        <v>82160.372093023252</v>
      </c>
      <c r="K529" s="635">
        <f t="shared" si="217"/>
        <v>3532896</v>
      </c>
      <c r="L529" s="636">
        <v>74</v>
      </c>
      <c r="M529" s="636">
        <v>67316.621621621627</v>
      </c>
      <c r="N529" s="637">
        <f t="shared" si="218"/>
        <v>4981430</v>
      </c>
      <c r="O529" s="638">
        <v>73</v>
      </c>
      <c r="P529" s="638">
        <v>66670.520547945212</v>
      </c>
      <c r="Q529" s="635">
        <f t="shared" si="219"/>
        <v>4866948.0000000009</v>
      </c>
      <c r="R529" s="636">
        <v>53</v>
      </c>
      <c r="S529" s="636">
        <v>61215.886792452831</v>
      </c>
      <c r="T529" s="637">
        <f t="shared" si="220"/>
        <v>3244442</v>
      </c>
      <c r="U529" s="638">
        <v>52</v>
      </c>
      <c r="V529" s="638">
        <v>59048.384615384617</v>
      </c>
      <c r="W529" s="635">
        <f t="shared" si="221"/>
        <v>3070516</v>
      </c>
      <c r="X529" s="636">
        <v>2</v>
      </c>
      <c r="Y529" s="636">
        <v>52118</v>
      </c>
      <c r="Z529" s="637">
        <f t="shared" si="222"/>
        <v>104236</v>
      </c>
      <c r="AA529" s="638">
        <v>2</v>
      </c>
      <c r="AB529" s="638">
        <v>49618</v>
      </c>
      <c r="AC529" s="635">
        <f t="shared" si="223"/>
        <v>99236</v>
      </c>
      <c r="AD529" s="649">
        <f t="shared" si="207"/>
        <v>119</v>
      </c>
      <c r="AE529" s="649">
        <f t="shared" si="208"/>
        <v>51446</v>
      </c>
      <c r="AF529" s="637">
        <f t="shared" si="224"/>
        <v>6122074</v>
      </c>
      <c r="AG529" s="649">
        <f t="shared" si="209"/>
        <v>107</v>
      </c>
      <c r="AH529" s="649">
        <f t="shared" si="210"/>
        <v>52019.084112149532</v>
      </c>
      <c r="AI529" s="635">
        <f t="shared" si="225"/>
        <v>5566042</v>
      </c>
      <c r="AJ529" s="649"/>
      <c r="AK529" s="649"/>
      <c r="AL529" s="637">
        <f t="shared" si="211"/>
        <v>5566042</v>
      </c>
      <c r="AM529" s="649"/>
      <c r="AN529" s="649"/>
      <c r="AO529" s="640">
        <f t="shared" si="226"/>
        <v>0</v>
      </c>
      <c r="AP529" s="636">
        <v>23</v>
      </c>
      <c r="AQ529" s="636">
        <v>123399.91304347826</v>
      </c>
      <c r="AR529" s="637">
        <f t="shared" si="227"/>
        <v>2322213.6036</v>
      </c>
      <c r="AS529" s="638">
        <v>19</v>
      </c>
      <c r="AT529" s="638">
        <v>121124.89473684211</v>
      </c>
      <c r="AU529" s="635">
        <f t="shared" si="228"/>
        <v>1882983.3886000002</v>
      </c>
      <c r="AV529" s="636">
        <v>14</v>
      </c>
      <c r="AW529" s="636">
        <v>97775.78571428571</v>
      </c>
      <c r="AX529" s="637">
        <f t="shared" si="229"/>
        <v>1120002.0702</v>
      </c>
      <c r="AY529" s="638">
        <v>18</v>
      </c>
      <c r="AZ529" s="638">
        <v>103651.55555555556</v>
      </c>
      <c r="BA529" s="635">
        <f t="shared" si="230"/>
        <v>1526538.6496000001</v>
      </c>
      <c r="BB529" s="636">
        <v>4</v>
      </c>
      <c r="BC529" s="636">
        <v>87021.25</v>
      </c>
      <c r="BD529" s="637">
        <f t="shared" si="231"/>
        <v>284803.147</v>
      </c>
      <c r="BE529" s="638">
        <v>3</v>
      </c>
      <c r="BF529" s="638">
        <v>86996.333333333328</v>
      </c>
      <c r="BG529" s="635">
        <f t="shared" si="232"/>
        <v>213541.1998</v>
      </c>
      <c r="BH529" s="636"/>
      <c r="BI529" s="636"/>
      <c r="BJ529" s="637">
        <f t="shared" si="233"/>
        <v>0</v>
      </c>
      <c r="BK529" s="638"/>
      <c r="BL529" s="638"/>
      <c r="BM529" s="635">
        <f t="shared" si="234"/>
        <v>0</v>
      </c>
      <c r="BN529" s="649">
        <f t="shared" si="212"/>
        <v>16</v>
      </c>
      <c r="BO529" s="649">
        <f t="shared" si="213"/>
        <v>3875.015625</v>
      </c>
      <c r="BP529" s="637">
        <f t="shared" si="235"/>
        <v>50728.604550000004</v>
      </c>
      <c r="BQ529" s="649">
        <f t="shared" si="214"/>
        <v>13</v>
      </c>
      <c r="BR529" s="649">
        <f t="shared" si="215"/>
        <v>5262.3076923076924</v>
      </c>
      <c r="BS529" s="635">
        <f t="shared" si="236"/>
        <v>55973.062000000005</v>
      </c>
      <c r="BT529" s="649"/>
      <c r="BU529" s="649"/>
      <c r="BV529" s="637">
        <f t="shared" si="237"/>
        <v>0</v>
      </c>
      <c r="BW529" s="649"/>
      <c r="BX529" s="649"/>
      <c r="BY529" s="641">
        <f t="shared" si="238"/>
        <v>0</v>
      </c>
      <c r="CA529" s="467">
        <v>119</v>
      </c>
      <c r="CB529" s="467">
        <v>51446</v>
      </c>
      <c r="CC529" s="462"/>
      <c r="CD529" s="192">
        <v>107</v>
      </c>
      <c r="CE529" s="192">
        <v>52019.084112149532</v>
      </c>
      <c r="CF529" s="205"/>
      <c r="CG529" s="467"/>
      <c r="CH529" s="467"/>
      <c r="CI529" s="462"/>
      <c r="CJ529" s="192"/>
      <c r="CK529" s="192"/>
      <c r="CL529" s="206"/>
      <c r="CM529" s="467">
        <v>16</v>
      </c>
      <c r="CN529" s="467">
        <v>61984.25</v>
      </c>
      <c r="CO529" s="462"/>
      <c r="CP529" s="192">
        <v>13</v>
      </c>
      <c r="CQ529" s="192">
        <v>68397</v>
      </c>
      <c r="CR529" s="205"/>
      <c r="CS529" s="467"/>
      <c r="CT529" s="467"/>
      <c r="CU529" s="462"/>
      <c r="CV529" s="192"/>
      <c r="CW529" s="192"/>
      <c r="CX529" s="205"/>
    </row>
    <row r="530" spans="1:102" x14ac:dyDescent="0.2">
      <c r="A530" s="384" t="s">
        <v>77</v>
      </c>
      <c r="B530" s="348" t="s">
        <v>714</v>
      </c>
      <c r="C530" s="349"/>
      <c r="D530" s="351">
        <v>227881</v>
      </c>
      <c r="E530" s="260">
        <v>3</v>
      </c>
      <c r="F530" s="631">
        <v>139</v>
      </c>
      <c r="G530" s="632">
        <v>89913.12230215827</v>
      </c>
      <c r="H530" s="633">
        <f t="shared" si="216"/>
        <v>12497924</v>
      </c>
      <c r="I530" s="634">
        <v>138</v>
      </c>
      <c r="J530" s="634">
        <v>87267.586956521744</v>
      </c>
      <c r="K530" s="635">
        <f t="shared" si="217"/>
        <v>12042927</v>
      </c>
      <c r="L530" s="636">
        <v>137</v>
      </c>
      <c r="M530" s="636">
        <v>70371.197080291968</v>
      </c>
      <c r="N530" s="637">
        <f t="shared" si="218"/>
        <v>9640854</v>
      </c>
      <c r="O530" s="638">
        <v>152</v>
      </c>
      <c r="P530" s="638">
        <v>69005.78289473684</v>
      </c>
      <c r="Q530" s="635">
        <f t="shared" si="219"/>
        <v>10488879</v>
      </c>
      <c r="R530" s="636">
        <v>195</v>
      </c>
      <c r="S530" s="636">
        <v>60680.492307692308</v>
      </c>
      <c r="T530" s="637">
        <f t="shared" si="220"/>
        <v>11832696</v>
      </c>
      <c r="U530" s="638">
        <v>172</v>
      </c>
      <c r="V530" s="638">
        <v>59802.906976744183</v>
      </c>
      <c r="W530" s="635">
        <f t="shared" si="221"/>
        <v>10286100</v>
      </c>
      <c r="X530" s="636">
        <v>2</v>
      </c>
      <c r="Y530" s="636">
        <v>54342</v>
      </c>
      <c r="Z530" s="637">
        <f t="shared" si="222"/>
        <v>108684</v>
      </c>
      <c r="AA530" s="638">
        <v>1</v>
      </c>
      <c r="AB530" s="638">
        <v>54720</v>
      </c>
      <c r="AC530" s="635">
        <f t="shared" si="223"/>
        <v>54720</v>
      </c>
      <c r="AD530" s="649">
        <f t="shared" si="207"/>
        <v>49</v>
      </c>
      <c r="AE530" s="649">
        <f t="shared" si="208"/>
        <v>46632.122448979593</v>
      </c>
      <c r="AF530" s="637">
        <f t="shared" si="224"/>
        <v>2284974</v>
      </c>
      <c r="AG530" s="649">
        <f t="shared" si="209"/>
        <v>35</v>
      </c>
      <c r="AH530" s="649">
        <f t="shared" si="210"/>
        <v>48470.914285714287</v>
      </c>
      <c r="AI530" s="635">
        <f t="shared" si="225"/>
        <v>1696482</v>
      </c>
      <c r="AJ530" s="649"/>
      <c r="AK530" s="649"/>
      <c r="AL530" s="637">
        <f t="shared" si="211"/>
        <v>1696482</v>
      </c>
      <c r="AM530" s="649"/>
      <c r="AN530" s="649"/>
      <c r="AO530" s="640">
        <f t="shared" si="226"/>
        <v>0</v>
      </c>
      <c r="AP530" s="636"/>
      <c r="AQ530" s="636"/>
      <c r="AR530" s="637">
        <f t="shared" si="227"/>
        <v>0</v>
      </c>
      <c r="AS530" s="638"/>
      <c r="AT530" s="638"/>
      <c r="AU530" s="635">
        <f t="shared" si="228"/>
        <v>0</v>
      </c>
      <c r="AV530" s="636"/>
      <c r="AW530" s="636"/>
      <c r="AX530" s="637">
        <f t="shared" si="229"/>
        <v>0</v>
      </c>
      <c r="AY530" s="638"/>
      <c r="AZ530" s="638"/>
      <c r="BA530" s="635">
        <f t="shared" si="230"/>
        <v>0</v>
      </c>
      <c r="BB530" s="636"/>
      <c r="BC530" s="636"/>
      <c r="BD530" s="637">
        <f t="shared" si="231"/>
        <v>0</v>
      </c>
      <c r="BE530" s="638"/>
      <c r="BF530" s="638"/>
      <c r="BG530" s="635">
        <f t="shared" si="232"/>
        <v>0</v>
      </c>
      <c r="BH530" s="636"/>
      <c r="BI530" s="636"/>
      <c r="BJ530" s="637">
        <f t="shared" si="233"/>
        <v>0</v>
      </c>
      <c r="BK530" s="638"/>
      <c r="BL530" s="638"/>
      <c r="BM530" s="635">
        <f t="shared" si="234"/>
        <v>0</v>
      </c>
      <c r="BN530" s="649">
        <f t="shared" si="212"/>
        <v>0</v>
      </c>
      <c r="BO530" s="649">
        <f t="shared" si="213"/>
        <v>0</v>
      </c>
      <c r="BP530" s="637">
        <f t="shared" si="235"/>
        <v>0</v>
      </c>
      <c r="BQ530" s="649">
        <f t="shared" si="214"/>
        <v>0</v>
      </c>
      <c r="BR530" s="649">
        <f t="shared" si="215"/>
        <v>0</v>
      </c>
      <c r="BS530" s="635">
        <f t="shared" si="236"/>
        <v>0</v>
      </c>
      <c r="BT530" s="649"/>
      <c r="BU530" s="649"/>
      <c r="BV530" s="637">
        <f t="shared" si="237"/>
        <v>0</v>
      </c>
      <c r="BW530" s="649"/>
      <c r="BX530" s="649"/>
      <c r="BY530" s="641">
        <f t="shared" si="238"/>
        <v>0</v>
      </c>
      <c r="CA530" s="467">
        <v>49</v>
      </c>
      <c r="CB530" s="467">
        <v>46632.122448979593</v>
      </c>
      <c r="CC530" s="462"/>
      <c r="CD530" s="192">
        <v>35</v>
      </c>
      <c r="CE530" s="192">
        <v>48470.914285714287</v>
      </c>
      <c r="CF530" s="205"/>
      <c r="CG530" s="467"/>
      <c r="CH530" s="467"/>
      <c r="CI530" s="462"/>
      <c r="CJ530" s="192"/>
      <c r="CK530" s="192"/>
      <c r="CL530" s="206"/>
      <c r="CM530" s="467"/>
      <c r="CN530" s="467"/>
      <c r="CO530" s="462"/>
      <c r="CP530" s="192"/>
      <c r="CQ530" s="192"/>
      <c r="CR530" s="205"/>
      <c r="CS530" s="467"/>
      <c r="CT530" s="467"/>
      <c r="CU530" s="462"/>
      <c r="CV530" s="192"/>
      <c r="CW530" s="192"/>
      <c r="CX530" s="205"/>
    </row>
    <row r="531" spans="1:102" x14ac:dyDescent="0.2">
      <c r="A531" s="384" t="s">
        <v>77</v>
      </c>
      <c r="B531" s="348" t="s">
        <v>715</v>
      </c>
      <c r="C531" s="349"/>
      <c r="D531" s="351">
        <v>228431</v>
      </c>
      <c r="E531" s="260">
        <v>3</v>
      </c>
      <c r="F531" s="631">
        <v>43</v>
      </c>
      <c r="G531" s="632">
        <v>80072.232558139542</v>
      </c>
      <c r="H531" s="633">
        <f t="shared" si="216"/>
        <v>3443106.0000000005</v>
      </c>
      <c r="I531" s="634">
        <v>91</v>
      </c>
      <c r="J531" s="634">
        <v>80516.175824175822</v>
      </c>
      <c r="K531" s="635">
        <f t="shared" si="217"/>
        <v>7326972</v>
      </c>
      <c r="L531" s="636">
        <v>75</v>
      </c>
      <c r="M531" s="636">
        <v>71091.733333333337</v>
      </c>
      <c r="N531" s="637">
        <f t="shared" si="218"/>
        <v>5331880</v>
      </c>
      <c r="O531" s="638">
        <v>99</v>
      </c>
      <c r="P531" s="638">
        <v>62983.767676767675</v>
      </c>
      <c r="Q531" s="635">
        <f t="shared" si="219"/>
        <v>6235393</v>
      </c>
      <c r="R531" s="636">
        <v>140</v>
      </c>
      <c r="S531" s="636">
        <v>57860.85</v>
      </c>
      <c r="T531" s="637">
        <f t="shared" si="220"/>
        <v>8100519</v>
      </c>
      <c r="U531" s="638">
        <v>112</v>
      </c>
      <c r="V531" s="638">
        <v>53731.767857142855</v>
      </c>
      <c r="W531" s="635">
        <f t="shared" si="221"/>
        <v>6017958</v>
      </c>
      <c r="X531" s="636">
        <v>33</v>
      </c>
      <c r="Y531" s="636">
        <v>55776.242424242424</v>
      </c>
      <c r="Z531" s="637">
        <f t="shared" si="222"/>
        <v>1840616</v>
      </c>
      <c r="AA531" s="638">
        <v>24</v>
      </c>
      <c r="AB531" s="638">
        <v>47678.5</v>
      </c>
      <c r="AC531" s="635">
        <f t="shared" si="223"/>
        <v>1144284</v>
      </c>
      <c r="AD531" s="649">
        <f t="shared" si="207"/>
        <v>72</v>
      </c>
      <c r="AE531" s="649">
        <f t="shared" si="208"/>
        <v>49528.902777777781</v>
      </c>
      <c r="AF531" s="637">
        <f t="shared" si="224"/>
        <v>3566081</v>
      </c>
      <c r="AG531" s="649">
        <f t="shared" si="209"/>
        <v>138</v>
      </c>
      <c r="AH531" s="649">
        <f t="shared" si="210"/>
        <v>41165.15217391304</v>
      </c>
      <c r="AI531" s="635">
        <f t="shared" si="225"/>
        <v>5680791</v>
      </c>
      <c r="AJ531" s="649"/>
      <c r="AK531" s="649"/>
      <c r="AL531" s="637">
        <f t="shared" si="211"/>
        <v>5680791</v>
      </c>
      <c r="AM531" s="649"/>
      <c r="AN531" s="649"/>
      <c r="AO531" s="640">
        <f t="shared" si="226"/>
        <v>0</v>
      </c>
      <c r="AP531" s="636">
        <v>16</v>
      </c>
      <c r="AQ531" s="636">
        <v>106450.5625</v>
      </c>
      <c r="AR531" s="637">
        <f t="shared" si="227"/>
        <v>1393565.6038000002</v>
      </c>
      <c r="AS531" s="638">
        <v>12</v>
      </c>
      <c r="AT531" s="638">
        <v>112556.08333333333</v>
      </c>
      <c r="AU531" s="635">
        <f t="shared" si="228"/>
        <v>1105120.6486</v>
      </c>
      <c r="AV531" s="636">
        <v>7</v>
      </c>
      <c r="AW531" s="636">
        <v>96478</v>
      </c>
      <c r="AX531" s="637">
        <f t="shared" si="229"/>
        <v>552568.09720000008</v>
      </c>
      <c r="AY531" s="638">
        <v>2</v>
      </c>
      <c r="AZ531" s="638">
        <v>88282</v>
      </c>
      <c r="BA531" s="635">
        <f t="shared" si="230"/>
        <v>144464.6648</v>
      </c>
      <c r="BB531" s="636">
        <v>25</v>
      </c>
      <c r="BC531" s="636">
        <v>57494.44</v>
      </c>
      <c r="BD531" s="637">
        <f t="shared" si="231"/>
        <v>1176048.7702000001</v>
      </c>
      <c r="BE531" s="638"/>
      <c r="BF531" s="638"/>
      <c r="BG531" s="635">
        <f t="shared" si="232"/>
        <v>0</v>
      </c>
      <c r="BH531" s="636">
        <v>10</v>
      </c>
      <c r="BI531" s="636">
        <v>50971.7</v>
      </c>
      <c r="BJ531" s="637">
        <f t="shared" si="233"/>
        <v>417050.44940000004</v>
      </c>
      <c r="BK531" s="638">
        <v>1</v>
      </c>
      <c r="BL531" s="638">
        <v>80452</v>
      </c>
      <c r="BM531" s="635">
        <f t="shared" si="234"/>
        <v>65825.826400000005</v>
      </c>
      <c r="BN531" s="649">
        <f t="shared" si="212"/>
        <v>26</v>
      </c>
      <c r="BO531" s="649">
        <f t="shared" si="213"/>
        <v>53862.096153846156</v>
      </c>
      <c r="BP531" s="637">
        <f t="shared" si="235"/>
        <v>1145819.1439</v>
      </c>
      <c r="BQ531" s="649">
        <f t="shared" si="214"/>
        <v>11</v>
      </c>
      <c r="BR531" s="649">
        <f t="shared" si="215"/>
        <v>92452.545454545456</v>
      </c>
      <c r="BS531" s="635">
        <f t="shared" si="236"/>
        <v>832091.3996</v>
      </c>
      <c r="BT531" s="649"/>
      <c r="BU531" s="649"/>
      <c r="BV531" s="637">
        <f t="shared" si="237"/>
        <v>0</v>
      </c>
      <c r="BW531" s="649"/>
      <c r="BX531" s="649"/>
      <c r="BY531" s="641">
        <f t="shared" si="238"/>
        <v>0</v>
      </c>
      <c r="CA531" s="467">
        <v>19</v>
      </c>
      <c r="CB531" s="467">
        <v>46289.368421052633</v>
      </c>
      <c r="CC531" s="462"/>
      <c r="CD531" s="192">
        <v>31</v>
      </c>
      <c r="CE531" s="192">
        <v>42439.225806451614</v>
      </c>
      <c r="CF531" s="205"/>
      <c r="CG531" s="467">
        <v>53</v>
      </c>
      <c r="CH531" s="467">
        <v>50690.24528301887</v>
      </c>
      <c r="CI531" s="462"/>
      <c r="CJ531" s="192">
        <v>107</v>
      </c>
      <c r="CK531" s="192">
        <v>40796.028037383177</v>
      </c>
      <c r="CL531" s="206"/>
      <c r="CM531" s="467">
        <v>2</v>
      </c>
      <c r="CN531" s="467">
        <v>42758.5</v>
      </c>
      <c r="CO531" s="462"/>
      <c r="CP531" s="192">
        <v>1</v>
      </c>
      <c r="CQ531" s="192">
        <v>67022</v>
      </c>
      <c r="CR531" s="205"/>
      <c r="CS531" s="467">
        <v>24</v>
      </c>
      <c r="CT531" s="467">
        <v>56568.916666666664</v>
      </c>
      <c r="CU531" s="462"/>
      <c r="CV531" s="192">
        <v>10</v>
      </c>
      <c r="CW531" s="192">
        <v>94995.5</v>
      </c>
      <c r="CX531" s="205"/>
    </row>
    <row r="532" spans="1:102" x14ac:dyDescent="0.2">
      <c r="A532" s="384" t="s">
        <v>77</v>
      </c>
      <c r="B532" s="348" t="s">
        <v>716</v>
      </c>
      <c r="C532" s="349"/>
      <c r="D532" s="351">
        <v>228501</v>
      </c>
      <c r="E532" s="260">
        <v>3</v>
      </c>
      <c r="F532" s="631">
        <v>37</v>
      </c>
      <c r="G532" s="632">
        <v>69299.108108108107</v>
      </c>
      <c r="H532" s="633">
        <f t="shared" si="216"/>
        <v>2564067</v>
      </c>
      <c r="I532" s="634">
        <v>33</v>
      </c>
      <c r="J532" s="634">
        <v>68805.181818181823</v>
      </c>
      <c r="K532" s="635">
        <f t="shared" si="217"/>
        <v>2270571</v>
      </c>
      <c r="L532" s="636">
        <v>34</v>
      </c>
      <c r="M532" s="636">
        <v>53246.205882352944</v>
      </c>
      <c r="N532" s="637">
        <f t="shared" si="218"/>
        <v>1810371</v>
      </c>
      <c r="O532" s="638">
        <v>32</v>
      </c>
      <c r="P532" s="638">
        <v>53448.71875</v>
      </c>
      <c r="Q532" s="635">
        <f t="shared" si="219"/>
        <v>1710359</v>
      </c>
      <c r="R532" s="636">
        <v>24</v>
      </c>
      <c r="S532" s="636">
        <v>47440.791666666664</v>
      </c>
      <c r="T532" s="637">
        <f t="shared" si="220"/>
        <v>1138579</v>
      </c>
      <c r="U532" s="638">
        <v>23</v>
      </c>
      <c r="V532" s="638">
        <v>47629.130434782608</v>
      </c>
      <c r="W532" s="635">
        <f t="shared" si="221"/>
        <v>1095470</v>
      </c>
      <c r="X532" s="636">
        <v>1</v>
      </c>
      <c r="Y532" s="636">
        <v>45820</v>
      </c>
      <c r="Z532" s="637">
        <f t="shared" si="222"/>
        <v>45820</v>
      </c>
      <c r="AA532" s="638">
        <v>2</v>
      </c>
      <c r="AB532" s="638">
        <v>41905</v>
      </c>
      <c r="AC532" s="635">
        <f t="shared" si="223"/>
        <v>83810</v>
      </c>
      <c r="AD532" s="649">
        <f t="shared" si="207"/>
        <v>22</v>
      </c>
      <c r="AE532" s="649">
        <f t="shared" si="208"/>
        <v>43167.772727272728</v>
      </c>
      <c r="AF532" s="637">
        <f t="shared" si="224"/>
        <v>949691</v>
      </c>
      <c r="AG532" s="649">
        <f t="shared" si="209"/>
        <v>22</v>
      </c>
      <c r="AH532" s="649">
        <f t="shared" si="210"/>
        <v>41636.954545454544</v>
      </c>
      <c r="AI532" s="635">
        <f t="shared" si="225"/>
        <v>916013</v>
      </c>
      <c r="AJ532" s="649"/>
      <c r="AK532" s="649"/>
      <c r="AL532" s="637">
        <f t="shared" si="211"/>
        <v>916013</v>
      </c>
      <c r="AM532" s="649"/>
      <c r="AN532" s="649"/>
      <c r="AO532" s="640">
        <f t="shared" si="226"/>
        <v>0</v>
      </c>
      <c r="AP532" s="636">
        <v>4</v>
      </c>
      <c r="AQ532" s="636">
        <v>103896.75</v>
      </c>
      <c r="AR532" s="637">
        <f t="shared" si="227"/>
        <v>340033.28340000001</v>
      </c>
      <c r="AS532" s="638">
        <v>4</v>
      </c>
      <c r="AT532" s="638">
        <v>99057.25</v>
      </c>
      <c r="AU532" s="635">
        <f t="shared" si="228"/>
        <v>324194.56780000002</v>
      </c>
      <c r="AV532" s="636">
        <v>2</v>
      </c>
      <c r="AW532" s="636">
        <v>78761</v>
      </c>
      <c r="AX532" s="637">
        <f t="shared" si="229"/>
        <v>128884.5004</v>
      </c>
      <c r="AY532" s="638">
        <v>1</v>
      </c>
      <c r="AZ532" s="638">
        <v>81742</v>
      </c>
      <c r="BA532" s="635">
        <f t="shared" si="230"/>
        <v>66881.304400000008</v>
      </c>
      <c r="BB532" s="636">
        <v>1</v>
      </c>
      <c r="BC532" s="636">
        <v>61710</v>
      </c>
      <c r="BD532" s="637">
        <f t="shared" si="231"/>
        <v>50491.122000000003</v>
      </c>
      <c r="BE532" s="638"/>
      <c r="BF532" s="638"/>
      <c r="BG532" s="635">
        <f t="shared" si="232"/>
        <v>0</v>
      </c>
      <c r="BH532" s="636">
        <v>1</v>
      </c>
      <c r="BI532" s="636">
        <v>42972</v>
      </c>
      <c r="BJ532" s="637">
        <f t="shared" si="233"/>
        <v>35159.690399999999</v>
      </c>
      <c r="BK532" s="638">
        <v>1</v>
      </c>
      <c r="BL532" s="638">
        <v>42972</v>
      </c>
      <c r="BM532" s="635">
        <f t="shared" si="234"/>
        <v>35159.690399999999</v>
      </c>
      <c r="BN532" s="649">
        <f t="shared" si="212"/>
        <v>1</v>
      </c>
      <c r="BO532" s="649">
        <f t="shared" si="213"/>
        <v>49446</v>
      </c>
      <c r="BP532" s="637">
        <f t="shared" si="235"/>
        <v>40456.717199999999</v>
      </c>
      <c r="BQ532" s="649">
        <f t="shared" si="214"/>
        <v>1</v>
      </c>
      <c r="BR532" s="649">
        <f t="shared" si="215"/>
        <v>49446</v>
      </c>
      <c r="BS532" s="635">
        <f t="shared" si="236"/>
        <v>40456.717199999999</v>
      </c>
      <c r="BT532" s="649"/>
      <c r="BU532" s="649"/>
      <c r="BV532" s="637">
        <f t="shared" si="237"/>
        <v>0</v>
      </c>
      <c r="BW532" s="649"/>
      <c r="BX532" s="649"/>
      <c r="BY532" s="641">
        <f t="shared" si="238"/>
        <v>0</v>
      </c>
      <c r="CA532" s="467">
        <v>22</v>
      </c>
      <c r="CB532" s="467">
        <v>43167.772727272728</v>
      </c>
      <c r="CC532" s="462"/>
      <c r="CD532" s="192">
        <v>22</v>
      </c>
      <c r="CE532" s="192">
        <v>41636.954545454544</v>
      </c>
      <c r="CF532" s="205"/>
      <c r="CG532" s="467"/>
      <c r="CH532" s="467"/>
      <c r="CI532" s="462"/>
      <c r="CJ532" s="192"/>
      <c r="CK532" s="192"/>
      <c r="CL532" s="206"/>
      <c r="CM532" s="467">
        <v>1</v>
      </c>
      <c r="CN532" s="467">
        <v>49445</v>
      </c>
      <c r="CO532" s="462"/>
      <c r="CP532" s="192">
        <v>1</v>
      </c>
      <c r="CQ532" s="192">
        <v>49445</v>
      </c>
      <c r="CR532" s="205"/>
      <c r="CS532" s="467"/>
      <c r="CT532" s="467"/>
      <c r="CU532" s="462"/>
      <c r="CV532" s="192"/>
      <c r="CW532" s="192"/>
      <c r="CX532" s="205"/>
    </row>
    <row r="533" spans="1:102" x14ac:dyDescent="0.2">
      <c r="A533" s="384" t="s">
        <v>77</v>
      </c>
      <c r="B533" s="348" t="s">
        <v>717</v>
      </c>
      <c r="C533" s="349"/>
      <c r="D533" s="351">
        <v>228529</v>
      </c>
      <c r="E533" s="260">
        <v>3</v>
      </c>
      <c r="F533" s="631">
        <v>56</v>
      </c>
      <c r="G533" s="632">
        <v>77051.375</v>
      </c>
      <c r="H533" s="633">
        <f t="shared" si="216"/>
        <v>4314877</v>
      </c>
      <c r="I533" s="634">
        <v>48</v>
      </c>
      <c r="J533" s="634">
        <v>77237.375</v>
      </c>
      <c r="K533" s="635">
        <f t="shared" si="217"/>
        <v>3707394</v>
      </c>
      <c r="L533" s="636">
        <v>57</v>
      </c>
      <c r="M533" s="636">
        <v>65302.84210526316</v>
      </c>
      <c r="N533" s="637">
        <f t="shared" si="218"/>
        <v>3722262</v>
      </c>
      <c r="O533" s="638">
        <v>60</v>
      </c>
      <c r="P533" s="638">
        <v>66452</v>
      </c>
      <c r="Q533" s="635">
        <f t="shared" si="219"/>
        <v>3987120</v>
      </c>
      <c r="R533" s="636">
        <v>114</v>
      </c>
      <c r="S533" s="636">
        <v>52956.491228070176</v>
      </c>
      <c r="T533" s="637">
        <f t="shared" si="220"/>
        <v>6037040</v>
      </c>
      <c r="U533" s="638">
        <v>123</v>
      </c>
      <c r="V533" s="638">
        <v>53791.845528455284</v>
      </c>
      <c r="W533" s="635">
        <f t="shared" si="221"/>
        <v>6616397</v>
      </c>
      <c r="X533" s="636">
        <v>41</v>
      </c>
      <c r="Y533" s="636">
        <v>41173.512195121948</v>
      </c>
      <c r="Z533" s="637">
        <f t="shared" si="222"/>
        <v>1688113.9999999998</v>
      </c>
      <c r="AA533" s="638">
        <v>42</v>
      </c>
      <c r="AB533" s="638">
        <v>42116.380952380954</v>
      </c>
      <c r="AC533" s="635">
        <f t="shared" si="223"/>
        <v>1768888</v>
      </c>
      <c r="AD533" s="649">
        <f t="shared" si="207"/>
        <v>14</v>
      </c>
      <c r="AE533" s="649">
        <f t="shared" si="208"/>
        <v>33162.785714285717</v>
      </c>
      <c r="AF533" s="637">
        <f t="shared" si="224"/>
        <v>464279.00000000006</v>
      </c>
      <c r="AG533" s="649">
        <f t="shared" si="209"/>
        <v>11</v>
      </c>
      <c r="AH533" s="649">
        <f t="shared" si="210"/>
        <v>37515.181818181816</v>
      </c>
      <c r="AI533" s="635">
        <f t="shared" si="225"/>
        <v>412667</v>
      </c>
      <c r="AJ533" s="649"/>
      <c r="AK533" s="649"/>
      <c r="AL533" s="637">
        <f t="shared" si="211"/>
        <v>412667</v>
      </c>
      <c r="AM533" s="649"/>
      <c r="AN533" s="649"/>
      <c r="AO533" s="640">
        <f t="shared" si="226"/>
        <v>0</v>
      </c>
      <c r="AP533" s="636">
        <v>7</v>
      </c>
      <c r="AQ533" s="636">
        <v>102580.28571428571</v>
      </c>
      <c r="AR533" s="637">
        <f t="shared" si="227"/>
        <v>587518.3284</v>
      </c>
      <c r="AS533" s="638">
        <v>14</v>
      </c>
      <c r="AT533" s="638">
        <v>108567.07142857143</v>
      </c>
      <c r="AU533" s="635">
        <f t="shared" si="228"/>
        <v>1243614.0898</v>
      </c>
      <c r="AV533" s="636">
        <v>8</v>
      </c>
      <c r="AW533" s="636">
        <v>84533.125</v>
      </c>
      <c r="AX533" s="637">
        <f t="shared" si="229"/>
        <v>553320.02300000004</v>
      </c>
      <c r="AY533" s="638">
        <v>22</v>
      </c>
      <c r="AZ533" s="638">
        <v>92900</v>
      </c>
      <c r="BA533" s="635">
        <f t="shared" si="230"/>
        <v>1672237.1600000001</v>
      </c>
      <c r="BB533" s="636">
        <v>23</v>
      </c>
      <c r="BC533" s="636">
        <v>73840.434782608689</v>
      </c>
      <c r="BD533" s="637">
        <f t="shared" si="231"/>
        <v>1389573.6059999999</v>
      </c>
      <c r="BE533" s="638">
        <v>22</v>
      </c>
      <c r="BF533" s="638">
        <v>75777</v>
      </c>
      <c r="BG533" s="635">
        <f t="shared" si="232"/>
        <v>1364016.3108000001</v>
      </c>
      <c r="BH533" s="636">
        <v>19</v>
      </c>
      <c r="BI533" s="636">
        <v>61892.57894736842</v>
      </c>
      <c r="BJ533" s="637">
        <f t="shared" si="233"/>
        <v>962169.65380000009</v>
      </c>
      <c r="BK533" s="638">
        <v>26</v>
      </c>
      <c r="BL533" s="638">
        <v>59537.230769230766</v>
      </c>
      <c r="BM533" s="635">
        <f t="shared" si="234"/>
        <v>1266547.4176</v>
      </c>
      <c r="BN533" s="649">
        <f t="shared" si="212"/>
        <v>5</v>
      </c>
      <c r="BO533" s="649">
        <f t="shared" si="213"/>
        <v>9782.16</v>
      </c>
      <c r="BP533" s="637">
        <f t="shared" si="235"/>
        <v>40018.816560000007</v>
      </c>
      <c r="BQ533" s="649">
        <f t="shared" si="214"/>
        <v>5</v>
      </c>
      <c r="BR533" s="649">
        <f t="shared" si="215"/>
        <v>11995.48</v>
      </c>
      <c r="BS533" s="635">
        <f t="shared" si="236"/>
        <v>49073.508679999999</v>
      </c>
      <c r="BT533" s="649"/>
      <c r="BU533" s="649"/>
      <c r="BV533" s="637">
        <f t="shared" si="237"/>
        <v>0</v>
      </c>
      <c r="BW533" s="649"/>
      <c r="BX533" s="649"/>
      <c r="BY533" s="641">
        <f t="shared" si="238"/>
        <v>0</v>
      </c>
      <c r="CA533" s="467">
        <v>8</v>
      </c>
      <c r="CB533" s="467">
        <v>37251.25</v>
      </c>
      <c r="CC533" s="462"/>
      <c r="CD533" s="192">
        <v>10</v>
      </c>
      <c r="CE533" s="192">
        <v>38399.1</v>
      </c>
      <c r="CF533" s="205"/>
      <c r="CG533" s="467">
        <v>6</v>
      </c>
      <c r="CH533" s="467">
        <v>27711.5</v>
      </c>
      <c r="CI533" s="462"/>
      <c r="CJ533" s="192">
        <v>1</v>
      </c>
      <c r="CK533" s="192">
        <v>28676</v>
      </c>
      <c r="CL533" s="206"/>
      <c r="CM533" s="467">
        <v>5</v>
      </c>
      <c r="CN533" s="467">
        <v>48905.8</v>
      </c>
      <c r="CO533" s="462"/>
      <c r="CP533" s="192">
        <v>5</v>
      </c>
      <c r="CQ533" s="192">
        <v>59972.4</v>
      </c>
      <c r="CR533" s="205"/>
      <c r="CS533" s="467"/>
      <c r="CT533" s="467"/>
      <c r="CU533" s="462"/>
      <c r="CV533" s="192"/>
      <c r="CW533" s="192"/>
      <c r="CX533" s="205"/>
    </row>
    <row r="534" spans="1:102" x14ac:dyDescent="0.2">
      <c r="A534" s="384" t="s">
        <v>77</v>
      </c>
      <c r="B534" s="348" t="s">
        <v>718</v>
      </c>
      <c r="C534" s="349"/>
      <c r="D534" s="351">
        <v>226152</v>
      </c>
      <c r="E534" s="260">
        <v>3</v>
      </c>
      <c r="F534" s="631">
        <v>17</v>
      </c>
      <c r="G534" s="632">
        <v>83214.529411764699</v>
      </c>
      <c r="H534" s="633">
        <f t="shared" si="216"/>
        <v>1414647</v>
      </c>
      <c r="I534" s="634">
        <v>17</v>
      </c>
      <c r="J534" s="634">
        <v>86671.411764705888</v>
      </c>
      <c r="K534" s="635">
        <f t="shared" si="217"/>
        <v>1473414</v>
      </c>
      <c r="L534" s="636">
        <v>40</v>
      </c>
      <c r="M534" s="636">
        <v>67048.425000000003</v>
      </c>
      <c r="N534" s="637">
        <f t="shared" si="218"/>
        <v>2681937</v>
      </c>
      <c r="O534" s="638">
        <v>44</v>
      </c>
      <c r="P534" s="638">
        <v>69353.454545454544</v>
      </c>
      <c r="Q534" s="635">
        <f t="shared" si="219"/>
        <v>3051552</v>
      </c>
      <c r="R534" s="636">
        <v>89</v>
      </c>
      <c r="S534" s="636">
        <v>61517.067415730337</v>
      </c>
      <c r="T534" s="637">
        <f t="shared" si="220"/>
        <v>5475019</v>
      </c>
      <c r="U534" s="638">
        <v>77</v>
      </c>
      <c r="V534" s="638">
        <v>63626.493506493505</v>
      </c>
      <c r="W534" s="635">
        <f t="shared" si="221"/>
        <v>4899240</v>
      </c>
      <c r="X534" s="636">
        <v>27</v>
      </c>
      <c r="Y534" s="636">
        <v>42588.666666666664</v>
      </c>
      <c r="Z534" s="637">
        <f t="shared" si="222"/>
        <v>1149894</v>
      </c>
      <c r="AA534" s="638">
        <v>29</v>
      </c>
      <c r="AB534" s="638">
        <v>43218.34482758621</v>
      </c>
      <c r="AC534" s="635">
        <f t="shared" si="223"/>
        <v>1253332</v>
      </c>
      <c r="AD534" s="649">
        <f t="shared" si="207"/>
        <v>1</v>
      </c>
      <c r="AE534" s="649">
        <f t="shared" si="208"/>
        <v>105724</v>
      </c>
      <c r="AF534" s="637">
        <f t="shared" si="224"/>
        <v>105724</v>
      </c>
      <c r="AG534" s="649">
        <f t="shared" si="209"/>
        <v>1</v>
      </c>
      <c r="AH534" s="649">
        <f t="shared" si="210"/>
        <v>105723</v>
      </c>
      <c r="AI534" s="635">
        <f t="shared" si="225"/>
        <v>105723</v>
      </c>
      <c r="AJ534" s="649"/>
      <c r="AK534" s="649"/>
      <c r="AL534" s="637">
        <f t="shared" si="211"/>
        <v>105723</v>
      </c>
      <c r="AM534" s="649"/>
      <c r="AN534" s="649"/>
      <c r="AO534" s="640">
        <f t="shared" si="226"/>
        <v>0</v>
      </c>
      <c r="AP534" s="636">
        <v>11</v>
      </c>
      <c r="AQ534" s="636">
        <v>123988.81818181818</v>
      </c>
      <c r="AR534" s="637">
        <f t="shared" si="227"/>
        <v>1115924.1614000001</v>
      </c>
      <c r="AS534" s="638">
        <v>10</v>
      </c>
      <c r="AT534" s="638">
        <v>130535.3</v>
      </c>
      <c r="AU534" s="635">
        <f t="shared" si="228"/>
        <v>1068039.8245999999</v>
      </c>
      <c r="AV534" s="636">
        <v>6</v>
      </c>
      <c r="AW534" s="636">
        <v>99514.166666666672</v>
      </c>
      <c r="AX534" s="637">
        <f t="shared" si="229"/>
        <v>488534.94700000004</v>
      </c>
      <c r="AY534" s="638">
        <v>6</v>
      </c>
      <c r="AZ534" s="638">
        <v>102055.83333333333</v>
      </c>
      <c r="BA534" s="635">
        <f t="shared" si="230"/>
        <v>501012.49700000003</v>
      </c>
      <c r="BB534" s="636">
        <v>5</v>
      </c>
      <c r="BC534" s="636">
        <v>87345.600000000006</v>
      </c>
      <c r="BD534" s="637">
        <f t="shared" si="231"/>
        <v>357330.84960000002</v>
      </c>
      <c r="BE534" s="638">
        <v>6</v>
      </c>
      <c r="BF534" s="638">
        <v>83941.833333333328</v>
      </c>
      <c r="BG534" s="635">
        <f t="shared" si="232"/>
        <v>412087.24820000003</v>
      </c>
      <c r="BH534" s="636">
        <v>1</v>
      </c>
      <c r="BI534" s="636">
        <v>51135</v>
      </c>
      <c r="BJ534" s="637">
        <f t="shared" si="233"/>
        <v>41838.656999999999</v>
      </c>
      <c r="BK534" s="638">
        <v>1</v>
      </c>
      <c r="BL534" s="638">
        <v>52670</v>
      </c>
      <c r="BM534" s="635">
        <f t="shared" si="234"/>
        <v>43094.594000000005</v>
      </c>
      <c r="BN534" s="649">
        <f t="shared" si="212"/>
        <v>0</v>
      </c>
      <c r="BO534" s="649">
        <f t="shared" si="213"/>
        <v>0</v>
      </c>
      <c r="BP534" s="637">
        <f t="shared" si="235"/>
        <v>0</v>
      </c>
      <c r="BQ534" s="649">
        <f t="shared" si="214"/>
        <v>0</v>
      </c>
      <c r="BR534" s="649">
        <f t="shared" si="215"/>
        <v>0</v>
      </c>
      <c r="BS534" s="635">
        <f t="shared" si="236"/>
        <v>0</v>
      </c>
      <c r="BT534" s="649"/>
      <c r="BU534" s="649"/>
      <c r="BV534" s="637">
        <f t="shared" si="237"/>
        <v>0</v>
      </c>
      <c r="BW534" s="649"/>
      <c r="BX534" s="649"/>
      <c r="BY534" s="641">
        <f t="shared" si="238"/>
        <v>0</v>
      </c>
      <c r="CA534" s="467">
        <v>1</v>
      </c>
      <c r="CB534" s="467">
        <v>105724</v>
      </c>
      <c r="CC534" s="462"/>
      <c r="CD534" s="192">
        <v>1</v>
      </c>
      <c r="CE534" s="192">
        <v>105723</v>
      </c>
      <c r="CF534" s="205"/>
      <c r="CG534" s="467"/>
      <c r="CH534" s="467"/>
      <c r="CI534" s="462"/>
      <c r="CJ534" s="192"/>
      <c r="CK534" s="192"/>
      <c r="CL534" s="206"/>
      <c r="CM534" s="467"/>
      <c r="CN534" s="467"/>
      <c r="CO534" s="462"/>
      <c r="CP534" s="192"/>
      <c r="CQ534" s="192"/>
      <c r="CR534" s="205"/>
      <c r="CS534" s="467"/>
      <c r="CT534" s="467"/>
      <c r="CU534" s="462"/>
      <c r="CV534" s="192"/>
      <c r="CW534" s="192"/>
      <c r="CX534" s="205"/>
    </row>
    <row r="535" spans="1:102" x14ac:dyDescent="0.2">
      <c r="A535" s="384" t="s">
        <v>77</v>
      </c>
      <c r="B535" s="348" t="s">
        <v>719</v>
      </c>
      <c r="C535" s="349"/>
      <c r="D535" s="351">
        <v>224554</v>
      </c>
      <c r="E535" s="260">
        <v>3</v>
      </c>
      <c r="F535" s="631">
        <v>37</v>
      </c>
      <c r="G535" s="632">
        <v>81140.729729729734</v>
      </c>
      <c r="H535" s="633">
        <f t="shared" si="216"/>
        <v>3002207</v>
      </c>
      <c r="I535" s="634">
        <v>58</v>
      </c>
      <c r="J535" s="634">
        <v>85014.706896551725</v>
      </c>
      <c r="K535" s="635">
        <f t="shared" si="217"/>
        <v>4930853</v>
      </c>
      <c r="L535" s="636">
        <v>42</v>
      </c>
      <c r="M535" s="636">
        <v>64968.190476190473</v>
      </c>
      <c r="N535" s="637">
        <f t="shared" si="218"/>
        <v>2728664</v>
      </c>
      <c r="O535" s="638">
        <v>53</v>
      </c>
      <c r="P535" s="638">
        <v>65378.207547169812</v>
      </c>
      <c r="Q535" s="635">
        <f t="shared" si="219"/>
        <v>3465045</v>
      </c>
      <c r="R535" s="636">
        <v>118</v>
      </c>
      <c r="S535" s="636">
        <v>55688.211864406781</v>
      </c>
      <c r="T535" s="637">
        <f t="shared" si="220"/>
        <v>6571209</v>
      </c>
      <c r="U535" s="638">
        <v>112</v>
      </c>
      <c r="V535" s="638">
        <v>60338.517857142855</v>
      </c>
      <c r="W535" s="635">
        <f t="shared" si="221"/>
        <v>6757914</v>
      </c>
      <c r="X535" s="636">
        <v>55</v>
      </c>
      <c r="Y535" s="636">
        <v>50351.30909090909</v>
      </c>
      <c r="Z535" s="637">
        <f t="shared" si="222"/>
        <v>2769322</v>
      </c>
      <c r="AA535" s="638">
        <v>54</v>
      </c>
      <c r="AB535" s="638">
        <v>50029.518518518518</v>
      </c>
      <c r="AC535" s="635">
        <f t="shared" si="223"/>
        <v>2701594</v>
      </c>
      <c r="AD535" s="649">
        <f t="shared" si="207"/>
        <v>0</v>
      </c>
      <c r="AE535" s="649">
        <f t="shared" si="208"/>
        <v>0</v>
      </c>
      <c r="AF535" s="637">
        <f t="shared" si="224"/>
        <v>0</v>
      </c>
      <c r="AG535" s="649">
        <f t="shared" si="209"/>
        <v>0</v>
      </c>
      <c r="AH535" s="649">
        <f t="shared" si="210"/>
        <v>0</v>
      </c>
      <c r="AI535" s="635">
        <f t="shared" si="225"/>
        <v>0</v>
      </c>
      <c r="AJ535" s="649"/>
      <c r="AK535" s="649"/>
      <c r="AL535" s="637">
        <f t="shared" si="211"/>
        <v>0</v>
      </c>
      <c r="AM535" s="649"/>
      <c r="AN535" s="649"/>
      <c r="AO535" s="640">
        <f t="shared" si="226"/>
        <v>0</v>
      </c>
      <c r="AP535" s="636">
        <v>2</v>
      </c>
      <c r="AQ535" s="636">
        <v>109669.5</v>
      </c>
      <c r="AR535" s="637">
        <f t="shared" si="227"/>
        <v>179463.1698</v>
      </c>
      <c r="AS535" s="638">
        <v>2</v>
      </c>
      <c r="AT535" s="638">
        <v>105561</v>
      </c>
      <c r="AU535" s="635">
        <f t="shared" si="228"/>
        <v>172740.02040000001</v>
      </c>
      <c r="AV535" s="636"/>
      <c r="AW535" s="636"/>
      <c r="AX535" s="637">
        <f t="shared" si="229"/>
        <v>0</v>
      </c>
      <c r="AY535" s="638"/>
      <c r="AZ535" s="638"/>
      <c r="BA535" s="635">
        <f t="shared" si="230"/>
        <v>0</v>
      </c>
      <c r="BB535" s="636">
        <v>3</v>
      </c>
      <c r="BC535" s="636">
        <v>52735.666666666664</v>
      </c>
      <c r="BD535" s="637">
        <f t="shared" si="231"/>
        <v>129444.96740000001</v>
      </c>
      <c r="BE535" s="638">
        <v>5</v>
      </c>
      <c r="BF535" s="638">
        <v>63797.2</v>
      </c>
      <c r="BG535" s="635">
        <f t="shared" si="232"/>
        <v>260994.34520000001</v>
      </c>
      <c r="BH535" s="636">
        <v>11</v>
      </c>
      <c r="BI535" s="636">
        <v>46716.63636363636</v>
      </c>
      <c r="BJ535" s="637">
        <f t="shared" si="233"/>
        <v>420459.07059999998</v>
      </c>
      <c r="BK535" s="638">
        <v>1</v>
      </c>
      <c r="BL535" s="638">
        <v>59689</v>
      </c>
      <c r="BM535" s="635">
        <f t="shared" si="234"/>
        <v>48837.539800000006</v>
      </c>
      <c r="BN535" s="649">
        <f t="shared" si="212"/>
        <v>0</v>
      </c>
      <c r="BO535" s="649">
        <f t="shared" si="213"/>
        <v>0</v>
      </c>
      <c r="BP535" s="637">
        <f t="shared" si="235"/>
        <v>0</v>
      </c>
      <c r="BQ535" s="649">
        <f t="shared" si="214"/>
        <v>0</v>
      </c>
      <c r="BR535" s="649">
        <f t="shared" si="215"/>
        <v>0</v>
      </c>
      <c r="BS535" s="635">
        <f t="shared" si="236"/>
        <v>0</v>
      </c>
      <c r="BT535" s="649"/>
      <c r="BU535" s="649"/>
      <c r="BV535" s="637">
        <f t="shared" si="237"/>
        <v>0</v>
      </c>
      <c r="BW535" s="649"/>
      <c r="BX535" s="649"/>
      <c r="BY535" s="641">
        <f t="shared" si="238"/>
        <v>0</v>
      </c>
      <c r="CA535" s="467"/>
      <c r="CB535" s="467"/>
      <c r="CC535" s="462"/>
      <c r="CD535" s="192"/>
      <c r="CE535" s="192"/>
      <c r="CF535" s="205"/>
      <c r="CG535" s="467"/>
      <c r="CH535" s="467"/>
      <c r="CI535" s="462"/>
      <c r="CJ535" s="192"/>
      <c r="CK535" s="192"/>
      <c r="CL535" s="206"/>
      <c r="CM535" s="467"/>
      <c r="CN535" s="467"/>
      <c r="CO535" s="462"/>
      <c r="CP535" s="192"/>
      <c r="CQ535" s="192"/>
      <c r="CR535" s="205"/>
      <c r="CS535" s="467"/>
      <c r="CT535" s="467"/>
      <c r="CU535" s="462"/>
      <c r="CV535" s="192"/>
      <c r="CW535" s="192"/>
      <c r="CX535" s="205"/>
    </row>
    <row r="536" spans="1:102" x14ac:dyDescent="0.2">
      <c r="A536" s="384" t="s">
        <v>77</v>
      </c>
      <c r="B536" s="348" t="s">
        <v>720</v>
      </c>
      <c r="C536" s="349"/>
      <c r="D536" s="351">
        <v>224147</v>
      </c>
      <c r="E536" s="260">
        <v>3</v>
      </c>
      <c r="F536" s="631">
        <v>87</v>
      </c>
      <c r="G536" s="632">
        <v>87981.103448275855</v>
      </c>
      <c r="H536" s="633">
        <f t="shared" si="216"/>
        <v>7654355.9999999991</v>
      </c>
      <c r="I536" s="634">
        <v>85</v>
      </c>
      <c r="J536" s="634">
        <v>86970.423529411768</v>
      </c>
      <c r="K536" s="635">
        <f t="shared" si="217"/>
        <v>7392486</v>
      </c>
      <c r="L536" s="636">
        <v>82</v>
      </c>
      <c r="M536" s="636">
        <v>70367.463414634141</v>
      </c>
      <c r="N536" s="637">
        <f t="shared" si="218"/>
        <v>5770132</v>
      </c>
      <c r="O536" s="638">
        <v>80</v>
      </c>
      <c r="P536" s="638">
        <v>70878.975000000006</v>
      </c>
      <c r="Q536" s="635">
        <f t="shared" si="219"/>
        <v>5670318</v>
      </c>
      <c r="R536" s="636">
        <v>74</v>
      </c>
      <c r="S536" s="636">
        <v>62599.054054054053</v>
      </c>
      <c r="T536" s="637">
        <f t="shared" si="220"/>
        <v>4632330</v>
      </c>
      <c r="U536" s="638">
        <v>70</v>
      </c>
      <c r="V536" s="638">
        <v>62519.199999999997</v>
      </c>
      <c r="W536" s="635">
        <f t="shared" si="221"/>
        <v>4376344</v>
      </c>
      <c r="X536" s="636"/>
      <c r="Y536" s="636"/>
      <c r="Z536" s="637">
        <f t="shared" si="222"/>
        <v>0</v>
      </c>
      <c r="AA536" s="638"/>
      <c r="AB536" s="638"/>
      <c r="AC536" s="635">
        <f t="shared" si="223"/>
        <v>0</v>
      </c>
      <c r="AD536" s="649">
        <f t="shared" si="207"/>
        <v>0</v>
      </c>
      <c r="AE536" s="649">
        <f t="shared" si="208"/>
        <v>0</v>
      </c>
      <c r="AF536" s="637">
        <f t="shared" si="224"/>
        <v>0</v>
      </c>
      <c r="AG536" s="649">
        <f t="shared" si="209"/>
        <v>0</v>
      </c>
      <c r="AH536" s="649">
        <f t="shared" si="210"/>
        <v>0</v>
      </c>
      <c r="AI536" s="635">
        <f t="shared" si="225"/>
        <v>0</v>
      </c>
      <c r="AJ536" s="649"/>
      <c r="AK536" s="649"/>
      <c r="AL536" s="637">
        <f t="shared" si="211"/>
        <v>0</v>
      </c>
      <c r="AM536" s="649"/>
      <c r="AN536" s="649"/>
      <c r="AO536" s="640">
        <f t="shared" si="226"/>
        <v>0</v>
      </c>
      <c r="AP536" s="636"/>
      <c r="AQ536" s="636"/>
      <c r="AR536" s="637">
        <f t="shared" si="227"/>
        <v>0</v>
      </c>
      <c r="AS536" s="638"/>
      <c r="AT536" s="638"/>
      <c r="AU536" s="635">
        <f t="shared" si="228"/>
        <v>0</v>
      </c>
      <c r="AV536" s="636"/>
      <c r="AW536" s="636"/>
      <c r="AX536" s="637">
        <f t="shared" si="229"/>
        <v>0</v>
      </c>
      <c r="AY536" s="638"/>
      <c r="AZ536" s="638"/>
      <c r="BA536" s="635">
        <f t="shared" si="230"/>
        <v>0</v>
      </c>
      <c r="BB536" s="636"/>
      <c r="BC536" s="636"/>
      <c r="BD536" s="637">
        <f t="shared" si="231"/>
        <v>0</v>
      </c>
      <c r="BE536" s="638"/>
      <c r="BF536" s="638"/>
      <c r="BG536" s="635">
        <f t="shared" si="232"/>
        <v>0</v>
      </c>
      <c r="BH536" s="636"/>
      <c r="BI536" s="636"/>
      <c r="BJ536" s="637">
        <f t="shared" si="233"/>
        <v>0</v>
      </c>
      <c r="BK536" s="638"/>
      <c r="BL536" s="638"/>
      <c r="BM536" s="635">
        <f t="shared" si="234"/>
        <v>0</v>
      </c>
      <c r="BN536" s="649">
        <f t="shared" si="212"/>
        <v>0</v>
      </c>
      <c r="BO536" s="649">
        <f t="shared" si="213"/>
        <v>0</v>
      </c>
      <c r="BP536" s="637">
        <f t="shared" si="235"/>
        <v>0</v>
      </c>
      <c r="BQ536" s="649">
        <f t="shared" si="214"/>
        <v>0</v>
      </c>
      <c r="BR536" s="649">
        <f t="shared" si="215"/>
        <v>0</v>
      </c>
      <c r="BS536" s="635">
        <f t="shared" si="236"/>
        <v>0</v>
      </c>
      <c r="BT536" s="649"/>
      <c r="BU536" s="649"/>
      <c r="BV536" s="637">
        <f t="shared" si="237"/>
        <v>0</v>
      </c>
      <c r="BW536" s="649"/>
      <c r="BX536" s="649"/>
      <c r="BY536" s="641">
        <f t="shared" si="238"/>
        <v>0</v>
      </c>
      <c r="CA536" s="467"/>
      <c r="CB536" s="467"/>
      <c r="CC536" s="462"/>
      <c r="CD536" s="192"/>
      <c r="CE536" s="192"/>
      <c r="CF536" s="205"/>
      <c r="CG536" s="467"/>
      <c r="CH536" s="467"/>
      <c r="CI536" s="462"/>
      <c r="CJ536" s="192"/>
      <c r="CK536" s="192"/>
      <c r="CL536" s="206"/>
      <c r="CM536" s="467"/>
      <c r="CN536" s="467"/>
      <c r="CO536" s="462"/>
      <c r="CP536" s="192"/>
      <c r="CQ536" s="192"/>
      <c r="CR536" s="205"/>
      <c r="CS536" s="467"/>
      <c r="CT536" s="467"/>
      <c r="CU536" s="462"/>
      <c r="CV536" s="192"/>
      <c r="CW536" s="192"/>
      <c r="CX536" s="205"/>
    </row>
    <row r="537" spans="1:102" x14ac:dyDescent="0.2">
      <c r="A537" s="384" t="s">
        <v>77</v>
      </c>
      <c r="B537" s="348" t="s">
        <v>721</v>
      </c>
      <c r="C537" s="349"/>
      <c r="D537" s="351">
        <v>228705</v>
      </c>
      <c r="E537" s="260">
        <v>3</v>
      </c>
      <c r="F537" s="631">
        <v>66</v>
      </c>
      <c r="G537" s="632">
        <v>80008.545454545456</v>
      </c>
      <c r="H537" s="633">
        <f t="shared" si="216"/>
        <v>5280564</v>
      </c>
      <c r="I537" s="634">
        <v>70</v>
      </c>
      <c r="J537" s="634">
        <v>75801.685714285719</v>
      </c>
      <c r="K537" s="635">
        <f t="shared" si="217"/>
        <v>5306118</v>
      </c>
      <c r="L537" s="636">
        <v>67</v>
      </c>
      <c r="M537" s="636">
        <v>66702.432835820902</v>
      </c>
      <c r="N537" s="637">
        <f t="shared" si="218"/>
        <v>4469063</v>
      </c>
      <c r="O537" s="638">
        <v>72</v>
      </c>
      <c r="P537" s="638">
        <v>65491.347222222219</v>
      </c>
      <c r="Q537" s="635">
        <f t="shared" si="219"/>
        <v>4715377</v>
      </c>
      <c r="R537" s="636">
        <v>126</v>
      </c>
      <c r="S537" s="636">
        <v>60056.468253968254</v>
      </c>
      <c r="T537" s="637">
        <f t="shared" si="220"/>
        <v>7567115</v>
      </c>
      <c r="U537" s="638">
        <v>118</v>
      </c>
      <c r="V537" s="638">
        <v>68943.58474576271</v>
      </c>
      <c r="W537" s="635">
        <f t="shared" si="221"/>
        <v>8135343</v>
      </c>
      <c r="X537" s="636">
        <v>2</v>
      </c>
      <c r="Y537" s="636">
        <v>51931</v>
      </c>
      <c r="Z537" s="637">
        <f t="shared" si="222"/>
        <v>103862</v>
      </c>
      <c r="AA537" s="638">
        <v>2</v>
      </c>
      <c r="AB537" s="638">
        <v>56999</v>
      </c>
      <c r="AC537" s="635">
        <f t="shared" si="223"/>
        <v>113998</v>
      </c>
      <c r="AD537" s="649">
        <f t="shared" si="207"/>
        <v>62</v>
      </c>
      <c r="AE537" s="649">
        <f t="shared" si="208"/>
        <v>41002.370967741932</v>
      </c>
      <c r="AF537" s="637">
        <f t="shared" si="224"/>
        <v>2542147</v>
      </c>
      <c r="AG537" s="649">
        <f t="shared" si="209"/>
        <v>84</v>
      </c>
      <c r="AH537" s="649">
        <f t="shared" si="210"/>
        <v>25351.976190476191</v>
      </c>
      <c r="AI537" s="635">
        <f t="shared" si="225"/>
        <v>2129566</v>
      </c>
      <c r="AJ537" s="649"/>
      <c r="AK537" s="649"/>
      <c r="AL537" s="637">
        <f t="shared" si="211"/>
        <v>2129566</v>
      </c>
      <c r="AM537" s="649"/>
      <c r="AN537" s="649"/>
      <c r="AO537" s="640">
        <f t="shared" si="226"/>
        <v>0</v>
      </c>
      <c r="AP537" s="636">
        <v>20</v>
      </c>
      <c r="AQ537" s="636">
        <v>98734.9</v>
      </c>
      <c r="AR537" s="637">
        <f t="shared" si="227"/>
        <v>1615697.9036000001</v>
      </c>
      <c r="AS537" s="638">
        <v>15</v>
      </c>
      <c r="AT537" s="638">
        <v>136284.13333333333</v>
      </c>
      <c r="AU537" s="635">
        <f t="shared" si="228"/>
        <v>1672615.1684000001</v>
      </c>
      <c r="AV537" s="636">
        <v>11</v>
      </c>
      <c r="AW537" s="636">
        <v>80977.636363636368</v>
      </c>
      <c r="AX537" s="637">
        <f t="shared" si="229"/>
        <v>728814.92280000006</v>
      </c>
      <c r="AY537" s="638">
        <v>8</v>
      </c>
      <c r="AZ537" s="638">
        <v>85853.375</v>
      </c>
      <c r="BA537" s="635">
        <f t="shared" si="230"/>
        <v>561961.85140000004</v>
      </c>
      <c r="BB537" s="636">
        <v>5</v>
      </c>
      <c r="BC537" s="636">
        <v>64394</v>
      </c>
      <c r="BD537" s="637">
        <f t="shared" si="231"/>
        <v>263435.85399999999</v>
      </c>
      <c r="BE537" s="638">
        <v>21</v>
      </c>
      <c r="BF537" s="638">
        <v>23160.095238095237</v>
      </c>
      <c r="BG537" s="635">
        <f t="shared" si="232"/>
        <v>397941.3884</v>
      </c>
      <c r="BH537" s="636">
        <v>1</v>
      </c>
      <c r="BI537" s="636">
        <v>36000</v>
      </c>
      <c r="BJ537" s="637">
        <f t="shared" si="233"/>
        <v>29455.200000000001</v>
      </c>
      <c r="BK537" s="638"/>
      <c r="BL537" s="638"/>
      <c r="BM537" s="635">
        <f t="shared" si="234"/>
        <v>0</v>
      </c>
      <c r="BN537" s="649">
        <f t="shared" si="212"/>
        <v>0</v>
      </c>
      <c r="BO537" s="649">
        <f t="shared" si="213"/>
        <v>0</v>
      </c>
      <c r="BP537" s="637">
        <f t="shared" si="235"/>
        <v>0</v>
      </c>
      <c r="BQ537" s="649">
        <f t="shared" si="214"/>
        <v>0</v>
      </c>
      <c r="BR537" s="649">
        <f t="shared" si="215"/>
        <v>0</v>
      </c>
      <c r="BS537" s="635">
        <f t="shared" si="236"/>
        <v>0</v>
      </c>
      <c r="BT537" s="649"/>
      <c r="BU537" s="649"/>
      <c r="BV537" s="637">
        <f t="shared" si="237"/>
        <v>0</v>
      </c>
      <c r="BW537" s="649"/>
      <c r="BX537" s="649"/>
      <c r="BY537" s="641">
        <f t="shared" si="238"/>
        <v>0</v>
      </c>
      <c r="CA537" s="467">
        <v>56</v>
      </c>
      <c r="CB537" s="467">
        <v>38869.910714285717</v>
      </c>
      <c r="CC537" s="462"/>
      <c r="CD537" s="192">
        <v>84</v>
      </c>
      <c r="CE537" s="192">
        <v>25351.976190476191</v>
      </c>
      <c r="CF537" s="205"/>
      <c r="CG537" s="467">
        <v>6</v>
      </c>
      <c r="CH537" s="467">
        <v>60905.333333333336</v>
      </c>
      <c r="CI537" s="462"/>
      <c r="CJ537" s="192"/>
      <c r="CK537" s="192"/>
      <c r="CL537" s="206"/>
      <c r="CM537" s="467"/>
      <c r="CN537" s="467"/>
      <c r="CO537" s="462"/>
      <c r="CP537" s="192"/>
      <c r="CQ537" s="192"/>
      <c r="CR537" s="205"/>
      <c r="CS537" s="467"/>
      <c r="CT537" s="467"/>
      <c r="CU537" s="462"/>
      <c r="CV537" s="192"/>
      <c r="CW537" s="192"/>
      <c r="CX537" s="205"/>
    </row>
    <row r="538" spans="1:102" x14ac:dyDescent="0.2">
      <c r="A538" s="384" t="s">
        <v>77</v>
      </c>
      <c r="B538" s="348" t="s">
        <v>722</v>
      </c>
      <c r="C538" s="349"/>
      <c r="D538" s="351">
        <v>229063</v>
      </c>
      <c r="E538" s="260">
        <v>3</v>
      </c>
      <c r="F538" s="631">
        <v>71</v>
      </c>
      <c r="G538" s="632">
        <v>101030.1690140845</v>
      </c>
      <c r="H538" s="633">
        <f t="shared" si="216"/>
        <v>7173142</v>
      </c>
      <c r="I538" s="634">
        <v>27</v>
      </c>
      <c r="J538" s="634">
        <v>107810.18518518518</v>
      </c>
      <c r="K538" s="635">
        <f t="shared" si="217"/>
        <v>2910875</v>
      </c>
      <c r="L538" s="636">
        <v>80</v>
      </c>
      <c r="M538" s="636">
        <v>82120.399999999994</v>
      </c>
      <c r="N538" s="637">
        <f t="shared" si="218"/>
        <v>6569632</v>
      </c>
      <c r="O538" s="638">
        <v>39</v>
      </c>
      <c r="P538" s="638">
        <v>77672.282051282047</v>
      </c>
      <c r="Q538" s="635">
        <f t="shared" si="219"/>
        <v>3029219</v>
      </c>
      <c r="R538" s="636">
        <v>82</v>
      </c>
      <c r="S538" s="636">
        <v>68556.670731707316</v>
      </c>
      <c r="T538" s="637">
        <f t="shared" si="220"/>
        <v>5621647</v>
      </c>
      <c r="U538" s="638">
        <v>39</v>
      </c>
      <c r="V538" s="638">
        <v>65300.897435897437</v>
      </c>
      <c r="W538" s="635">
        <f t="shared" si="221"/>
        <v>2546735</v>
      </c>
      <c r="X538" s="636">
        <v>13</v>
      </c>
      <c r="Y538" s="636">
        <v>50111.538461538461</v>
      </c>
      <c r="Z538" s="637">
        <f t="shared" si="222"/>
        <v>651450</v>
      </c>
      <c r="AA538" s="638">
        <v>1</v>
      </c>
      <c r="AB538" s="638">
        <v>50950</v>
      </c>
      <c r="AC538" s="635">
        <f t="shared" si="223"/>
        <v>50950</v>
      </c>
      <c r="AD538" s="649">
        <f t="shared" si="207"/>
        <v>92</v>
      </c>
      <c r="AE538" s="649">
        <f t="shared" si="208"/>
        <v>45811.543478260872</v>
      </c>
      <c r="AF538" s="637">
        <f t="shared" si="224"/>
        <v>4214662</v>
      </c>
      <c r="AG538" s="649">
        <f t="shared" si="209"/>
        <v>33</v>
      </c>
      <c r="AH538" s="649">
        <f t="shared" si="210"/>
        <v>46821.757575757576</v>
      </c>
      <c r="AI538" s="635">
        <f t="shared" si="225"/>
        <v>1545118</v>
      </c>
      <c r="AJ538" s="649"/>
      <c r="AK538" s="649"/>
      <c r="AL538" s="637">
        <f t="shared" si="211"/>
        <v>1545118</v>
      </c>
      <c r="AM538" s="649"/>
      <c r="AN538" s="649"/>
      <c r="AO538" s="640">
        <f t="shared" si="226"/>
        <v>0</v>
      </c>
      <c r="AP538" s="636">
        <v>12</v>
      </c>
      <c r="AQ538" s="636">
        <v>116474.16666666667</v>
      </c>
      <c r="AR538" s="637">
        <f t="shared" si="227"/>
        <v>1143589.9580000001</v>
      </c>
      <c r="AS538" s="638">
        <v>88</v>
      </c>
      <c r="AT538" s="638">
        <v>115445.38636363637</v>
      </c>
      <c r="AU538" s="635">
        <f t="shared" si="228"/>
        <v>8312252.5308000008</v>
      </c>
      <c r="AV538" s="636">
        <v>5</v>
      </c>
      <c r="AW538" s="636">
        <v>104226.2</v>
      </c>
      <c r="AX538" s="637">
        <f t="shared" si="229"/>
        <v>426389.38420000003</v>
      </c>
      <c r="AY538" s="638">
        <v>79</v>
      </c>
      <c r="AZ538" s="638">
        <v>93119.088607594938</v>
      </c>
      <c r="BA538" s="635">
        <f t="shared" si="230"/>
        <v>6019013.0256000003</v>
      </c>
      <c r="BB538" s="636">
        <v>4</v>
      </c>
      <c r="BC538" s="636">
        <v>80526.75</v>
      </c>
      <c r="BD538" s="637">
        <f t="shared" si="231"/>
        <v>263547.9474</v>
      </c>
      <c r="BE538" s="638">
        <v>44</v>
      </c>
      <c r="BF538" s="638">
        <v>72189.863636363632</v>
      </c>
      <c r="BG538" s="635">
        <f t="shared" si="232"/>
        <v>2598892.8428000002</v>
      </c>
      <c r="BH538" s="636">
        <v>1</v>
      </c>
      <c r="BI538" s="636">
        <v>140000</v>
      </c>
      <c r="BJ538" s="637">
        <f t="shared" si="233"/>
        <v>114548</v>
      </c>
      <c r="BK538" s="638">
        <v>5</v>
      </c>
      <c r="BL538" s="638">
        <v>55704.4</v>
      </c>
      <c r="BM538" s="635">
        <f t="shared" si="234"/>
        <v>227886.7004</v>
      </c>
      <c r="BN538" s="649">
        <f t="shared" si="212"/>
        <v>5</v>
      </c>
      <c r="BO538" s="649">
        <f t="shared" si="213"/>
        <v>21498.65</v>
      </c>
      <c r="BP538" s="637">
        <f t="shared" si="235"/>
        <v>87950.977150000006</v>
      </c>
      <c r="BQ538" s="649">
        <f t="shared" si="214"/>
        <v>45</v>
      </c>
      <c r="BR538" s="649">
        <f t="shared" si="215"/>
        <v>48338.6</v>
      </c>
      <c r="BS538" s="635">
        <f t="shared" si="236"/>
        <v>1779778.9134000002</v>
      </c>
      <c r="BT538" s="649"/>
      <c r="BU538" s="649"/>
      <c r="BV538" s="637">
        <f t="shared" si="237"/>
        <v>0</v>
      </c>
      <c r="BW538" s="649"/>
      <c r="BX538" s="649"/>
      <c r="BY538" s="641">
        <f t="shared" si="238"/>
        <v>0</v>
      </c>
      <c r="CA538" s="467">
        <v>80</v>
      </c>
      <c r="CB538" s="467">
        <v>46507.112500000003</v>
      </c>
      <c r="CC538" s="462"/>
      <c r="CD538" s="192"/>
      <c r="CE538" s="192"/>
      <c r="CF538" s="205"/>
      <c r="CG538" s="467">
        <v>12</v>
      </c>
      <c r="CH538" s="467">
        <v>41174.416666666664</v>
      </c>
      <c r="CI538" s="462"/>
      <c r="CJ538" s="192">
        <v>33</v>
      </c>
      <c r="CK538" s="192">
        <v>46821.757575757576</v>
      </c>
      <c r="CL538" s="206"/>
      <c r="CM538" s="467">
        <v>4</v>
      </c>
      <c r="CN538" s="467">
        <v>61589.25</v>
      </c>
      <c r="CO538" s="462"/>
      <c r="CP538" s="192"/>
      <c r="CQ538" s="192"/>
      <c r="CR538" s="205"/>
      <c r="CS538" s="467">
        <v>1</v>
      </c>
      <c r="CT538" s="467">
        <v>45900</v>
      </c>
      <c r="CU538" s="462"/>
      <c r="CV538" s="192">
        <v>45</v>
      </c>
      <c r="CW538" s="192">
        <v>48338.6</v>
      </c>
      <c r="CX538" s="205"/>
    </row>
    <row r="539" spans="1:102" x14ac:dyDescent="0.2">
      <c r="A539" s="384" t="s">
        <v>77</v>
      </c>
      <c r="B539" s="387" t="s">
        <v>723</v>
      </c>
      <c r="C539" s="388"/>
      <c r="D539" s="351">
        <v>228459</v>
      </c>
      <c r="E539" s="260">
        <v>3</v>
      </c>
      <c r="F539" s="631">
        <v>236</v>
      </c>
      <c r="G539" s="632">
        <v>87816.639830508473</v>
      </c>
      <c r="H539" s="633">
        <f t="shared" si="216"/>
        <v>20724727</v>
      </c>
      <c r="I539" s="634">
        <v>237</v>
      </c>
      <c r="J539" s="634">
        <v>87755.008438818564</v>
      </c>
      <c r="K539" s="635">
        <f t="shared" si="217"/>
        <v>20797937</v>
      </c>
      <c r="L539" s="636">
        <v>189</v>
      </c>
      <c r="M539" s="636">
        <v>70482.936507936509</v>
      </c>
      <c r="N539" s="637">
        <f t="shared" si="218"/>
        <v>13321275</v>
      </c>
      <c r="O539" s="638">
        <v>219</v>
      </c>
      <c r="P539" s="638">
        <v>68016.954337899544</v>
      </c>
      <c r="Q539" s="635">
        <f t="shared" si="219"/>
        <v>14895713</v>
      </c>
      <c r="R539" s="636">
        <v>275</v>
      </c>
      <c r="S539" s="636">
        <v>60889.69090909091</v>
      </c>
      <c r="T539" s="637">
        <f t="shared" si="220"/>
        <v>16744665</v>
      </c>
      <c r="U539" s="638">
        <v>263</v>
      </c>
      <c r="V539" s="638">
        <v>62547.41825095057</v>
      </c>
      <c r="W539" s="635">
        <f t="shared" si="221"/>
        <v>16449971</v>
      </c>
      <c r="X539" s="636">
        <v>5</v>
      </c>
      <c r="Y539" s="636">
        <v>43743.8</v>
      </c>
      <c r="Z539" s="637">
        <f t="shared" si="222"/>
        <v>218719</v>
      </c>
      <c r="AA539" s="638">
        <v>4</v>
      </c>
      <c r="AB539" s="638">
        <v>46958.75</v>
      </c>
      <c r="AC539" s="635">
        <f t="shared" si="223"/>
        <v>187835</v>
      </c>
      <c r="AD539" s="649">
        <f t="shared" si="207"/>
        <v>303</v>
      </c>
      <c r="AE539" s="649">
        <f t="shared" si="208"/>
        <v>41999.485148514854</v>
      </c>
      <c r="AF539" s="637">
        <f t="shared" si="224"/>
        <v>12725844</v>
      </c>
      <c r="AG539" s="649">
        <f t="shared" si="209"/>
        <v>313</v>
      </c>
      <c r="AH539" s="649">
        <f t="shared" si="210"/>
        <v>43136.955271565494</v>
      </c>
      <c r="AI539" s="635">
        <f t="shared" si="225"/>
        <v>13501867</v>
      </c>
      <c r="AJ539" s="649"/>
      <c r="AK539" s="649"/>
      <c r="AL539" s="637">
        <f t="shared" si="211"/>
        <v>13501867</v>
      </c>
      <c r="AM539" s="649"/>
      <c r="AN539" s="649"/>
      <c r="AO539" s="640">
        <f t="shared" si="226"/>
        <v>0</v>
      </c>
      <c r="AP539" s="636">
        <v>34</v>
      </c>
      <c r="AQ539" s="636">
        <v>134507.14705882352</v>
      </c>
      <c r="AR539" s="637">
        <f t="shared" si="227"/>
        <v>3741827.4226000002</v>
      </c>
      <c r="AS539" s="638">
        <v>31</v>
      </c>
      <c r="AT539" s="638">
        <v>138712.96774193548</v>
      </c>
      <c r="AU539" s="635">
        <f t="shared" si="228"/>
        <v>3518343.4564</v>
      </c>
      <c r="AV539" s="636">
        <v>10</v>
      </c>
      <c r="AW539" s="636">
        <v>113961</v>
      </c>
      <c r="AX539" s="637">
        <f t="shared" si="229"/>
        <v>932428.902</v>
      </c>
      <c r="AY539" s="638">
        <v>8</v>
      </c>
      <c r="AZ539" s="638">
        <v>122667.5</v>
      </c>
      <c r="BA539" s="635">
        <f t="shared" si="230"/>
        <v>802932.38800000004</v>
      </c>
      <c r="BB539" s="636">
        <v>1</v>
      </c>
      <c r="BC539" s="636">
        <v>80826</v>
      </c>
      <c r="BD539" s="637">
        <f t="shared" si="231"/>
        <v>66131.833200000008</v>
      </c>
      <c r="BE539" s="638"/>
      <c r="BF539" s="638"/>
      <c r="BG539" s="635">
        <f t="shared" si="232"/>
        <v>0</v>
      </c>
      <c r="BH539" s="636"/>
      <c r="BI539" s="636"/>
      <c r="BJ539" s="637">
        <f t="shared" si="233"/>
        <v>0</v>
      </c>
      <c r="BK539" s="638"/>
      <c r="BL539" s="638"/>
      <c r="BM539" s="635">
        <f t="shared" si="234"/>
        <v>0</v>
      </c>
      <c r="BN539" s="649">
        <f t="shared" si="212"/>
        <v>0</v>
      </c>
      <c r="BO539" s="649">
        <f t="shared" si="213"/>
        <v>0</v>
      </c>
      <c r="BP539" s="637">
        <f t="shared" si="235"/>
        <v>0</v>
      </c>
      <c r="BQ539" s="649">
        <f t="shared" si="214"/>
        <v>0</v>
      </c>
      <c r="BR539" s="649">
        <f t="shared" si="215"/>
        <v>0</v>
      </c>
      <c r="BS539" s="635">
        <f t="shared" si="236"/>
        <v>0</v>
      </c>
      <c r="BT539" s="649"/>
      <c r="BU539" s="649"/>
      <c r="BV539" s="637">
        <f t="shared" si="237"/>
        <v>0</v>
      </c>
      <c r="BW539" s="649"/>
      <c r="BX539" s="649"/>
      <c r="BY539" s="641">
        <f t="shared" si="238"/>
        <v>0</v>
      </c>
      <c r="CA539" s="467">
        <v>302</v>
      </c>
      <c r="CB539" s="467">
        <v>42083.920529801326</v>
      </c>
      <c r="CC539" s="462"/>
      <c r="CD539" s="192">
        <v>311</v>
      </c>
      <c r="CE539" s="192">
        <v>43242.369774919614</v>
      </c>
      <c r="CF539" s="205"/>
      <c r="CG539" s="467">
        <v>1</v>
      </c>
      <c r="CH539" s="467">
        <v>16500</v>
      </c>
      <c r="CI539" s="462"/>
      <c r="CJ539" s="192">
        <v>2</v>
      </c>
      <c r="CK539" s="192">
        <v>26745</v>
      </c>
      <c r="CL539" s="206"/>
      <c r="CM539" s="467"/>
      <c r="CN539" s="467"/>
      <c r="CO539" s="462"/>
      <c r="CP539" s="192"/>
      <c r="CQ539" s="192"/>
      <c r="CR539" s="205"/>
      <c r="CS539" s="467"/>
      <c r="CT539" s="467"/>
      <c r="CU539" s="462"/>
      <c r="CV539" s="192"/>
      <c r="CW539" s="192"/>
      <c r="CX539" s="205"/>
    </row>
    <row r="540" spans="1:102" x14ac:dyDescent="0.2">
      <c r="A540" s="384" t="s">
        <v>77</v>
      </c>
      <c r="B540" s="348" t="s">
        <v>724</v>
      </c>
      <c r="C540" s="349"/>
      <c r="D540" s="351">
        <v>225414</v>
      </c>
      <c r="E540" s="260">
        <v>3</v>
      </c>
      <c r="F540" s="631">
        <v>43</v>
      </c>
      <c r="G540" s="632">
        <v>95740.30232558139</v>
      </c>
      <c r="H540" s="633">
        <f t="shared" si="216"/>
        <v>4116832.9999999995</v>
      </c>
      <c r="I540" s="634">
        <v>42</v>
      </c>
      <c r="J540" s="634">
        <v>95137.404761904763</v>
      </c>
      <c r="K540" s="635">
        <f t="shared" si="217"/>
        <v>3995771</v>
      </c>
      <c r="L540" s="636">
        <v>80</v>
      </c>
      <c r="M540" s="636">
        <v>72614.487500000003</v>
      </c>
      <c r="N540" s="637">
        <f t="shared" si="218"/>
        <v>5809159</v>
      </c>
      <c r="O540" s="638">
        <v>83</v>
      </c>
      <c r="P540" s="638">
        <v>72574.590361445778</v>
      </c>
      <c r="Q540" s="635">
        <f t="shared" si="219"/>
        <v>6023691</v>
      </c>
      <c r="R540" s="636">
        <v>66</v>
      </c>
      <c r="S540" s="636">
        <v>63210.803030303032</v>
      </c>
      <c r="T540" s="637">
        <f t="shared" si="220"/>
        <v>4171913</v>
      </c>
      <c r="U540" s="638">
        <v>70</v>
      </c>
      <c r="V540" s="638">
        <v>61499.285714285717</v>
      </c>
      <c r="W540" s="635">
        <f t="shared" si="221"/>
        <v>4304950</v>
      </c>
      <c r="X540" s="636">
        <v>1</v>
      </c>
      <c r="Y540" s="636">
        <v>36432</v>
      </c>
      <c r="Z540" s="637">
        <f t="shared" si="222"/>
        <v>36432</v>
      </c>
      <c r="AA540" s="638">
        <v>1</v>
      </c>
      <c r="AB540" s="638">
        <v>46700</v>
      </c>
      <c r="AC540" s="635">
        <f t="shared" si="223"/>
        <v>46700</v>
      </c>
      <c r="AD540" s="649">
        <f t="shared" si="207"/>
        <v>36</v>
      </c>
      <c r="AE540" s="649">
        <f t="shared" si="208"/>
        <v>53360</v>
      </c>
      <c r="AF540" s="637">
        <f t="shared" si="224"/>
        <v>1920960</v>
      </c>
      <c r="AG540" s="649">
        <f t="shared" si="209"/>
        <v>37</v>
      </c>
      <c r="AH540" s="649">
        <f t="shared" si="210"/>
        <v>52610.351351351354</v>
      </c>
      <c r="AI540" s="635">
        <f t="shared" si="225"/>
        <v>1946583</v>
      </c>
      <c r="AJ540" s="649"/>
      <c r="AK540" s="649"/>
      <c r="AL540" s="637">
        <f t="shared" si="211"/>
        <v>1946583</v>
      </c>
      <c r="AM540" s="649"/>
      <c r="AN540" s="649"/>
      <c r="AO540" s="640">
        <f t="shared" si="226"/>
        <v>0</v>
      </c>
      <c r="AP540" s="636">
        <v>1</v>
      </c>
      <c r="AQ540" s="636">
        <v>87011</v>
      </c>
      <c r="AR540" s="637">
        <f t="shared" si="227"/>
        <v>71192.400200000004</v>
      </c>
      <c r="AS540" s="638">
        <v>1</v>
      </c>
      <c r="AT540" s="638">
        <v>87011</v>
      </c>
      <c r="AU540" s="635">
        <f t="shared" si="228"/>
        <v>71192.400200000004</v>
      </c>
      <c r="AV540" s="636"/>
      <c r="AW540" s="636"/>
      <c r="AX540" s="637">
        <f t="shared" si="229"/>
        <v>0</v>
      </c>
      <c r="AY540" s="638"/>
      <c r="AZ540" s="638"/>
      <c r="BA540" s="635">
        <f t="shared" si="230"/>
        <v>0</v>
      </c>
      <c r="BB540" s="636"/>
      <c r="BC540" s="636"/>
      <c r="BD540" s="637">
        <f t="shared" si="231"/>
        <v>0</v>
      </c>
      <c r="BE540" s="638"/>
      <c r="BF540" s="638"/>
      <c r="BG540" s="635">
        <f t="shared" si="232"/>
        <v>0</v>
      </c>
      <c r="BH540" s="636"/>
      <c r="BI540" s="636"/>
      <c r="BJ540" s="637">
        <f t="shared" si="233"/>
        <v>0</v>
      </c>
      <c r="BK540" s="638"/>
      <c r="BL540" s="638"/>
      <c r="BM540" s="635">
        <f t="shared" si="234"/>
        <v>0</v>
      </c>
      <c r="BN540" s="649">
        <f t="shared" si="212"/>
        <v>3</v>
      </c>
      <c r="BO540" s="649">
        <f t="shared" si="213"/>
        <v>28329.555555555558</v>
      </c>
      <c r="BP540" s="637">
        <f t="shared" si="235"/>
        <v>69537.727066666674</v>
      </c>
      <c r="BQ540" s="649">
        <f t="shared" si="214"/>
        <v>3</v>
      </c>
      <c r="BR540" s="649">
        <f t="shared" si="215"/>
        <v>28329.555555555558</v>
      </c>
      <c r="BS540" s="635">
        <f t="shared" si="236"/>
        <v>69537.727066666674</v>
      </c>
      <c r="BT540" s="649"/>
      <c r="BU540" s="649"/>
      <c r="BV540" s="637">
        <f t="shared" si="237"/>
        <v>0</v>
      </c>
      <c r="BW540" s="649"/>
      <c r="BX540" s="649"/>
      <c r="BY540" s="641">
        <f t="shared" si="238"/>
        <v>0</v>
      </c>
      <c r="CA540" s="467">
        <v>26</v>
      </c>
      <c r="CB540" s="467">
        <v>52883.615384615383</v>
      </c>
      <c r="CC540" s="462"/>
      <c r="CD540" s="192">
        <v>23</v>
      </c>
      <c r="CE540" s="192">
        <v>53379.17391304348</v>
      </c>
      <c r="CF540" s="205"/>
      <c r="CG540" s="467">
        <v>10</v>
      </c>
      <c r="CH540" s="467">
        <v>54598.6</v>
      </c>
      <c r="CI540" s="462"/>
      <c r="CJ540" s="192">
        <v>14</v>
      </c>
      <c r="CK540" s="192">
        <v>51347.285714285717</v>
      </c>
      <c r="CL540" s="206"/>
      <c r="CM540" s="467">
        <v>3</v>
      </c>
      <c r="CN540" s="467">
        <v>84985.666666666672</v>
      </c>
      <c r="CO540" s="462"/>
      <c r="CP540" s="192">
        <v>3</v>
      </c>
      <c r="CQ540" s="192">
        <v>84985.666666666672</v>
      </c>
      <c r="CR540" s="205"/>
      <c r="CS540" s="467"/>
      <c r="CT540" s="467"/>
      <c r="CU540" s="462"/>
      <c r="CV540" s="192"/>
      <c r="CW540" s="192"/>
      <c r="CX540" s="205"/>
    </row>
    <row r="541" spans="1:102" x14ac:dyDescent="0.2">
      <c r="A541" s="384" t="s">
        <v>77</v>
      </c>
      <c r="B541" s="350" t="s">
        <v>725</v>
      </c>
      <c r="C541" s="386"/>
      <c r="D541" s="351">
        <v>227377</v>
      </c>
      <c r="E541" s="260">
        <v>3</v>
      </c>
      <c r="F541" s="631">
        <v>47</v>
      </c>
      <c r="G541" s="632">
        <v>79551.404255319154</v>
      </c>
      <c r="H541" s="633">
        <f t="shared" si="216"/>
        <v>3738916</v>
      </c>
      <c r="I541" s="634">
        <v>55</v>
      </c>
      <c r="J541" s="634">
        <v>80271.909090909088</v>
      </c>
      <c r="K541" s="635">
        <f t="shared" si="217"/>
        <v>4414955</v>
      </c>
      <c r="L541" s="636">
        <v>97</v>
      </c>
      <c r="M541" s="636">
        <v>66933.958762886599</v>
      </c>
      <c r="N541" s="637">
        <f t="shared" si="218"/>
        <v>6492594</v>
      </c>
      <c r="O541" s="638">
        <v>121</v>
      </c>
      <c r="P541" s="638">
        <v>66129.165289256198</v>
      </c>
      <c r="Q541" s="635">
        <f t="shared" si="219"/>
        <v>8001629</v>
      </c>
      <c r="R541" s="636">
        <v>109</v>
      </c>
      <c r="S541" s="636">
        <v>57233.963302752294</v>
      </c>
      <c r="T541" s="637">
        <f t="shared" si="220"/>
        <v>6238502</v>
      </c>
      <c r="U541" s="638">
        <v>123</v>
      </c>
      <c r="V541" s="638">
        <v>57012.300813008129</v>
      </c>
      <c r="W541" s="635">
        <f t="shared" si="221"/>
        <v>7012513</v>
      </c>
      <c r="X541" s="636">
        <v>65</v>
      </c>
      <c r="Y541" s="636">
        <v>56230.092307692306</v>
      </c>
      <c r="Z541" s="637">
        <f t="shared" si="222"/>
        <v>3654956</v>
      </c>
      <c r="AA541" s="638">
        <v>2</v>
      </c>
      <c r="AB541" s="638">
        <v>49250</v>
      </c>
      <c r="AC541" s="635">
        <f t="shared" si="223"/>
        <v>98500</v>
      </c>
      <c r="AD541" s="649">
        <f t="shared" si="207"/>
        <v>45</v>
      </c>
      <c r="AE541" s="649">
        <f t="shared" si="208"/>
        <v>46873.844444444447</v>
      </c>
      <c r="AF541" s="637">
        <f t="shared" si="224"/>
        <v>2109323</v>
      </c>
      <c r="AG541" s="649">
        <f t="shared" si="209"/>
        <v>68</v>
      </c>
      <c r="AH541" s="649">
        <f t="shared" si="210"/>
        <v>43398.117647058825</v>
      </c>
      <c r="AI541" s="635">
        <f t="shared" si="225"/>
        <v>2951072</v>
      </c>
      <c r="AJ541" s="649"/>
      <c r="AK541" s="649"/>
      <c r="AL541" s="637">
        <f t="shared" si="211"/>
        <v>2951072</v>
      </c>
      <c r="AM541" s="649"/>
      <c r="AN541" s="649"/>
      <c r="AO541" s="640">
        <f t="shared" si="226"/>
        <v>0</v>
      </c>
      <c r="AP541" s="636"/>
      <c r="AQ541" s="636"/>
      <c r="AR541" s="637">
        <f t="shared" si="227"/>
        <v>0</v>
      </c>
      <c r="AS541" s="638">
        <v>1</v>
      </c>
      <c r="AT541" s="638">
        <v>87976</v>
      </c>
      <c r="AU541" s="635">
        <f t="shared" si="228"/>
        <v>71981.963199999998</v>
      </c>
      <c r="AV541" s="636">
        <v>4</v>
      </c>
      <c r="AW541" s="636">
        <v>83135</v>
      </c>
      <c r="AX541" s="637">
        <f t="shared" si="229"/>
        <v>272084.228</v>
      </c>
      <c r="AY541" s="638">
        <v>9</v>
      </c>
      <c r="AZ541" s="638">
        <v>81523.888888888891</v>
      </c>
      <c r="BA541" s="635">
        <f t="shared" si="230"/>
        <v>600325.61300000001</v>
      </c>
      <c r="BB541" s="636"/>
      <c r="BC541" s="636"/>
      <c r="BD541" s="637">
        <f t="shared" si="231"/>
        <v>0</v>
      </c>
      <c r="BE541" s="638">
        <v>14</v>
      </c>
      <c r="BF541" s="638">
        <v>63693.571428571428</v>
      </c>
      <c r="BG541" s="635">
        <f t="shared" si="232"/>
        <v>729597.12200000009</v>
      </c>
      <c r="BH541" s="636">
        <v>22</v>
      </c>
      <c r="BI541" s="636">
        <v>65552.681818181823</v>
      </c>
      <c r="BJ541" s="637">
        <f t="shared" si="233"/>
        <v>1179974.4938000001</v>
      </c>
      <c r="BK541" s="638"/>
      <c r="BL541" s="638"/>
      <c r="BM541" s="635">
        <f t="shared" si="234"/>
        <v>0</v>
      </c>
      <c r="BN541" s="649">
        <f t="shared" si="212"/>
        <v>19</v>
      </c>
      <c r="BO541" s="649">
        <f t="shared" si="213"/>
        <v>28614.315789473683</v>
      </c>
      <c r="BP541" s="637">
        <f t="shared" si="235"/>
        <v>444832.43040000001</v>
      </c>
      <c r="BQ541" s="649">
        <f t="shared" si="214"/>
        <v>15</v>
      </c>
      <c r="BR541" s="649">
        <f t="shared" si="215"/>
        <v>30276.366666666665</v>
      </c>
      <c r="BS541" s="635">
        <f t="shared" si="236"/>
        <v>371581.8481</v>
      </c>
      <c r="BT541" s="649"/>
      <c r="BU541" s="649"/>
      <c r="BV541" s="637">
        <f t="shared" si="237"/>
        <v>0</v>
      </c>
      <c r="BW541" s="649"/>
      <c r="BX541" s="649"/>
      <c r="BY541" s="641">
        <f t="shared" si="238"/>
        <v>0</v>
      </c>
      <c r="CA541" s="467">
        <v>37</v>
      </c>
      <c r="CB541" s="467">
        <v>45005.486486486487</v>
      </c>
      <c r="CC541" s="462"/>
      <c r="CD541" s="192">
        <v>62</v>
      </c>
      <c r="CE541" s="192">
        <v>41783.774193548386</v>
      </c>
      <c r="CF541" s="205"/>
      <c r="CG541" s="467">
        <v>8</v>
      </c>
      <c r="CH541" s="467">
        <v>55515</v>
      </c>
      <c r="CI541" s="462"/>
      <c r="CJ541" s="192">
        <v>6</v>
      </c>
      <c r="CK541" s="192">
        <v>60079.666666666664</v>
      </c>
      <c r="CL541" s="206"/>
      <c r="CM541" s="467">
        <v>9</v>
      </c>
      <c r="CN541" s="467">
        <v>46189</v>
      </c>
      <c r="CO541" s="462"/>
      <c r="CP541" s="192">
        <v>6</v>
      </c>
      <c r="CQ541" s="192">
        <v>45452.5</v>
      </c>
      <c r="CR541" s="205"/>
      <c r="CS541" s="467">
        <v>10</v>
      </c>
      <c r="CT541" s="467">
        <v>49747.4</v>
      </c>
      <c r="CU541" s="462"/>
      <c r="CV541" s="192">
        <v>9</v>
      </c>
      <c r="CW541" s="192">
        <v>45409.666666666664</v>
      </c>
      <c r="CX541" s="205"/>
    </row>
    <row r="542" spans="1:102" x14ac:dyDescent="0.2">
      <c r="A542" s="384" t="s">
        <v>77</v>
      </c>
      <c r="B542" s="348" t="s">
        <v>726</v>
      </c>
      <c r="C542" s="349"/>
      <c r="D542" s="351">
        <v>228802</v>
      </c>
      <c r="E542" s="260">
        <v>3</v>
      </c>
      <c r="F542" s="631">
        <v>53</v>
      </c>
      <c r="G542" s="632">
        <v>82754.094339622636</v>
      </c>
      <c r="H542" s="633">
        <f t="shared" si="216"/>
        <v>4385967</v>
      </c>
      <c r="I542" s="634">
        <v>53</v>
      </c>
      <c r="J542" s="634">
        <v>82223.60377358491</v>
      </c>
      <c r="K542" s="635">
        <f t="shared" si="217"/>
        <v>4357851</v>
      </c>
      <c r="L542" s="636">
        <v>62</v>
      </c>
      <c r="M542" s="636">
        <v>65676.774193548394</v>
      </c>
      <c r="N542" s="637">
        <f t="shared" si="218"/>
        <v>4071960.0000000005</v>
      </c>
      <c r="O542" s="638">
        <v>68</v>
      </c>
      <c r="P542" s="638">
        <v>66232.323529411762</v>
      </c>
      <c r="Q542" s="635">
        <f t="shared" si="219"/>
        <v>4503798</v>
      </c>
      <c r="R542" s="636">
        <v>68</v>
      </c>
      <c r="S542" s="636">
        <v>60201.529411764706</v>
      </c>
      <c r="T542" s="637">
        <f t="shared" si="220"/>
        <v>4093704</v>
      </c>
      <c r="U542" s="638">
        <v>71</v>
      </c>
      <c r="V542" s="638">
        <v>59826.42253521127</v>
      </c>
      <c r="W542" s="635">
        <f t="shared" si="221"/>
        <v>4247676</v>
      </c>
      <c r="X542" s="636">
        <v>42</v>
      </c>
      <c r="Y542" s="636">
        <v>46852.928571428572</v>
      </c>
      <c r="Z542" s="637">
        <f t="shared" si="222"/>
        <v>1967823</v>
      </c>
      <c r="AA542" s="638">
        <v>41</v>
      </c>
      <c r="AB542" s="638">
        <v>47000.195121951219</v>
      </c>
      <c r="AC542" s="635">
        <f t="shared" si="223"/>
        <v>1927008</v>
      </c>
      <c r="AD542" s="649">
        <f t="shared" si="207"/>
        <v>46</v>
      </c>
      <c r="AE542" s="649">
        <f t="shared" si="208"/>
        <v>49672.760869565216</v>
      </c>
      <c r="AF542" s="637">
        <f t="shared" si="224"/>
        <v>2284947</v>
      </c>
      <c r="AG542" s="649">
        <f t="shared" si="209"/>
        <v>43</v>
      </c>
      <c r="AH542" s="649">
        <f t="shared" si="210"/>
        <v>45097.534883720931</v>
      </c>
      <c r="AI542" s="635">
        <f t="shared" si="225"/>
        <v>1939194</v>
      </c>
      <c r="AJ542" s="649"/>
      <c r="AK542" s="649"/>
      <c r="AL542" s="637">
        <f t="shared" si="211"/>
        <v>1939194</v>
      </c>
      <c r="AM542" s="649"/>
      <c r="AN542" s="649"/>
      <c r="AO542" s="640">
        <f t="shared" si="226"/>
        <v>0</v>
      </c>
      <c r="AP542" s="636"/>
      <c r="AQ542" s="636"/>
      <c r="AR542" s="637">
        <f t="shared" si="227"/>
        <v>0</v>
      </c>
      <c r="AS542" s="638"/>
      <c r="AT542" s="638"/>
      <c r="AU542" s="635">
        <f t="shared" si="228"/>
        <v>0</v>
      </c>
      <c r="AV542" s="636"/>
      <c r="AW542" s="636"/>
      <c r="AX542" s="637">
        <f t="shared" si="229"/>
        <v>0</v>
      </c>
      <c r="AY542" s="638"/>
      <c r="AZ542" s="638"/>
      <c r="BA542" s="635">
        <f t="shared" si="230"/>
        <v>0</v>
      </c>
      <c r="BB542" s="636"/>
      <c r="BC542" s="636"/>
      <c r="BD542" s="637">
        <f t="shared" si="231"/>
        <v>0</v>
      </c>
      <c r="BE542" s="638"/>
      <c r="BF542" s="638"/>
      <c r="BG542" s="635">
        <f t="shared" si="232"/>
        <v>0</v>
      </c>
      <c r="BH542" s="636"/>
      <c r="BI542" s="636"/>
      <c r="BJ542" s="637">
        <f t="shared" si="233"/>
        <v>0</v>
      </c>
      <c r="BK542" s="638"/>
      <c r="BL542" s="638"/>
      <c r="BM542" s="635">
        <f t="shared" si="234"/>
        <v>0</v>
      </c>
      <c r="BN542" s="649">
        <f t="shared" si="212"/>
        <v>0</v>
      </c>
      <c r="BO542" s="649">
        <f t="shared" si="213"/>
        <v>0</v>
      </c>
      <c r="BP542" s="637">
        <f t="shared" si="235"/>
        <v>0</v>
      </c>
      <c r="BQ542" s="649">
        <f t="shared" si="214"/>
        <v>0</v>
      </c>
      <c r="BR542" s="649">
        <f t="shared" si="215"/>
        <v>0</v>
      </c>
      <c r="BS542" s="635">
        <f t="shared" si="236"/>
        <v>0</v>
      </c>
      <c r="BT542" s="649"/>
      <c r="BU542" s="649"/>
      <c r="BV542" s="637">
        <f t="shared" si="237"/>
        <v>0</v>
      </c>
      <c r="BW542" s="649"/>
      <c r="BX542" s="649"/>
      <c r="BY542" s="641">
        <f t="shared" si="238"/>
        <v>0</v>
      </c>
      <c r="CA542" s="467">
        <v>37</v>
      </c>
      <c r="CB542" s="467">
        <v>47036.513513513513</v>
      </c>
      <c r="CC542" s="462"/>
      <c r="CD542" s="192">
        <v>37</v>
      </c>
      <c r="CE542" s="192">
        <v>44435.189189189186</v>
      </c>
      <c r="CF542" s="205"/>
      <c r="CG542" s="467">
        <v>9</v>
      </c>
      <c r="CH542" s="467">
        <v>60510.666666666664</v>
      </c>
      <c r="CI542" s="462"/>
      <c r="CJ542" s="192">
        <v>6</v>
      </c>
      <c r="CK542" s="192">
        <v>49182</v>
      </c>
      <c r="CL542" s="206"/>
      <c r="CM542" s="467"/>
      <c r="CN542" s="467"/>
      <c r="CO542" s="462"/>
      <c r="CP542" s="192"/>
      <c r="CQ542" s="192"/>
      <c r="CR542" s="205"/>
      <c r="CS542" s="467"/>
      <c r="CT542" s="467"/>
      <c r="CU542" s="462"/>
      <c r="CV542" s="192"/>
      <c r="CW542" s="192"/>
      <c r="CX542" s="205"/>
    </row>
    <row r="543" spans="1:102" x14ac:dyDescent="0.2">
      <c r="A543" s="384" t="s">
        <v>77</v>
      </c>
      <c r="B543" s="350" t="s">
        <v>731</v>
      </c>
      <c r="C543" s="421" t="s">
        <v>873</v>
      </c>
      <c r="D543" s="351">
        <v>229018</v>
      </c>
      <c r="E543" s="422">
        <v>3</v>
      </c>
      <c r="F543" s="631">
        <v>22</v>
      </c>
      <c r="G543" s="632">
        <v>85449.272727272721</v>
      </c>
      <c r="H543" s="633">
        <f t="shared" si="216"/>
        <v>1879883.9999999998</v>
      </c>
      <c r="I543" s="634">
        <v>22</v>
      </c>
      <c r="J543" s="634">
        <v>77545.363636363632</v>
      </c>
      <c r="K543" s="635">
        <f t="shared" si="217"/>
        <v>1705998</v>
      </c>
      <c r="L543" s="636">
        <v>39</v>
      </c>
      <c r="M543" s="636">
        <v>64714.871794871797</v>
      </c>
      <c r="N543" s="637">
        <f t="shared" si="218"/>
        <v>2523880</v>
      </c>
      <c r="O543" s="638">
        <v>39</v>
      </c>
      <c r="P543" s="638">
        <v>67136.58974358975</v>
      </c>
      <c r="Q543" s="635">
        <f t="shared" si="219"/>
        <v>2618327</v>
      </c>
      <c r="R543" s="636">
        <v>37</v>
      </c>
      <c r="S543" s="636">
        <v>59876.324324324327</v>
      </c>
      <c r="T543" s="637">
        <f t="shared" si="220"/>
        <v>2215424</v>
      </c>
      <c r="U543" s="638">
        <v>30</v>
      </c>
      <c r="V543" s="638">
        <v>60123.966666666667</v>
      </c>
      <c r="W543" s="635">
        <f t="shared" si="221"/>
        <v>1803719</v>
      </c>
      <c r="X543" s="636"/>
      <c r="Y543" s="636"/>
      <c r="Z543" s="637">
        <f t="shared" si="222"/>
        <v>0</v>
      </c>
      <c r="AA543" s="638"/>
      <c r="AB543" s="638"/>
      <c r="AC543" s="635">
        <f t="shared" si="223"/>
        <v>0</v>
      </c>
      <c r="AD543" s="649">
        <f t="shared" si="207"/>
        <v>39</v>
      </c>
      <c r="AE543" s="649">
        <f t="shared" si="208"/>
        <v>42076.205128205125</v>
      </c>
      <c r="AF543" s="637">
        <f t="shared" si="224"/>
        <v>1640972</v>
      </c>
      <c r="AG543" s="649">
        <f t="shared" si="209"/>
        <v>28</v>
      </c>
      <c r="AH543" s="649">
        <f t="shared" si="210"/>
        <v>43345.678571428572</v>
      </c>
      <c r="AI543" s="635">
        <f t="shared" si="225"/>
        <v>1213679</v>
      </c>
      <c r="AJ543" s="649"/>
      <c r="AK543" s="649"/>
      <c r="AL543" s="637">
        <f t="shared" si="211"/>
        <v>1213679</v>
      </c>
      <c r="AM543" s="649"/>
      <c r="AN543" s="649"/>
      <c r="AO543" s="640">
        <f t="shared" si="226"/>
        <v>0</v>
      </c>
      <c r="AP543" s="636"/>
      <c r="AQ543" s="636"/>
      <c r="AR543" s="637">
        <f t="shared" si="227"/>
        <v>0</v>
      </c>
      <c r="AS543" s="638"/>
      <c r="AT543" s="638"/>
      <c r="AU543" s="635">
        <f t="shared" si="228"/>
        <v>0</v>
      </c>
      <c r="AV543" s="636"/>
      <c r="AW543" s="636"/>
      <c r="AX543" s="637">
        <f t="shared" si="229"/>
        <v>0</v>
      </c>
      <c r="AY543" s="638"/>
      <c r="AZ543" s="638"/>
      <c r="BA543" s="635">
        <f t="shared" si="230"/>
        <v>0</v>
      </c>
      <c r="BB543" s="636"/>
      <c r="BC543" s="636"/>
      <c r="BD543" s="637">
        <f t="shared" si="231"/>
        <v>0</v>
      </c>
      <c r="BE543" s="638"/>
      <c r="BF543" s="638"/>
      <c r="BG543" s="635">
        <f t="shared" si="232"/>
        <v>0</v>
      </c>
      <c r="BH543" s="636"/>
      <c r="BI543" s="636"/>
      <c r="BJ543" s="637">
        <f t="shared" si="233"/>
        <v>0</v>
      </c>
      <c r="BK543" s="638"/>
      <c r="BL543" s="638"/>
      <c r="BM543" s="635">
        <f t="shared" si="234"/>
        <v>0</v>
      </c>
      <c r="BN543" s="649">
        <f t="shared" si="212"/>
        <v>0</v>
      </c>
      <c r="BO543" s="649">
        <f t="shared" si="213"/>
        <v>0</v>
      </c>
      <c r="BP543" s="637">
        <f t="shared" si="235"/>
        <v>0</v>
      </c>
      <c r="BQ543" s="649">
        <f t="shared" si="214"/>
        <v>0</v>
      </c>
      <c r="BR543" s="649">
        <f t="shared" si="215"/>
        <v>0</v>
      </c>
      <c r="BS543" s="635">
        <f t="shared" si="236"/>
        <v>0</v>
      </c>
      <c r="BT543" s="649"/>
      <c r="BU543" s="649"/>
      <c r="BV543" s="637">
        <f t="shared" si="237"/>
        <v>0</v>
      </c>
      <c r="BW543" s="649"/>
      <c r="BX543" s="649"/>
      <c r="BY543" s="641">
        <f t="shared" si="238"/>
        <v>0</v>
      </c>
      <c r="CA543" s="467">
        <v>39</v>
      </c>
      <c r="CB543" s="467">
        <v>42076.205128205125</v>
      </c>
      <c r="CC543" s="462"/>
      <c r="CD543" s="192">
        <v>28</v>
      </c>
      <c r="CE543" s="192">
        <v>43345.678571428572</v>
      </c>
      <c r="CF543" s="205"/>
      <c r="CG543" s="467"/>
      <c r="CH543" s="467"/>
      <c r="CI543" s="462"/>
      <c r="CJ543" s="192"/>
      <c r="CK543" s="192"/>
      <c r="CL543" s="206"/>
      <c r="CM543" s="467"/>
      <c r="CN543" s="467"/>
      <c r="CO543" s="462"/>
      <c r="CP543" s="192"/>
      <c r="CQ543" s="192"/>
      <c r="CR543" s="205"/>
      <c r="CS543" s="467"/>
      <c r="CT543" s="467"/>
      <c r="CU543" s="462"/>
      <c r="CV543" s="192"/>
      <c r="CW543" s="192"/>
      <c r="CX543" s="205"/>
    </row>
    <row r="544" spans="1:102" x14ac:dyDescent="0.2">
      <c r="A544" s="384" t="s">
        <v>77</v>
      </c>
      <c r="B544" s="348" t="s">
        <v>727</v>
      </c>
      <c r="C544" s="349"/>
      <c r="D544" s="351">
        <v>227368</v>
      </c>
      <c r="E544" s="260">
        <v>3</v>
      </c>
      <c r="F544" s="631">
        <v>119</v>
      </c>
      <c r="G544" s="632">
        <v>88289.663865546216</v>
      </c>
      <c r="H544" s="633">
        <f t="shared" si="216"/>
        <v>10506470</v>
      </c>
      <c r="I544" s="634">
        <v>120</v>
      </c>
      <c r="J544" s="634">
        <v>87241.983333333337</v>
      </c>
      <c r="K544" s="635">
        <f t="shared" si="217"/>
        <v>10469038</v>
      </c>
      <c r="L544" s="636">
        <v>156</v>
      </c>
      <c r="M544" s="636">
        <v>69466.461538461532</v>
      </c>
      <c r="N544" s="637">
        <f t="shared" si="218"/>
        <v>10836767.999999998</v>
      </c>
      <c r="O544" s="638">
        <v>172</v>
      </c>
      <c r="P544" s="638">
        <v>66978.232558139542</v>
      </c>
      <c r="Q544" s="635">
        <f t="shared" si="219"/>
        <v>11520256.000000002</v>
      </c>
      <c r="R544" s="636">
        <v>200</v>
      </c>
      <c r="S544" s="636">
        <v>61253.52</v>
      </c>
      <c r="T544" s="637">
        <f t="shared" si="220"/>
        <v>12250704</v>
      </c>
      <c r="U544" s="638">
        <v>165</v>
      </c>
      <c r="V544" s="638">
        <v>62014.454545454544</v>
      </c>
      <c r="W544" s="635">
        <f t="shared" si="221"/>
        <v>10232385</v>
      </c>
      <c r="X544" s="636"/>
      <c r="Y544" s="636"/>
      <c r="Z544" s="637">
        <f t="shared" si="222"/>
        <v>0</v>
      </c>
      <c r="AA544" s="638"/>
      <c r="AB544" s="638"/>
      <c r="AC544" s="635">
        <f t="shared" si="223"/>
        <v>0</v>
      </c>
      <c r="AD544" s="649">
        <f t="shared" si="207"/>
        <v>163</v>
      </c>
      <c r="AE544" s="649">
        <f t="shared" si="208"/>
        <v>48406.680981595091</v>
      </c>
      <c r="AF544" s="637">
        <f t="shared" si="224"/>
        <v>7890289</v>
      </c>
      <c r="AG544" s="649">
        <f t="shared" si="209"/>
        <v>158</v>
      </c>
      <c r="AH544" s="649">
        <f t="shared" si="210"/>
        <v>47323.1835443038</v>
      </c>
      <c r="AI544" s="635">
        <f t="shared" si="225"/>
        <v>7477063</v>
      </c>
      <c r="AJ544" s="649"/>
      <c r="AK544" s="649"/>
      <c r="AL544" s="637">
        <f t="shared" si="211"/>
        <v>7477063</v>
      </c>
      <c r="AM544" s="649"/>
      <c r="AN544" s="649"/>
      <c r="AO544" s="640">
        <f t="shared" si="226"/>
        <v>0</v>
      </c>
      <c r="AP544" s="636">
        <v>1</v>
      </c>
      <c r="AQ544" s="636">
        <v>103159</v>
      </c>
      <c r="AR544" s="637">
        <f t="shared" si="227"/>
        <v>84404.693800000008</v>
      </c>
      <c r="AS544" s="638">
        <v>1</v>
      </c>
      <c r="AT544" s="638">
        <v>103159</v>
      </c>
      <c r="AU544" s="635">
        <f t="shared" si="228"/>
        <v>84404.693800000008</v>
      </c>
      <c r="AV544" s="636">
        <v>2</v>
      </c>
      <c r="AW544" s="636">
        <v>86844</v>
      </c>
      <c r="AX544" s="637">
        <f t="shared" si="229"/>
        <v>142111.52160000001</v>
      </c>
      <c r="AY544" s="638">
        <v>1</v>
      </c>
      <c r="AZ544" s="638">
        <v>79039</v>
      </c>
      <c r="BA544" s="635">
        <f t="shared" si="230"/>
        <v>64669.709800000004</v>
      </c>
      <c r="BB544" s="636"/>
      <c r="BC544" s="636"/>
      <c r="BD544" s="637">
        <f t="shared" si="231"/>
        <v>0</v>
      </c>
      <c r="BE544" s="638">
        <v>1</v>
      </c>
      <c r="BF544" s="638">
        <v>74000</v>
      </c>
      <c r="BG544" s="635">
        <f t="shared" si="232"/>
        <v>60546.8</v>
      </c>
      <c r="BH544" s="636"/>
      <c r="BI544" s="636"/>
      <c r="BJ544" s="637">
        <f t="shared" si="233"/>
        <v>0</v>
      </c>
      <c r="BK544" s="638"/>
      <c r="BL544" s="638"/>
      <c r="BM544" s="635">
        <f t="shared" si="234"/>
        <v>0</v>
      </c>
      <c r="BN544" s="649">
        <f t="shared" si="212"/>
        <v>16</v>
      </c>
      <c r="BO544" s="649">
        <f t="shared" si="213"/>
        <v>68683.416666666672</v>
      </c>
      <c r="BP544" s="637">
        <f t="shared" si="235"/>
        <v>899148.3442666668</v>
      </c>
      <c r="BQ544" s="649">
        <f t="shared" si="214"/>
        <v>13</v>
      </c>
      <c r="BR544" s="649">
        <f t="shared" si="215"/>
        <v>85045</v>
      </c>
      <c r="BS544" s="635">
        <f t="shared" si="236"/>
        <v>904589.647</v>
      </c>
      <c r="BT544" s="649"/>
      <c r="BU544" s="649"/>
      <c r="BV544" s="637">
        <f t="shared" si="237"/>
        <v>0</v>
      </c>
      <c r="BW544" s="649"/>
      <c r="BX544" s="649"/>
      <c r="BY544" s="641">
        <f t="shared" si="238"/>
        <v>0</v>
      </c>
      <c r="CA544" s="467">
        <v>143</v>
      </c>
      <c r="CB544" s="467">
        <v>45810.3006993007</v>
      </c>
      <c r="CC544" s="462"/>
      <c r="CD544" s="192">
        <v>138</v>
      </c>
      <c r="CE544" s="192">
        <v>45913.681159420288</v>
      </c>
      <c r="CF544" s="205"/>
      <c r="CG544" s="467">
        <v>20</v>
      </c>
      <c r="CH544" s="467">
        <v>66970.8</v>
      </c>
      <c r="CI544" s="462"/>
      <c r="CJ544" s="192">
        <v>20</v>
      </c>
      <c r="CK544" s="192">
        <v>57048.75</v>
      </c>
      <c r="CL544" s="206"/>
      <c r="CM544" s="467">
        <v>3</v>
      </c>
      <c r="CN544" s="467">
        <v>52666.666666666664</v>
      </c>
      <c r="CO544" s="462"/>
      <c r="CP544" s="192"/>
      <c r="CQ544" s="192"/>
      <c r="CR544" s="205"/>
      <c r="CS544" s="467">
        <v>13</v>
      </c>
      <c r="CT544" s="467">
        <v>80481.923076923078</v>
      </c>
      <c r="CU544" s="462"/>
      <c r="CV544" s="192">
        <v>13</v>
      </c>
      <c r="CW544" s="192">
        <v>85045</v>
      </c>
      <c r="CX544" s="205"/>
    </row>
    <row r="545" spans="1:102" x14ac:dyDescent="0.2">
      <c r="A545" s="384" t="s">
        <v>77</v>
      </c>
      <c r="B545" s="348" t="s">
        <v>728</v>
      </c>
      <c r="C545" s="349"/>
      <c r="D545" s="351">
        <v>229814</v>
      </c>
      <c r="E545" s="260">
        <v>3</v>
      </c>
      <c r="F545" s="631">
        <v>44</v>
      </c>
      <c r="G545" s="632">
        <v>75781.045454545456</v>
      </c>
      <c r="H545" s="633">
        <f t="shared" si="216"/>
        <v>3334366</v>
      </c>
      <c r="I545" s="634">
        <v>38</v>
      </c>
      <c r="J545" s="634">
        <v>79154.394736842107</v>
      </c>
      <c r="K545" s="635">
        <f t="shared" si="217"/>
        <v>3007867</v>
      </c>
      <c r="L545" s="636">
        <v>56</v>
      </c>
      <c r="M545" s="636">
        <v>63801.75</v>
      </c>
      <c r="N545" s="637">
        <f t="shared" si="218"/>
        <v>3572898</v>
      </c>
      <c r="O545" s="638">
        <v>50</v>
      </c>
      <c r="P545" s="638">
        <v>65530.22</v>
      </c>
      <c r="Q545" s="635">
        <f t="shared" si="219"/>
        <v>3276511</v>
      </c>
      <c r="R545" s="636">
        <v>88</v>
      </c>
      <c r="S545" s="636">
        <v>58877.522727272728</v>
      </c>
      <c r="T545" s="637">
        <f t="shared" si="220"/>
        <v>5181222</v>
      </c>
      <c r="U545" s="638">
        <v>82</v>
      </c>
      <c r="V545" s="638">
        <v>61257.012195121948</v>
      </c>
      <c r="W545" s="635">
        <f t="shared" si="221"/>
        <v>5023075</v>
      </c>
      <c r="X545" s="636">
        <v>74</v>
      </c>
      <c r="Y545" s="636">
        <v>46702.486486486487</v>
      </c>
      <c r="Z545" s="637">
        <f t="shared" si="222"/>
        <v>3455984</v>
      </c>
      <c r="AA545" s="638">
        <v>63</v>
      </c>
      <c r="AB545" s="638">
        <v>46560.333333333336</v>
      </c>
      <c r="AC545" s="635">
        <f t="shared" si="223"/>
        <v>2933301</v>
      </c>
      <c r="AD545" s="649">
        <f t="shared" si="207"/>
        <v>0</v>
      </c>
      <c r="AE545" s="649">
        <f t="shared" si="208"/>
        <v>0</v>
      </c>
      <c r="AF545" s="637">
        <f t="shared" si="224"/>
        <v>0</v>
      </c>
      <c r="AG545" s="649">
        <f t="shared" si="209"/>
        <v>0</v>
      </c>
      <c r="AH545" s="649">
        <f t="shared" si="210"/>
        <v>0</v>
      </c>
      <c r="AI545" s="635">
        <f t="shared" si="225"/>
        <v>0</v>
      </c>
      <c r="AJ545" s="649"/>
      <c r="AK545" s="649"/>
      <c r="AL545" s="637">
        <f t="shared" si="211"/>
        <v>0</v>
      </c>
      <c r="AM545" s="649"/>
      <c r="AN545" s="649"/>
      <c r="AO545" s="640">
        <f t="shared" si="226"/>
        <v>0</v>
      </c>
      <c r="AP545" s="636"/>
      <c r="AQ545" s="636"/>
      <c r="AR545" s="637">
        <f t="shared" si="227"/>
        <v>0</v>
      </c>
      <c r="AS545" s="638">
        <v>6</v>
      </c>
      <c r="AT545" s="638">
        <v>119842.33333333333</v>
      </c>
      <c r="AU545" s="635">
        <f t="shared" si="228"/>
        <v>588329.9828</v>
      </c>
      <c r="AV545" s="636"/>
      <c r="AW545" s="636"/>
      <c r="AX545" s="637">
        <f t="shared" si="229"/>
        <v>0</v>
      </c>
      <c r="AY545" s="638">
        <v>3</v>
      </c>
      <c r="AZ545" s="638">
        <v>93709.333333333328</v>
      </c>
      <c r="BA545" s="635">
        <f t="shared" si="230"/>
        <v>230018.9296</v>
      </c>
      <c r="BB545" s="636"/>
      <c r="BC545" s="636"/>
      <c r="BD545" s="637">
        <f t="shared" si="231"/>
        <v>0</v>
      </c>
      <c r="BE545" s="638">
        <v>3</v>
      </c>
      <c r="BF545" s="638">
        <v>85923.333333333328</v>
      </c>
      <c r="BG545" s="635">
        <f t="shared" si="232"/>
        <v>210907.41400000002</v>
      </c>
      <c r="BH545" s="636"/>
      <c r="BI545" s="636"/>
      <c r="BJ545" s="637">
        <f t="shared" si="233"/>
        <v>0</v>
      </c>
      <c r="BK545" s="638">
        <v>4</v>
      </c>
      <c r="BL545" s="638">
        <v>55878</v>
      </c>
      <c r="BM545" s="635">
        <f t="shared" si="234"/>
        <v>182877.5184</v>
      </c>
      <c r="BN545" s="649">
        <f t="shared" si="212"/>
        <v>0</v>
      </c>
      <c r="BO545" s="649">
        <f t="shared" si="213"/>
        <v>0</v>
      </c>
      <c r="BP545" s="637">
        <f t="shared" si="235"/>
        <v>0</v>
      </c>
      <c r="BQ545" s="649">
        <f t="shared" si="214"/>
        <v>0</v>
      </c>
      <c r="BR545" s="649">
        <f t="shared" si="215"/>
        <v>0</v>
      </c>
      <c r="BS545" s="635">
        <f t="shared" si="236"/>
        <v>0</v>
      </c>
      <c r="BT545" s="649"/>
      <c r="BU545" s="649"/>
      <c r="BV545" s="637">
        <f t="shared" si="237"/>
        <v>0</v>
      </c>
      <c r="BW545" s="649"/>
      <c r="BX545" s="649"/>
      <c r="BY545" s="641">
        <f t="shared" si="238"/>
        <v>0</v>
      </c>
      <c r="CA545" s="467"/>
      <c r="CB545" s="467"/>
      <c r="CC545" s="462"/>
      <c r="CD545" s="192"/>
      <c r="CE545" s="192"/>
      <c r="CF545" s="205"/>
      <c r="CG545" s="467"/>
      <c r="CH545" s="467"/>
      <c r="CI545" s="462"/>
      <c r="CJ545" s="192"/>
      <c r="CK545" s="192"/>
      <c r="CL545" s="206"/>
      <c r="CM545" s="467"/>
      <c r="CN545" s="467"/>
      <c r="CO545" s="462"/>
      <c r="CP545" s="192"/>
      <c r="CQ545" s="192"/>
      <c r="CR545" s="205"/>
      <c r="CS545" s="467"/>
      <c r="CT545" s="467"/>
      <c r="CU545" s="462"/>
      <c r="CV545" s="192"/>
      <c r="CW545" s="192"/>
      <c r="CX545" s="205"/>
    </row>
    <row r="546" spans="1:102" x14ac:dyDescent="0.2">
      <c r="A546" s="384" t="s">
        <v>77</v>
      </c>
      <c r="B546" s="348" t="s">
        <v>729</v>
      </c>
      <c r="C546" s="349"/>
      <c r="D546" s="351">
        <v>224545</v>
      </c>
      <c r="E546" s="260">
        <v>4</v>
      </c>
      <c r="F546" s="631">
        <v>22</v>
      </c>
      <c r="G546" s="632">
        <v>78579.681818181823</v>
      </c>
      <c r="H546" s="633">
        <f t="shared" si="216"/>
        <v>1728753</v>
      </c>
      <c r="I546" s="634">
        <v>21</v>
      </c>
      <c r="J546" s="634">
        <v>81915.142857142855</v>
      </c>
      <c r="K546" s="635">
        <f t="shared" si="217"/>
        <v>1720218</v>
      </c>
      <c r="L546" s="636">
        <v>20</v>
      </c>
      <c r="M546" s="636">
        <v>62416.95</v>
      </c>
      <c r="N546" s="637">
        <f t="shared" si="218"/>
        <v>1248339</v>
      </c>
      <c r="O546" s="638">
        <v>19</v>
      </c>
      <c r="P546" s="638">
        <v>62658.526315789473</v>
      </c>
      <c r="Q546" s="635">
        <f t="shared" si="219"/>
        <v>1190512</v>
      </c>
      <c r="R546" s="636">
        <v>11</v>
      </c>
      <c r="S546" s="636">
        <v>61342.727272727272</v>
      </c>
      <c r="T546" s="637">
        <f t="shared" si="220"/>
        <v>674770</v>
      </c>
      <c r="U546" s="638">
        <v>13</v>
      </c>
      <c r="V546" s="638">
        <v>61755.384615384617</v>
      </c>
      <c r="W546" s="635">
        <f t="shared" si="221"/>
        <v>802820</v>
      </c>
      <c r="X546" s="636">
        <v>3</v>
      </c>
      <c r="Y546" s="636">
        <v>49681.333333333336</v>
      </c>
      <c r="Z546" s="637">
        <f t="shared" si="222"/>
        <v>149044</v>
      </c>
      <c r="AA546" s="638">
        <v>4</v>
      </c>
      <c r="AB546" s="638">
        <v>52999.5</v>
      </c>
      <c r="AC546" s="635">
        <f t="shared" si="223"/>
        <v>211998</v>
      </c>
      <c r="AD546" s="649">
        <f t="shared" si="207"/>
        <v>0</v>
      </c>
      <c r="AE546" s="649">
        <f t="shared" si="208"/>
        <v>0</v>
      </c>
      <c r="AF546" s="637">
        <f t="shared" si="224"/>
        <v>0</v>
      </c>
      <c r="AG546" s="649">
        <f t="shared" si="209"/>
        <v>0</v>
      </c>
      <c r="AH546" s="649">
        <f t="shared" si="210"/>
        <v>0</v>
      </c>
      <c r="AI546" s="635">
        <f t="shared" si="225"/>
        <v>0</v>
      </c>
      <c r="AJ546" s="649"/>
      <c r="AK546" s="649"/>
      <c r="AL546" s="637">
        <f t="shared" si="211"/>
        <v>0</v>
      </c>
      <c r="AM546" s="649"/>
      <c r="AN546" s="649"/>
      <c r="AO546" s="640">
        <f t="shared" si="226"/>
        <v>0</v>
      </c>
      <c r="AP546" s="636">
        <v>4</v>
      </c>
      <c r="AQ546" s="636">
        <v>129985</v>
      </c>
      <c r="AR546" s="637">
        <f t="shared" si="227"/>
        <v>425414.908</v>
      </c>
      <c r="AS546" s="638">
        <v>3</v>
      </c>
      <c r="AT546" s="638">
        <v>139901</v>
      </c>
      <c r="AU546" s="635">
        <f t="shared" si="228"/>
        <v>343400.99460000003</v>
      </c>
      <c r="AV546" s="636"/>
      <c r="AW546" s="636"/>
      <c r="AX546" s="637">
        <f t="shared" si="229"/>
        <v>0</v>
      </c>
      <c r="AY546" s="638">
        <v>1</v>
      </c>
      <c r="AZ546" s="638">
        <v>108199</v>
      </c>
      <c r="BA546" s="635">
        <f t="shared" si="230"/>
        <v>88528.421800000011</v>
      </c>
      <c r="BB546" s="636"/>
      <c r="BC546" s="636"/>
      <c r="BD546" s="637">
        <f t="shared" si="231"/>
        <v>0</v>
      </c>
      <c r="BE546" s="638">
        <v>3</v>
      </c>
      <c r="BF546" s="638">
        <v>73666.333333333328</v>
      </c>
      <c r="BG546" s="635">
        <f t="shared" si="232"/>
        <v>180821.3818</v>
      </c>
      <c r="BH546" s="636">
        <v>2</v>
      </c>
      <c r="BI546" s="636">
        <v>59250</v>
      </c>
      <c r="BJ546" s="637">
        <f t="shared" si="233"/>
        <v>96956.700000000012</v>
      </c>
      <c r="BK546" s="638">
        <v>5</v>
      </c>
      <c r="BL546" s="638">
        <v>65577.399999999994</v>
      </c>
      <c r="BM546" s="635">
        <f t="shared" si="234"/>
        <v>268277.1434</v>
      </c>
      <c r="BN546" s="649">
        <f t="shared" si="212"/>
        <v>0</v>
      </c>
      <c r="BO546" s="649">
        <f t="shared" si="213"/>
        <v>0</v>
      </c>
      <c r="BP546" s="637">
        <f t="shared" si="235"/>
        <v>0</v>
      </c>
      <c r="BQ546" s="649">
        <f t="shared" si="214"/>
        <v>0</v>
      </c>
      <c r="BR546" s="649">
        <f t="shared" si="215"/>
        <v>0</v>
      </c>
      <c r="BS546" s="635">
        <f t="shared" si="236"/>
        <v>0</v>
      </c>
      <c r="BT546" s="649"/>
      <c r="BU546" s="649"/>
      <c r="BV546" s="637">
        <f t="shared" si="237"/>
        <v>0</v>
      </c>
      <c r="BW546" s="649"/>
      <c r="BX546" s="649"/>
      <c r="BY546" s="641">
        <f t="shared" si="238"/>
        <v>0</v>
      </c>
      <c r="CA546" s="467"/>
      <c r="CB546" s="467"/>
      <c r="CC546" s="462"/>
      <c r="CD546" s="192"/>
      <c r="CE546" s="192"/>
      <c r="CF546" s="205"/>
      <c r="CG546" s="467"/>
      <c r="CH546" s="467"/>
      <c r="CI546" s="462"/>
      <c r="CJ546" s="192"/>
      <c r="CK546" s="192"/>
      <c r="CL546" s="206"/>
      <c r="CM546" s="467"/>
      <c r="CN546" s="467"/>
      <c r="CO546" s="462"/>
      <c r="CP546" s="192"/>
      <c r="CQ546" s="192"/>
      <c r="CR546" s="205"/>
      <c r="CS546" s="467"/>
      <c r="CT546" s="467"/>
      <c r="CU546" s="462"/>
      <c r="CV546" s="192"/>
      <c r="CW546" s="192"/>
      <c r="CX546" s="205"/>
    </row>
    <row r="547" spans="1:102" x14ac:dyDescent="0.2">
      <c r="A547" s="384" t="s">
        <v>77</v>
      </c>
      <c r="B547" s="350" t="s">
        <v>730</v>
      </c>
      <c r="C547" s="349"/>
      <c r="D547" s="351">
        <v>225502</v>
      </c>
      <c r="E547" s="260">
        <v>4</v>
      </c>
      <c r="F547" s="631">
        <v>22</v>
      </c>
      <c r="G547" s="632">
        <v>90521.227272727279</v>
      </c>
      <c r="H547" s="633">
        <f t="shared" si="216"/>
        <v>1991467.0000000002</v>
      </c>
      <c r="I547" s="634">
        <v>18</v>
      </c>
      <c r="J547" s="634">
        <v>87885.5</v>
      </c>
      <c r="K547" s="635">
        <f t="shared" si="217"/>
        <v>1581939</v>
      </c>
      <c r="L547" s="636">
        <v>33</v>
      </c>
      <c r="M547" s="636">
        <v>78638.333333333328</v>
      </c>
      <c r="N547" s="637">
        <f t="shared" si="218"/>
        <v>2595065</v>
      </c>
      <c r="O547" s="638">
        <v>30</v>
      </c>
      <c r="P547" s="638">
        <v>78799.600000000006</v>
      </c>
      <c r="Q547" s="635">
        <f t="shared" si="219"/>
        <v>2363988</v>
      </c>
      <c r="R547" s="636">
        <v>38</v>
      </c>
      <c r="S547" s="636">
        <v>68734.263157894733</v>
      </c>
      <c r="T547" s="637">
        <f t="shared" si="220"/>
        <v>2611902</v>
      </c>
      <c r="U547" s="638">
        <v>54</v>
      </c>
      <c r="V547" s="638">
        <v>70406.462962962964</v>
      </c>
      <c r="W547" s="635">
        <f t="shared" si="221"/>
        <v>3801949</v>
      </c>
      <c r="X547" s="636">
        <v>6</v>
      </c>
      <c r="Y547" s="636">
        <v>42768.5</v>
      </c>
      <c r="Z547" s="637">
        <f t="shared" si="222"/>
        <v>256611</v>
      </c>
      <c r="AA547" s="638"/>
      <c r="AB547" s="638"/>
      <c r="AC547" s="635">
        <f t="shared" si="223"/>
        <v>0</v>
      </c>
      <c r="AD547" s="649">
        <f t="shared" si="207"/>
        <v>13</v>
      </c>
      <c r="AE547" s="649">
        <f t="shared" si="208"/>
        <v>59072.076923076922</v>
      </c>
      <c r="AF547" s="637">
        <f t="shared" si="224"/>
        <v>767937</v>
      </c>
      <c r="AG547" s="649">
        <f t="shared" si="209"/>
        <v>15</v>
      </c>
      <c r="AH547" s="649">
        <f t="shared" si="210"/>
        <v>44154.8</v>
      </c>
      <c r="AI547" s="635">
        <f t="shared" si="225"/>
        <v>662322</v>
      </c>
      <c r="AJ547" s="649"/>
      <c r="AK547" s="649"/>
      <c r="AL547" s="637">
        <f t="shared" si="211"/>
        <v>662322</v>
      </c>
      <c r="AM547" s="649"/>
      <c r="AN547" s="649"/>
      <c r="AO547" s="640">
        <f t="shared" si="226"/>
        <v>0</v>
      </c>
      <c r="AP547" s="636">
        <v>4</v>
      </c>
      <c r="AQ547" s="636">
        <v>144598.5</v>
      </c>
      <c r="AR547" s="637">
        <f t="shared" si="227"/>
        <v>473241.97080000001</v>
      </c>
      <c r="AS547" s="638">
        <v>6</v>
      </c>
      <c r="AT547" s="638">
        <v>138316.16666666666</v>
      </c>
      <c r="AU547" s="635">
        <f t="shared" si="228"/>
        <v>679021.7254</v>
      </c>
      <c r="AV547" s="636"/>
      <c r="AW547" s="636"/>
      <c r="AX547" s="637">
        <f t="shared" si="229"/>
        <v>0</v>
      </c>
      <c r="AY547" s="638">
        <v>1</v>
      </c>
      <c r="AZ547" s="638">
        <v>141996</v>
      </c>
      <c r="BA547" s="635">
        <f t="shared" si="230"/>
        <v>116181.1272</v>
      </c>
      <c r="BB547" s="636"/>
      <c r="BC547" s="636"/>
      <c r="BD547" s="637">
        <f t="shared" si="231"/>
        <v>0</v>
      </c>
      <c r="BE547" s="638"/>
      <c r="BF547" s="638"/>
      <c r="BG547" s="635">
        <f t="shared" si="232"/>
        <v>0</v>
      </c>
      <c r="BH547" s="636"/>
      <c r="BI547" s="636"/>
      <c r="BJ547" s="637">
        <f t="shared" si="233"/>
        <v>0</v>
      </c>
      <c r="BK547" s="638"/>
      <c r="BL547" s="638"/>
      <c r="BM547" s="635">
        <f t="shared" si="234"/>
        <v>0</v>
      </c>
      <c r="BN547" s="649">
        <f t="shared" si="212"/>
        <v>0</v>
      </c>
      <c r="BO547" s="649">
        <f t="shared" si="213"/>
        <v>0</v>
      </c>
      <c r="BP547" s="637">
        <f t="shared" si="235"/>
        <v>0</v>
      </c>
      <c r="BQ547" s="649">
        <f t="shared" si="214"/>
        <v>0</v>
      </c>
      <c r="BR547" s="649">
        <f t="shared" si="215"/>
        <v>0</v>
      </c>
      <c r="BS547" s="635">
        <f t="shared" si="236"/>
        <v>0</v>
      </c>
      <c r="BT547" s="649"/>
      <c r="BU547" s="649"/>
      <c r="BV547" s="637">
        <f t="shared" si="237"/>
        <v>0</v>
      </c>
      <c r="BW547" s="649"/>
      <c r="BX547" s="649"/>
      <c r="BY547" s="641">
        <f t="shared" si="238"/>
        <v>0</v>
      </c>
      <c r="CA547" s="467"/>
      <c r="CB547" s="467"/>
      <c r="CC547" s="462"/>
      <c r="CD547" s="192">
        <v>15</v>
      </c>
      <c r="CE547" s="192">
        <v>44154.8</v>
      </c>
      <c r="CF547" s="205"/>
      <c r="CG547" s="467">
        <v>13</v>
      </c>
      <c r="CH547" s="467">
        <v>59072.076923076922</v>
      </c>
      <c r="CI547" s="462"/>
      <c r="CJ547" s="192"/>
      <c r="CK547" s="192"/>
      <c r="CL547" s="206"/>
      <c r="CM547" s="467"/>
      <c r="CN547" s="467"/>
      <c r="CO547" s="462"/>
      <c r="CP547" s="192"/>
      <c r="CQ547" s="192"/>
      <c r="CR547" s="205"/>
      <c r="CS547" s="467"/>
      <c r="CT547" s="467"/>
      <c r="CU547" s="462"/>
      <c r="CV547" s="192"/>
      <c r="CW547" s="192"/>
      <c r="CX547" s="205"/>
    </row>
    <row r="548" spans="1:102" x14ac:dyDescent="0.2">
      <c r="A548" s="384" t="s">
        <v>77</v>
      </c>
      <c r="B548" s="348" t="s">
        <v>732</v>
      </c>
      <c r="C548" s="349"/>
      <c r="D548" s="351" t="s">
        <v>733</v>
      </c>
      <c r="E548" s="260">
        <v>5</v>
      </c>
      <c r="F548" s="631"/>
      <c r="G548" s="632"/>
      <c r="H548" s="633">
        <f t="shared" si="216"/>
        <v>0</v>
      </c>
      <c r="I548" s="634"/>
      <c r="J548" s="634"/>
      <c r="K548" s="635">
        <f t="shared" si="217"/>
        <v>0</v>
      </c>
      <c r="L548" s="636"/>
      <c r="M548" s="636"/>
      <c r="N548" s="637">
        <f t="shared" si="218"/>
        <v>0</v>
      </c>
      <c r="O548" s="638"/>
      <c r="P548" s="638"/>
      <c r="Q548" s="635">
        <f t="shared" si="219"/>
        <v>0</v>
      </c>
      <c r="R548" s="636"/>
      <c r="S548" s="636"/>
      <c r="T548" s="637">
        <f t="shared" si="220"/>
        <v>0</v>
      </c>
      <c r="U548" s="638"/>
      <c r="V548" s="638"/>
      <c r="W548" s="635">
        <f t="shared" si="221"/>
        <v>0</v>
      </c>
      <c r="X548" s="636"/>
      <c r="Y548" s="636"/>
      <c r="Z548" s="637">
        <f t="shared" si="222"/>
        <v>0</v>
      </c>
      <c r="AA548" s="638"/>
      <c r="AB548" s="638"/>
      <c r="AC548" s="635">
        <f t="shared" si="223"/>
        <v>0</v>
      </c>
      <c r="AD548" s="649">
        <f t="shared" si="207"/>
        <v>0</v>
      </c>
      <c r="AE548" s="649">
        <f t="shared" si="208"/>
        <v>0</v>
      </c>
      <c r="AF548" s="637">
        <f t="shared" si="224"/>
        <v>0</v>
      </c>
      <c r="AG548" s="649">
        <f t="shared" si="209"/>
        <v>0</v>
      </c>
      <c r="AH548" s="649">
        <f t="shared" si="210"/>
        <v>0</v>
      </c>
      <c r="AI548" s="635">
        <f t="shared" si="225"/>
        <v>0</v>
      </c>
      <c r="AJ548" s="649"/>
      <c r="AK548" s="649"/>
      <c r="AL548" s="637">
        <f t="shared" si="211"/>
        <v>0</v>
      </c>
      <c r="AM548" s="649"/>
      <c r="AN548" s="649"/>
      <c r="AO548" s="640">
        <f t="shared" si="226"/>
        <v>0</v>
      </c>
      <c r="AP548" s="636"/>
      <c r="AQ548" s="636"/>
      <c r="AR548" s="637">
        <f t="shared" si="227"/>
        <v>0</v>
      </c>
      <c r="AS548" s="638"/>
      <c r="AT548" s="638"/>
      <c r="AU548" s="635">
        <f t="shared" si="228"/>
        <v>0</v>
      </c>
      <c r="AV548" s="636"/>
      <c r="AW548" s="636"/>
      <c r="AX548" s="637">
        <f t="shared" si="229"/>
        <v>0</v>
      </c>
      <c r="AY548" s="638"/>
      <c r="AZ548" s="638"/>
      <c r="BA548" s="635">
        <f t="shared" si="230"/>
        <v>0</v>
      </c>
      <c r="BB548" s="636"/>
      <c r="BC548" s="636"/>
      <c r="BD548" s="637">
        <f t="shared" si="231"/>
        <v>0</v>
      </c>
      <c r="BE548" s="638"/>
      <c r="BF548" s="638"/>
      <c r="BG548" s="635">
        <f t="shared" si="232"/>
        <v>0</v>
      </c>
      <c r="BH548" s="636"/>
      <c r="BI548" s="636"/>
      <c r="BJ548" s="637">
        <f t="shared" si="233"/>
        <v>0</v>
      </c>
      <c r="BK548" s="638"/>
      <c r="BL548" s="638"/>
      <c r="BM548" s="635">
        <f t="shared" si="234"/>
        <v>0</v>
      </c>
      <c r="BN548" s="649">
        <f t="shared" si="212"/>
        <v>0</v>
      </c>
      <c r="BO548" s="649">
        <f t="shared" si="213"/>
        <v>0</v>
      </c>
      <c r="BP548" s="637">
        <f t="shared" si="235"/>
        <v>0</v>
      </c>
      <c r="BQ548" s="649">
        <f t="shared" si="214"/>
        <v>0</v>
      </c>
      <c r="BR548" s="649">
        <f t="shared" si="215"/>
        <v>0</v>
      </c>
      <c r="BS548" s="635">
        <f t="shared" si="236"/>
        <v>0</v>
      </c>
      <c r="BT548" s="649"/>
      <c r="BU548" s="649"/>
      <c r="BV548" s="637">
        <f t="shared" si="237"/>
        <v>0</v>
      </c>
      <c r="BW548" s="649"/>
      <c r="BX548" s="649"/>
      <c r="BY548" s="641">
        <f t="shared" si="238"/>
        <v>0</v>
      </c>
      <c r="CA548" s="467"/>
      <c r="CB548" s="467"/>
      <c r="CC548" s="462"/>
      <c r="CD548" s="192"/>
      <c r="CE548" s="192"/>
      <c r="CF548" s="205"/>
      <c r="CG548" s="467"/>
      <c r="CH548" s="467"/>
      <c r="CI548" s="462"/>
      <c r="CJ548" s="192"/>
      <c r="CK548" s="192"/>
      <c r="CL548" s="206"/>
      <c r="CM548" s="467"/>
      <c r="CN548" s="467"/>
      <c r="CO548" s="462"/>
      <c r="CP548" s="192"/>
      <c r="CQ548" s="192"/>
      <c r="CR548" s="205"/>
      <c r="CS548" s="467"/>
      <c r="CT548" s="467"/>
      <c r="CU548" s="462"/>
      <c r="CV548" s="192"/>
      <c r="CW548" s="192"/>
      <c r="CX548" s="205"/>
    </row>
    <row r="549" spans="1:102" x14ac:dyDescent="0.2">
      <c r="A549" s="384" t="s">
        <v>77</v>
      </c>
      <c r="B549" s="348" t="s">
        <v>734</v>
      </c>
      <c r="C549" s="349"/>
      <c r="D549" s="351">
        <v>225432</v>
      </c>
      <c r="E549" s="260">
        <v>5</v>
      </c>
      <c r="F549" s="631">
        <v>44</v>
      </c>
      <c r="G549" s="632">
        <v>88609.636363636368</v>
      </c>
      <c r="H549" s="633">
        <f t="shared" si="216"/>
        <v>3898824</v>
      </c>
      <c r="I549" s="634">
        <v>52</v>
      </c>
      <c r="J549" s="634">
        <v>85992.326923076922</v>
      </c>
      <c r="K549" s="635">
        <f t="shared" si="217"/>
        <v>4471601</v>
      </c>
      <c r="L549" s="636">
        <v>88</v>
      </c>
      <c r="M549" s="636">
        <v>69842.886363636368</v>
      </c>
      <c r="N549" s="637">
        <f t="shared" si="218"/>
        <v>6146174</v>
      </c>
      <c r="O549" s="638">
        <v>97</v>
      </c>
      <c r="P549" s="638">
        <v>67736.969072164953</v>
      </c>
      <c r="Q549" s="635">
        <f t="shared" si="219"/>
        <v>6570486</v>
      </c>
      <c r="R549" s="636">
        <v>97</v>
      </c>
      <c r="S549" s="636">
        <v>57375.247422680412</v>
      </c>
      <c r="T549" s="637">
        <f t="shared" si="220"/>
        <v>5565399</v>
      </c>
      <c r="U549" s="638">
        <v>86</v>
      </c>
      <c r="V549" s="638">
        <v>57194.197674418603</v>
      </c>
      <c r="W549" s="635">
        <f t="shared" si="221"/>
        <v>4918701</v>
      </c>
      <c r="X549" s="636">
        <v>7</v>
      </c>
      <c r="Y549" s="636">
        <v>63118.142857142855</v>
      </c>
      <c r="Z549" s="637">
        <f t="shared" si="222"/>
        <v>441827</v>
      </c>
      <c r="AA549" s="638">
        <v>3</v>
      </c>
      <c r="AB549" s="638">
        <v>62000</v>
      </c>
      <c r="AC549" s="635">
        <f t="shared" si="223"/>
        <v>186000</v>
      </c>
      <c r="AD549" s="649">
        <f t="shared" si="207"/>
        <v>40</v>
      </c>
      <c r="AE549" s="649">
        <f t="shared" si="208"/>
        <v>47540.05</v>
      </c>
      <c r="AF549" s="637">
        <f t="shared" si="224"/>
        <v>1901602</v>
      </c>
      <c r="AG549" s="649">
        <f t="shared" si="209"/>
        <v>54</v>
      </c>
      <c r="AH549" s="649">
        <f t="shared" si="210"/>
        <v>47528.944444444445</v>
      </c>
      <c r="AI549" s="635">
        <f t="shared" si="225"/>
        <v>2566563</v>
      </c>
      <c r="AJ549" s="649"/>
      <c r="AK549" s="649"/>
      <c r="AL549" s="637">
        <f t="shared" si="211"/>
        <v>2566563</v>
      </c>
      <c r="AM549" s="649"/>
      <c r="AN549" s="649"/>
      <c r="AO549" s="640">
        <f t="shared" si="226"/>
        <v>0</v>
      </c>
      <c r="AP549" s="636">
        <v>5</v>
      </c>
      <c r="AQ549" s="636">
        <v>113306.8</v>
      </c>
      <c r="AR549" s="637">
        <f t="shared" si="227"/>
        <v>463538.1188</v>
      </c>
      <c r="AS549" s="638">
        <v>4</v>
      </c>
      <c r="AT549" s="638">
        <v>114298.25</v>
      </c>
      <c r="AU549" s="635">
        <f t="shared" si="228"/>
        <v>374075.3126</v>
      </c>
      <c r="AV549" s="636">
        <v>6</v>
      </c>
      <c r="AW549" s="636">
        <v>100680.5</v>
      </c>
      <c r="AX549" s="637">
        <f t="shared" si="229"/>
        <v>494260.71060000005</v>
      </c>
      <c r="AY549" s="638">
        <v>7</v>
      </c>
      <c r="AZ549" s="638">
        <v>98591.857142857145</v>
      </c>
      <c r="BA549" s="635">
        <f t="shared" si="230"/>
        <v>564675.00260000001</v>
      </c>
      <c r="BB549" s="636"/>
      <c r="BC549" s="636"/>
      <c r="BD549" s="637">
        <f t="shared" si="231"/>
        <v>0</v>
      </c>
      <c r="BE549" s="638"/>
      <c r="BF549" s="638"/>
      <c r="BG549" s="635">
        <f t="shared" si="232"/>
        <v>0</v>
      </c>
      <c r="BH549" s="636"/>
      <c r="BI549" s="636"/>
      <c r="BJ549" s="637">
        <f t="shared" si="233"/>
        <v>0</v>
      </c>
      <c r="BK549" s="638"/>
      <c r="BL549" s="638"/>
      <c r="BM549" s="635">
        <f t="shared" si="234"/>
        <v>0</v>
      </c>
      <c r="BN549" s="649">
        <f t="shared" si="212"/>
        <v>4</v>
      </c>
      <c r="BO549" s="649">
        <f t="shared" si="213"/>
        <v>70996.625</v>
      </c>
      <c r="BP549" s="637">
        <f t="shared" si="235"/>
        <v>232357.7543</v>
      </c>
      <c r="BQ549" s="649">
        <f t="shared" si="214"/>
        <v>6</v>
      </c>
      <c r="BR549" s="649">
        <f t="shared" si="215"/>
        <v>65083.666666666664</v>
      </c>
      <c r="BS549" s="635">
        <f t="shared" si="236"/>
        <v>319508.73639999999</v>
      </c>
      <c r="BT549" s="649"/>
      <c r="BU549" s="649"/>
      <c r="BV549" s="637">
        <f t="shared" si="237"/>
        <v>0</v>
      </c>
      <c r="BW549" s="649"/>
      <c r="BX549" s="649"/>
      <c r="BY549" s="641">
        <f t="shared" si="238"/>
        <v>0</v>
      </c>
      <c r="CA549" s="467">
        <v>33</v>
      </c>
      <c r="CB549" s="467">
        <v>46785.818181818184</v>
      </c>
      <c r="CC549" s="462"/>
      <c r="CD549" s="192">
        <v>49</v>
      </c>
      <c r="CE549" s="192">
        <v>45570.040816326531</v>
      </c>
      <c r="CF549" s="205"/>
      <c r="CG549" s="467">
        <v>7</v>
      </c>
      <c r="CH549" s="467">
        <v>51095.714285714283</v>
      </c>
      <c r="CI549" s="462"/>
      <c r="CJ549" s="192">
        <v>5</v>
      </c>
      <c r="CK549" s="192">
        <v>66726.2</v>
      </c>
      <c r="CL549" s="206"/>
      <c r="CM549" s="467">
        <v>2</v>
      </c>
      <c r="CN549" s="467">
        <v>83984.5</v>
      </c>
      <c r="CO549" s="462"/>
      <c r="CP549" s="192">
        <v>2</v>
      </c>
      <c r="CQ549" s="192">
        <v>92500</v>
      </c>
      <c r="CR549" s="205"/>
      <c r="CS549" s="467">
        <v>2</v>
      </c>
      <c r="CT549" s="467">
        <v>100000</v>
      </c>
      <c r="CU549" s="462"/>
      <c r="CV549" s="192">
        <v>4</v>
      </c>
      <c r="CW549" s="192">
        <v>74500</v>
      </c>
      <c r="CX549" s="205"/>
    </row>
    <row r="550" spans="1:102" x14ac:dyDescent="0.2">
      <c r="A550" s="384" t="s">
        <v>77</v>
      </c>
      <c r="B550" s="348" t="s">
        <v>735</v>
      </c>
      <c r="C550" s="349"/>
      <c r="D550" s="351">
        <v>228714</v>
      </c>
      <c r="E550" s="260">
        <v>6</v>
      </c>
      <c r="F550" s="631">
        <v>18</v>
      </c>
      <c r="G550" s="632">
        <v>91882.611111111109</v>
      </c>
      <c r="H550" s="633">
        <f t="shared" si="216"/>
        <v>1653887</v>
      </c>
      <c r="I550" s="634">
        <v>22</v>
      </c>
      <c r="J550" s="634">
        <v>96803.590909090912</v>
      </c>
      <c r="K550" s="635">
        <f t="shared" si="217"/>
        <v>2129679</v>
      </c>
      <c r="L550" s="636">
        <v>14</v>
      </c>
      <c r="M550" s="636">
        <v>66528.928571428565</v>
      </c>
      <c r="N550" s="637">
        <f t="shared" si="218"/>
        <v>931404.99999999988</v>
      </c>
      <c r="O550" s="638">
        <v>14</v>
      </c>
      <c r="P550" s="638">
        <v>67346.142857142855</v>
      </c>
      <c r="Q550" s="635">
        <f t="shared" si="219"/>
        <v>942846</v>
      </c>
      <c r="R550" s="636">
        <v>17</v>
      </c>
      <c r="S550" s="636">
        <v>64242.76470588235</v>
      </c>
      <c r="T550" s="637">
        <f t="shared" si="220"/>
        <v>1092127</v>
      </c>
      <c r="U550" s="638">
        <v>15</v>
      </c>
      <c r="V550" s="638">
        <v>65071.6</v>
      </c>
      <c r="W550" s="635">
        <f t="shared" si="221"/>
        <v>976074</v>
      </c>
      <c r="X550" s="636"/>
      <c r="Y550" s="636"/>
      <c r="Z550" s="637">
        <f t="shared" si="222"/>
        <v>0</v>
      </c>
      <c r="AA550" s="638"/>
      <c r="AB550" s="638"/>
      <c r="AC550" s="635">
        <f t="shared" si="223"/>
        <v>0</v>
      </c>
      <c r="AD550" s="649">
        <f t="shared" si="207"/>
        <v>32</v>
      </c>
      <c r="AE550" s="649">
        <f t="shared" si="208"/>
        <v>46695.9375</v>
      </c>
      <c r="AF550" s="637">
        <f t="shared" si="224"/>
        <v>1494270</v>
      </c>
      <c r="AG550" s="649">
        <f t="shared" si="209"/>
        <v>34</v>
      </c>
      <c r="AH550" s="649">
        <f t="shared" si="210"/>
        <v>46411.441176470587</v>
      </c>
      <c r="AI550" s="635">
        <f t="shared" si="225"/>
        <v>1577989</v>
      </c>
      <c r="AJ550" s="649"/>
      <c r="AK550" s="649"/>
      <c r="AL550" s="637">
        <f t="shared" si="211"/>
        <v>1577989</v>
      </c>
      <c r="AM550" s="649"/>
      <c r="AN550" s="649"/>
      <c r="AO550" s="640">
        <f t="shared" si="226"/>
        <v>0</v>
      </c>
      <c r="AP550" s="636">
        <v>6</v>
      </c>
      <c r="AQ550" s="636">
        <v>142719.33333333334</v>
      </c>
      <c r="AR550" s="637">
        <f t="shared" si="227"/>
        <v>700637.75120000006</v>
      </c>
      <c r="AS550" s="638">
        <v>5</v>
      </c>
      <c r="AT550" s="638">
        <v>147262.6</v>
      </c>
      <c r="AU550" s="635">
        <f t="shared" si="228"/>
        <v>602451.2966</v>
      </c>
      <c r="AV550" s="636"/>
      <c r="AW550" s="636"/>
      <c r="AX550" s="637">
        <f t="shared" si="229"/>
        <v>0</v>
      </c>
      <c r="AY550" s="638"/>
      <c r="AZ550" s="638"/>
      <c r="BA550" s="635">
        <f t="shared" si="230"/>
        <v>0</v>
      </c>
      <c r="BB550" s="636">
        <v>1</v>
      </c>
      <c r="BC550" s="636">
        <v>113334</v>
      </c>
      <c r="BD550" s="637">
        <f t="shared" si="231"/>
        <v>92729.878800000006</v>
      </c>
      <c r="BE550" s="638"/>
      <c r="BF550" s="638"/>
      <c r="BG550" s="635">
        <f t="shared" si="232"/>
        <v>0</v>
      </c>
      <c r="BH550" s="636"/>
      <c r="BI550" s="636"/>
      <c r="BJ550" s="637">
        <f t="shared" si="233"/>
        <v>0</v>
      </c>
      <c r="BK550" s="638"/>
      <c r="BL550" s="638"/>
      <c r="BM550" s="635">
        <f t="shared" si="234"/>
        <v>0</v>
      </c>
      <c r="BN550" s="649">
        <f t="shared" si="212"/>
        <v>12</v>
      </c>
      <c r="BO550" s="649">
        <f t="shared" si="213"/>
        <v>5546.5625</v>
      </c>
      <c r="BP550" s="637">
        <f t="shared" si="235"/>
        <v>54458.369250000003</v>
      </c>
      <c r="BQ550" s="649">
        <f t="shared" si="214"/>
        <v>11</v>
      </c>
      <c r="BR550" s="649">
        <f t="shared" si="215"/>
        <v>6170.8925619834708</v>
      </c>
      <c r="BS550" s="635">
        <f t="shared" si="236"/>
        <v>55539.267236363637</v>
      </c>
      <c r="BT550" s="649"/>
      <c r="BU550" s="649"/>
      <c r="BV550" s="637">
        <f t="shared" si="237"/>
        <v>0</v>
      </c>
      <c r="BW550" s="649"/>
      <c r="BX550" s="649"/>
      <c r="BY550" s="641">
        <f t="shared" si="238"/>
        <v>0</v>
      </c>
      <c r="CA550" s="467">
        <v>32</v>
      </c>
      <c r="CB550" s="467">
        <v>46695.9375</v>
      </c>
      <c r="CC550" s="462"/>
      <c r="CD550" s="192">
        <v>34</v>
      </c>
      <c r="CE550" s="192">
        <v>46411.441176470587</v>
      </c>
      <c r="CF550" s="205"/>
      <c r="CG550" s="467"/>
      <c r="CH550" s="467"/>
      <c r="CI550" s="462"/>
      <c r="CJ550" s="192"/>
      <c r="CK550" s="192"/>
      <c r="CL550" s="206"/>
      <c r="CM550" s="467">
        <v>12</v>
      </c>
      <c r="CN550" s="467">
        <v>66546.75</v>
      </c>
      <c r="CO550" s="462"/>
      <c r="CP550" s="192">
        <v>11</v>
      </c>
      <c r="CQ550" s="192">
        <v>67868.818181818177</v>
      </c>
      <c r="CR550" s="205"/>
      <c r="CS550" s="467"/>
      <c r="CT550" s="467"/>
      <c r="CU550" s="462"/>
      <c r="CV550" s="192"/>
      <c r="CW550" s="192"/>
      <c r="CX550" s="205"/>
    </row>
    <row r="551" spans="1:102" x14ac:dyDescent="0.2">
      <c r="A551" s="384" t="s">
        <v>77</v>
      </c>
      <c r="B551" s="389" t="s">
        <v>736</v>
      </c>
      <c r="C551" s="390"/>
      <c r="D551" s="351">
        <v>223506</v>
      </c>
      <c r="E551" s="260">
        <v>7</v>
      </c>
      <c r="F551" s="631">
        <v>2</v>
      </c>
      <c r="G551" s="632">
        <v>73896</v>
      </c>
      <c r="H551" s="633">
        <f t="shared" si="216"/>
        <v>147792</v>
      </c>
      <c r="I551" s="634">
        <v>17</v>
      </c>
      <c r="J551" s="634">
        <v>72119.352941176476</v>
      </c>
      <c r="K551" s="635">
        <f t="shared" si="217"/>
        <v>1226029</v>
      </c>
      <c r="L551" s="636">
        <v>17</v>
      </c>
      <c r="M551" s="636">
        <v>51748.941176470587</v>
      </c>
      <c r="N551" s="637">
        <f t="shared" si="218"/>
        <v>879732</v>
      </c>
      <c r="O551" s="638">
        <v>21</v>
      </c>
      <c r="P551" s="638">
        <v>52785</v>
      </c>
      <c r="Q551" s="635">
        <f t="shared" si="219"/>
        <v>1108485</v>
      </c>
      <c r="R551" s="636">
        <v>24</v>
      </c>
      <c r="S551" s="636">
        <v>47941.291666666664</v>
      </c>
      <c r="T551" s="637">
        <f t="shared" si="220"/>
        <v>1150591</v>
      </c>
      <c r="U551" s="638">
        <v>28</v>
      </c>
      <c r="V551" s="638">
        <v>47777.464285714283</v>
      </c>
      <c r="W551" s="635">
        <f t="shared" si="221"/>
        <v>1337769</v>
      </c>
      <c r="X551" s="636">
        <v>11</v>
      </c>
      <c r="Y551" s="636">
        <v>41401.454545454544</v>
      </c>
      <c r="Z551" s="637">
        <f t="shared" si="222"/>
        <v>455416</v>
      </c>
      <c r="AA551" s="638">
        <v>17</v>
      </c>
      <c r="AB551" s="638">
        <v>41908.411764705881</v>
      </c>
      <c r="AC551" s="635">
        <f t="shared" si="223"/>
        <v>712443</v>
      </c>
      <c r="AD551" s="636"/>
      <c r="AE551" s="636"/>
      <c r="AF551" s="637">
        <f t="shared" si="224"/>
        <v>0</v>
      </c>
      <c r="AG551" s="638"/>
      <c r="AH551" s="638"/>
      <c r="AI551" s="635">
        <f t="shared" si="225"/>
        <v>0</v>
      </c>
      <c r="AJ551" s="636"/>
      <c r="AK551" s="636"/>
      <c r="AL551" s="637">
        <f t="shared" ref="AL551:AL583" si="239">AJ551*AK551</f>
        <v>0</v>
      </c>
      <c r="AM551" s="638"/>
      <c r="AN551" s="638"/>
      <c r="AO551" s="640">
        <f t="shared" si="226"/>
        <v>0</v>
      </c>
      <c r="AP551" s="636">
        <v>14</v>
      </c>
      <c r="AQ551" s="636">
        <v>94714.857142857145</v>
      </c>
      <c r="AR551" s="637">
        <f t="shared" si="227"/>
        <v>1084939.7456</v>
      </c>
      <c r="AS551" s="638"/>
      <c r="AT551" s="638"/>
      <c r="AU551" s="635">
        <f t="shared" si="228"/>
        <v>0</v>
      </c>
      <c r="AV551" s="636">
        <v>4</v>
      </c>
      <c r="AW551" s="636">
        <v>77620.25</v>
      </c>
      <c r="AX551" s="637">
        <f t="shared" si="229"/>
        <v>254035.55420000001</v>
      </c>
      <c r="AY551" s="638">
        <v>1</v>
      </c>
      <c r="AZ551" s="638">
        <v>73714</v>
      </c>
      <c r="BA551" s="635">
        <f t="shared" si="230"/>
        <v>60312.794800000003</v>
      </c>
      <c r="BB551" s="636">
        <v>3</v>
      </c>
      <c r="BC551" s="636">
        <v>64577</v>
      </c>
      <c r="BD551" s="637">
        <f t="shared" si="231"/>
        <v>158510.70420000001</v>
      </c>
      <c r="BE551" s="638"/>
      <c r="BF551" s="638"/>
      <c r="BG551" s="635">
        <f t="shared" si="232"/>
        <v>0</v>
      </c>
      <c r="BH551" s="636">
        <v>2</v>
      </c>
      <c r="BI551" s="636">
        <v>54277.5</v>
      </c>
      <c r="BJ551" s="637">
        <f t="shared" si="233"/>
        <v>88819.701000000001</v>
      </c>
      <c r="BK551" s="638">
        <v>1</v>
      </c>
      <c r="BL551" s="638">
        <v>53882</v>
      </c>
      <c r="BM551" s="635">
        <f t="shared" si="234"/>
        <v>44086.252400000005</v>
      </c>
      <c r="BN551" s="636"/>
      <c r="BO551" s="636"/>
      <c r="BP551" s="637">
        <f t="shared" si="235"/>
        <v>0</v>
      </c>
      <c r="BQ551" s="638"/>
      <c r="BR551" s="638"/>
      <c r="BS551" s="635">
        <f t="shared" si="236"/>
        <v>0</v>
      </c>
      <c r="BT551" s="636">
        <v>1</v>
      </c>
      <c r="BU551" s="636">
        <v>55056</v>
      </c>
      <c r="BV551" s="637">
        <f t="shared" si="237"/>
        <v>45046.819200000005</v>
      </c>
      <c r="BW551" s="638">
        <v>1</v>
      </c>
      <c r="BX551" s="638">
        <v>55872</v>
      </c>
      <c r="BY551" s="641">
        <f t="shared" si="238"/>
        <v>45714.470400000006</v>
      </c>
    </row>
    <row r="552" spans="1:102" x14ac:dyDescent="0.2">
      <c r="A552" s="384" t="s">
        <v>77</v>
      </c>
      <c r="B552" s="389" t="s">
        <v>737</v>
      </c>
      <c r="C552" s="390"/>
      <c r="D552" s="351">
        <v>226806</v>
      </c>
      <c r="E552" s="260">
        <v>7</v>
      </c>
      <c r="F552" s="631">
        <v>35</v>
      </c>
      <c r="G552" s="632">
        <v>63983.857142857145</v>
      </c>
      <c r="H552" s="633">
        <f t="shared" si="216"/>
        <v>2239435</v>
      </c>
      <c r="I552" s="634">
        <v>30</v>
      </c>
      <c r="J552" s="634">
        <v>65777.233333333337</v>
      </c>
      <c r="K552" s="635">
        <f t="shared" si="217"/>
        <v>1973317</v>
      </c>
      <c r="L552" s="636">
        <v>17</v>
      </c>
      <c r="M552" s="636">
        <v>53123.058823529413</v>
      </c>
      <c r="N552" s="637">
        <f t="shared" si="218"/>
        <v>903092</v>
      </c>
      <c r="O552" s="638">
        <v>18</v>
      </c>
      <c r="P552" s="638">
        <v>49015.111111111109</v>
      </c>
      <c r="Q552" s="635">
        <f t="shared" si="219"/>
        <v>882272</v>
      </c>
      <c r="R552" s="636">
        <v>22</v>
      </c>
      <c r="S552" s="636">
        <v>50691.772727272728</v>
      </c>
      <c r="T552" s="637">
        <f t="shared" si="220"/>
        <v>1115219</v>
      </c>
      <c r="U552" s="638">
        <v>21</v>
      </c>
      <c r="V552" s="638">
        <v>51193.476190476191</v>
      </c>
      <c r="W552" s="635">
        <f t="shared" si="221"/>
        <v>1075063</v>
      </c>
      <c r="X552" s="636">
        <v>21</v>
      </c>
      <c r="Y552" s="636">
        <v>47805.809523809527</v>
      </c>
      <c r="Z552" s="637">
        <f t="shared" si="222"/>
        <v>1003922</v>
      </c>
      <c r="AA552" s="638">
        <v>23</v>
      </c>
      <c r="AB552" s="638">
        <v>47248.565217391304</v>
      </c>
      <c r="AC552" s="635">
        <f t="shared" si="223"/>
        <v>1086717</v>
      </c>
      <c r="AD552" s="636"/>
      <c r="AE552" s="636"/>
      <c r="AF552" s="637">
        <f t="shared" si="224"/>
        <v>0</v>
      </c>
      <c r="AG552" s="638"/>
      <c r="AH552" s="638"/>
      <c r="AI552" s="635">
        <f t="shared" si="225"/>
        <v>0</v>
      </c>
      <c r="AJ552" s="636"/>
      <c r="AK552" s="636"/>
      <c r="AL552" s="637">
        <f t="shared" si="239"/>
        <v>0</v>
      </c>
      <c r="AM552" s="638"/>
      <c r="AN552" s="638"/>
      <c r="AO552" s="640">
        <f t="shared" si="226"/>
        <v>0</v>
      </c>
      <c r="AP552" s="636">
        <v>9</v>
      </c>
      <c r="AQ552" s="636">
        <v>70160.777777777781</v>
      </c>
      <c r="AR552" s="637">
        <f t="shared" si="227"/>
        <v>516649.93540000002</v>
      </c>
      <c r="AS552" s="638">
        <v>7</v>
      </c>
      <c r="AT552" s="638">
        <v>68945.28571428571</v>
      </c>
      <c r="AU552" s="635">
        <f t="shared" si="228"/>
        <v>394877.22940000001</v>
      </c>
      <c r="AV552" s="636">
        <v>8</v>
      </c>
      <c r="AW552" s="636">
        <v>62240.875</v>
      </c>
      <c r="AX552" s="637">
        <f t="shared" si="229"/>
        <v>407403.8714</v>
      </c>
      <c r="AY552" s="638">
        <v>12</v>
      </c>
      <c r="AZ552" s="638">
        <v>58234.583333333336</v>
      </c>
      <c r="BA552" s="635">
        <f t="shared" si="230"/>
        <v>571770.43300000008</v>
      </c>
      <c r="BB552" s="636">
        <v>5</v>
      </c>
      <c r="BC552" s="636">
        <v>53049.2</v>
      </c>
      <c r="BD552" s="637">
        <f t="shared" si="231"/>
        <v>217024.27720000001</v>
      </c>
      <c r="BE552" s="638">
        <v>3</v>
      </c>
      <c r="BF552" s="638">
        <v>54895</v>
      </c>
      <c r="BG552" s="635">
        <f t="shared" si="232"/>
        <v>134745.26699999999</v>
      </c>
      <c r="BH552" s="636">
        <v>11</v>
      </c>
      <c r="BI552" s="636">
        <v>57162.727272727272</v>
      </c>
      <c r="BJ552" s="637">
        <f t="shared" si="233"/>
        <v>514475.978</v>
      </c>
      <c r="BK552" s="638">
        <v>6</v>
      </c>
      <c r="BL552" s="638">
        <v>58416.666666666664</v>
      </c>
      <c r="BM552" s="635">
        <f t="shared" si="234"/>
        <v>286779.10000000003</v>
      </c>
      <c r="BN552" s="636"/>
      <c r="BO552" s="636"/>
      <c r="BP552" s="637">
        <f t="shared" si="235"/>
        <v>0</v>
      </c>
      <c r="BQ552" s="638"/>
      <c r="BR552" s="638"/>
      <c r="BS552" s="635">
        <f t="shared" si="236"/>
        <v>0</v>
      </c>
      <c r="BT552" s="636">
        <v>7</v>
      </c>
      <c r="BU552" s="636">
        <v>51241.142857142855</v>
      </c>
      <c r="BV552" s="637">
        <f t="shared" si="237"/>
        <v>293478.52160000004</v>
      </c>
      <c r="BW552" s="638">
        <v>9</v>
      </c>
      <c r="BX552" s="638">
        <v>52409.777777777781</v>
      </c>
      <c r="BY552" s="641">
        <f t="shared" si="238"/>
        <v>385935.12160000001</v>
      </c>
    </row>
    <row r="553" spans="1:102" x14ac:dyDescent="0.2">
      <c r="A553" s="391" t="s">
        <v>77</v>
      </c>
      <c r="B553" s="389" t="s">
        <v>738</v>
      </c>
      <c r="C553" s="390"/>
      <c r="D553" s="392">
        <v>409315</v>
      </c>
      <c r="E553" s="393">
        <v>7</v>
      </c>
      <c r="F553" s="631">
        <v>5</v>
      </c>
      <c r="G553" s="632">
        <v>62151.4</v>
      </c>
      <c r="H553" s="633">
        <f t="shared" si="216"/>
        <v>310757</v>
      </c>
      <c r="I553" s="634">
        <v>8</v>
      </c>
      <c r="J553" s="634">
        <v>62665</v>
      </c>
      <c r="K553" s="635">
        <f t="shared" si="217"/>
        <v>501320</v>
      </c>
      <c r="L553" s="636">
        <v>20</v>
      </c>
      <c r="M553" s="636">
        <v>57549.599999999999</v>
      </c>
      <c r="N553" s="637">
        <f t="shared" si="218"/>
        <v>1150992</v>
      </c>
      <c r="O553" s="638">
        <v>22</v>
      </c>
      <c r="P553" s="638">
        <v>57237.545454545456</v>
      </c>
      <c r="Q553" s="635">
        <f t="shared" si="219"/>
        <v>1259226</v>
      </c>
      <c r="R553" s="636">
        <v>23</v>
      </c>
      <c r="S553" s="636">
        <v>51375.565217391304</v>
      </c>
      <c r="T553" s="637">
        <f t="shared" si="220"/>
        <v>1181638</v>
      </c>
      <c r="U553" s="638">
        <v>28</v>
      </c>
      <c r="V553" s="638">
        <v>50632.5</v>
      </c>
      <c r="W553" s="635">
        <f t="shared" si="221"/>
        <v>1417710</v>
      </c>
      <c r="X553" s="636">
        <v>462</v>
      </c>
      <c r="Y553" s="636">
        <v>50723.028138528141</v>
      </c>
      <c r="Z553" s="637">
        <f t="shared" si="222"/>
        <v>23434039</v>
      </c>
      <c r="AA553" s="638">
        <v>450</v>
      </c>
      <c r="AB553" s="638">
        <v>51468.371111111112</v>
      </c>
      <c r="AC553" s="635">
        <f t="shared" si="223"/>
        <v>23160767</v>
      </c>
      <c r="AD553" s="636"/>
      <c r="AE553" s="636"/>
      <c r="AF553" s="637">
        <f t="shared" si="224"/>
        <v>0</v>
      </c>
      <c r="AG553" s="638"/>
      <c r="AH553" s="638"/>
      <c r="AI553" s="635">
        <f t="shared" ref="AI553:AI583" si="240">AG553*AH553</f>
        <v>0</v>
      </c>
      <c r="AJ553" s="636"/>
      <c r="AK553" s="636"/>
      <c r="AL553" s="637">
        <f t="shared" si="239"/>
        <v>0</v>
      </c>
      <c r="AM553" s="638"/>
      <c r="AN553" s="638"/>
      <c r="AO553" s="640">
        <f t="shared" si="226"/>
        <v>0</v>
      </c>
      <c r="AP553" s="636"/>
      <c r="AQ553" s="636"/>
      <c r="AR553" s="637">
        <f t="shared" si="227"/>
        <v>0</v>
      </c>
      <c r="AS553" s="638"/>
      <c r="AT553" s="638"/>
      <c r="AU553" s="635">
        <f t="shared" si="228"/>
        <v>0</v>
      </c>
      <c r="AV553" s="636"/>
      <c r="AW553" s="636"/>
      <c r="AX553" s="637">
        <f t="shared" si="229"/>
        <v>0</v>
      </c>
      <c r="AY553" s="638"/>
      <c r="AZ553" s="638"/>
      <c r="BA553" s="635">
        <f t="shared" si="230"/>
        <v>0</v>
      </c>
      <c r="BB553" s="636"/>
      <c r="BC553" s="636"/>
      <c r="BD553" s="637">
        <f t="shared" si="231"/>
        <v>0</v>
      </c>
      <c r="BE553" s="638"/>
      <c r="BF553" s="638"/>
      <c r="BG553" s="635">
        <f t="shared" si="232"/>
        <v>0</v>
      </c>
      <c r="BH553" s="636">
        <v>35</v>
      </c>
      <c r="BI553" s="636">
        <v>63627.742857142854</v>
      </c>
      <c r="BJ553" s="637">
        <f t="shared" si="233"/>
        <v>1822107.6722000001</v>
      </c>
      <c r="BK553" s="638">
        <v>1</v>
      </c>
      <c r="BL553" s="638">
        <v>83249</v>
      </c>
      <c r="BM553" s="635">
        <f t="shared" si="234"/>
        <v>68114.3318</v>
      </c>
      <c r="BN553" s="636"/>
      <c r="BO553" s="636"/>
      <c r="BP553" s="637">
        <f t="shared" si="235"/>
        <v>0</v>
      </c>
      <c r="BQ553" s="638"/>
      <c r="BR553" s="638"/>
      <c r="BS553" s="635">
        <f t="shared" si="236"/>
        <v>0</v>
      </c>
      <c r="BT553" s="636"/>
      <c r="BU553" s="636"/>
      <c r="BV553" s="637">
        <f t="shared" si="237"/>
        <v>0</v>
      </c>
      <c r="BW553" s="638"/>
      <c r="BX553" s="638"/>
      <c r="BY553" s="641">
        <f t="shared" si="238"/>
        <v>0</v>
      </c>
    </row>
    <row r="554" spans="1:102" x14ac:dyDescent="0.2">
      <c r="A554" s="384" t="s">
        <v>77</v>
      </c>
      <c r="B554" s="348" t="s">
        <v>739</v>
      </c>
      <c r="C554" s="349"/>
      <c r="D554" s="351">
        <v>222576</v>
      </c>
      <c r="E554" s="260">
        <v>8</v>
      </c>
      <c r="F554" s="631">
        <v>33</v>
      </c>
      <c r="G554" s="632">
        <v>63095.151515151512</v>
      </c>
      <c r="H554" s="633">
        <f t="shared" si="216"/>
        <v>2082140</v>
      </c>
      <c r="I554" s="634">
        <v>32</v>
      </c>
      <c r="J554" s="634">
        <v>63184.84375</v>
      </c>
      <c r="K554" s="635">
        <f t="shared" si="217"/>
        <v>2021915</v>
      </c>
      <c r="L554" s="636">
        <v>19</v>
      </c>
      <c r="M554" s="636">
        <v>55566.473684210527</v>
      </c>
      <c r="N554" s="637">
        <f t="shared" si="218"/>
        <v>1055763</v>
      </c>
      <c r="O554" s="638">
        <v>20</v>
      </c>
      <c r="P554" s="638">
        <v>56371.7</v>
      </c>
      <c r="Q554" s="635">
        <f t="shared" si="219"/>
        <v>1127434</v>
      </c>
      <c r="R554" s="636">
        <v>25</v>
      </c>
      <c r="S554" s="636">
        <v>52830.36</v>
      </c>
      <c r="T554" s="637">
        <f t="shared" si="220"/>
        <v>1320759</v>
      </c>
      <c r="U554" s="638">
        <v>26</v>
      </c>
      <c r="V554" s="638">
        <v>53238.346153846156</v>
      </c>
      <c r="W554" s="635">
        <f t="shared" si="221"/>
        <v>1384197</v>
      </c>
      <c r="X554" s="636">
        <v>105</v>
      </c>
      <c r="Y554" s="636">
        <v>47051.81904761905</v>
      </c>
      <c r="Z554" s="637">
        <f t="shared" si="222"/>
        <v>4940441</v>
      </c>
      <c r="AA554" s="638">
        <v>103</v>
      </c>
      <c r="AB554" s="638">
        <v>47002.475728155339</v>
      </c>
      <c r="AC554" s="635">
        <f t="shared" si="223"/>
        <v>4841255</v>
      </c>
      <c r="AD554" s="636"/>
      <c r="AE554" s="636"/>
      <c r="AF554" s="637">
        <f t="shared" ref="AF554:AF583" si="241">AD554*AE554</f>
        <v>0</v>
      </c>
      <c r="AG554" s="638"/>
      <c r="AH554" s="638"/>
      <c r="AI554" s="635">
        <f t="shared" si="240"/>
        <v>0</v>
      </c>
      <c r="AJ554" s="636"/>
      <c r="AK554" s="636"/>
      <c r="AL554" s="637">
        <f t="shared" si="239"/>
        <v>0</v>
      </c>
      <c r="AM554" s="638"/>
      <c r="AN554" s="638"/>
      <c r="AO554" s="640">
        <f t="shared" si="226"/>
        <v>0</v>
      </c>
      <c r="AP554" s="636">
        <v>7</v>
      </c>
      <c r="AQ554" s="636">
        <v>78932.142857142855</v>
      </c>
      <c r="AR554" s="637">
        <f t="shared" si="227"/>
        <v>452075.95500000002</v>
      </c>
      <c r="AS554" s="638">
        <v>5</v>
      </c>
      <c r="AT554" s="638">
        <v>82279.8</v>
      </c>
      <c r="AU554" s="635">
        <f t="shared" si="228"/>
        <v>336606.6618</v>
      </c>
      <c r="AV554" s="636">
        <v>7</v>
      </c>
      <c r="AW554" s="636">
        <v>66709.571428571435</v>
      </c>
      <c r="AX554" s="637">
        <f t="shared" si="229"/>
        <v>382072.39940000005</v>
      </c>
      <c r="AY554" s="638">
        <v>5</v>
      </c>
      <c r="AZ554" s="638">
        <v>67392.600000000006</v>
      </c>
      <c r="BA554" s="635">
        <f t="shared" si="230"/>
        <v>275703.12660000002</v>
      </c>
      <c r="BB554" s="636">
        <v>8</v>
      </c>
      <c r="BC554" s="636">
        <v>66541.875</v>
      </c>
      <c r="BD554" s="637">
        <f t="shared" si="231"/>
        <v>435556.49700000003</v>
      </c>
      <c r="BE554" s="638">
        <v>8</v>
      </c>
      <c r="BF554" s="638">
        <v>67033.625</v>
      </c>
      <c r="BG554" s="635">
        <f t="shared" si="232"/>
        <v>438775.29580000002</v>
      </c>
      <c r="BH554" s="636">
        <v>21</v>
      </c>
      <c r="BI554" s="636">
        <v>59609.666666666664</v>
      </c>
      <c r="BJ554" s="637">
        <f t="shared" si="233"/>
        <v>1024225.2146000001</v>
      </c>
      <c r="BK554" s="638">
        <v>23</v>
      </c>
      <c r="BL554" s="638">
        <v>54597</v>
      </c>
      <c r="BM554" s="635">
        <f t="shared" si="234"/>
        <v>1027439.1042000001</v>
      </c>
      <c r="BN554" s="636"/>
      <c r="BO554" s="636"/>
      <c r="BP554" s="637">
        <f t="shared" si="235"/>
        <v>0</v>
      </c>
      <c r="BQ554" s="638"/>
      <c r="BR554" s="638"/>
      <c r="BS554" s="635">
        <f t="shared" si="236"/>
        <v>0</v>
      </c>
      <c r="BT554" s="636"/>
      <c r="BU554" s="636"/>
      <c r="BV554" s="637">
        <f t="shared" si="237"/>
        <v>0</v>
      </c>
      <c r="BW554" s="638"/>
      <c r="BX554" s="638"/>
      <c r="BY554" s="641">
        <f t="shared" si="238"/>
        <v>0</v>
      </c>
    </row>
    <row r="555" spans="1:102" x14ac:dyDescent="0.2">
      <c r="A555" s="384" t="s">
        <v>77</v>
      </c>
      <c r="B555" s="348" t="s">
        <v>740</v>
      </c>
      <c r="C555" s="349"/>
      <c r="D555" s="351">
        <v>222992</v>
      </c>
      <c r="E555" s="260">
        <v>8</v>
      </c>
      <c r="F555" s="650">
        <v>37</v>
      </c>
      <c r="G555" s="632">
        <v>68324.189189189186</v>
      </c>
      <c r="H555" s="633">
        <f t="shared" si="216"/>
        <v>2527995</v>
      </c>
      <c r="I555" s="634">
        <v>33</v>
      </c>
      <c r="J555" s="634">
        <v>69697.272727272721</v>
      </c>
      <c r="K555" s="635">
        <f t="shared" si="217"/>
        <v>2300010</v>
      </c>
      <c r="L555" s="649">
        <v>22</v>
      </c>
      <c r="M555" s="636">
        <v>51844.045454545456</v>
      </c>
      <c r="N555" s="637">
        <f t="shared" si="218"/>
        <v>1140569</v>
      </c>
      <c r="O555" s="638">
        <v>24</v>
      </c>
      <c r="P555" s="638">
        <v>54353.25</v>
      </c>
      <c r="Q555" s="635">
        <f t="shared" si="219"/>
        <v>1304478</v>
      </c>
      <c r="R555" s="649">
        <f>14/2</f>
        <v>7</v>
      </c>
      <c r="S555" s="636">
        <v>45460.285714285717</v>
      </c>
      <c r="T555" s="637">
        <f t="shared" si="220"/>
        <v>318222</v>
      </c>
      <c r="U555" s="638">
        <v>8</v>
      </c>
      <c r="V555" s="638">
        <v>47896.25</v>
      </c>
      <c r="W555" s="635">
        <f t="shared" si="221"/>
        <v>383170</v>
      </c>
      <c r="X555" s="636"/>
      <c r="Y555" s="636"/>
      <c r="Z555" s="637">
        <f t="shared" si="222"/>
        <v>0</v>
      </c>
      <c r="AA555" s="638"/>
      <c r="AB555" s="638"/>
      <c r="AC555" s="635">
        <f t="shared" si="223"/>
        <v>0</v>
      </c>
      <c r="AD555" s="636"/>
      <c r="AE555" s="636"/>
      <c r="AF555" s="637">
        <f t="shared" si="241"/>
        <v>0</v>
      </c>
      <c r="AG555" s="638"/>
      <c r="AH555" s="638"/>
      <c r="AI555" s="635">
        <f t="shared" si="240"/>
        <v>0</v>
      </c>
      <c r="AJ555" s="636"/>
      <c r="AK555" s="636"/>
      <c r="AL555" s="637">
        <f t="shared" si="239"/>
        <v>0</v>
      </c>
      <c r="AM555" s="638"/>
      <c r="AN555" s="638"/>
      <c r="AO555" s="640">
        <f t="shared" si="226"/>
        <v>0</v>
      </c>
      <c r="AP555" s="649">
        <f>620/2</f>
        <v>310</v>
      </c>
      <c r="AQ555" s="636">
        <v>82320.535483870961</v>
      </c>
      <c r="AR555" s="637">
        <f t="shared" si="227"/>
        <v>20879945.2612</v>
      </c>
      <c r="AS555" s="638">
        <v>323</v>
      </c>
      <c r="AT555" s="638">
        <v>85301.58204334366</v>
      </c>
      <c r="AU555" s="635">
        <f t="shared" si="228"/>
        <v>22543382.680200003</v>
      </c>
      <c r="AV555" s="649">
        <f>300/2</f>
        <v>150</v>
      </c>
      <c r="AW555" s="636">
        <v>62795.026666666665</v>
      </c>
      <c r="AX555" s="637">
        <f t="shared" si="229"/>
        <v>7706833.6228</v>
      </c>
      <c r="AY555" s="638">
        <v>158</v>
      </c>
      <c r="AZ555" s="638">
        <v>65064.240506329115</v>
      </c>
      <c r="BA555" s="635">
        <f t="shared" si="230"/>
        <v>8411218.7300000004</v>
      </c>
      <c r="BB555" s="649">
        <v>63</v>
      </c>
      <c r="BC555" s="636">
        <v>53026.952380952382</v>
      </c>
      <c r="BD555" s="637">
        <f t="shared" si="231"/>
        <v>2733359.1036</v>
      </c>
      <c r="BE555" s="638">
        <v>72</v>
      </c>
      <c r="BF555" s="638">
        <v>57099.805555555555</v>
      </c>
      <c r="BG555" s="635">
        <f t="shared" si="232"/>
        <v>3363772.3852000004</v>
      </c>
      <c r="BH555" s="636"/>
      <c r="BI555" s="636"/>
      <c r="BJ555" s="637">
        <f t="shared" si="233"/>
        <v>0</v>
      </c>
      <c r="BK555" s="638"/>
      <c r="BL555" s="638"/>
      <c r="BM555" s="635">
        <f t="shared" si="234"/>
        <v>0</v>
      </c>
      <c r="BN555" s="636"/>
      <c r="BO555" s="636"/>
      <c r="BP555" s="637">
        <f t="shared" si="235"/>
        <v>0</v>
      </c>
      <c r="BQ555" s="638"/>
      <c r="BR555" s="638"/>
      <c r="BS555" s="635">
        <f t="shared" si="236"/>
        <v>0</v>
      </c>
      <c r="BT555" s="636"/>
      <c r="BU555" s="636"/>
      <c r="BV555" s="637">
        <f t="shared" si="237"/>
        <v>0</v>
      </c>
      <c r="BW555" s="638"/>
      <c r="BX555" s="638"/>
      <c r="BY555" s="641">
        <f t="shared" si="238"/>
        <v>0</v>
      </c>
    </row>
    <row r="556" spans="1:102" x14ac:dyDescent="0.2">
      <c r="A556" s="384" t="s">
        <v>77</v>
      </c>
      <c r="B556" s="348" t="s">
        <v>741</v>
      </c>
      <c r="C556" s="349"/>
      <c r="D556" s="351">
        <v>223427</v>
      </c>
      <c r="E556" s="260">
        <v>8</v>
      </c>
      <c r="F556" s="631"/>
      <c r="G556" s="632"/>
      <c r="H556" s="633">
        <f t="shared" si="216"/>
        <v>0</v>
      </c>
      <c r="I556" s="634"/>
      <c r="J556" s="634"/>
      <c r="K556" s="635">
        <f t="shared" si="217"/>
        <v>0</v>
      </c>
      <c r="L556" s="636"/>
      <c r="M556" s="636"/>
      <c r="N556" s="637">
        <f t="shared" si="218"/>
        <v>0</v>
      </c>
      <c r="O556" s="638"/>
      <c r="P556" s="638"/>
      <c r="Q556" s="635">
        <f t="shared" si="219"/>
        <v>0</v>
      </c>
      <c r="R556" s="636"/>
      <c r="S556" s="636"/>
      <c r="T556" s="637">
        <f t="shared" si="220"/>
        <v>0</v>
      </c>
      <c r="U556" s="638"/>
      <c r="V556" s="638"/>
      <c r="W556" s="635">
        <f t="shared" si="221"/>
        <v>0</v>
      </c>
      <c r="X556" s="636"/>
      <c r="Y556" s="636"/>
      <c r="Z556" s="637">
        <f t="shared" si="222"/>
        <v>0</v>
      </c>
      <c r="AA556" s="638"/>
      <c r="AB556" s="638"/>
      <c r="AC556" s="635">
        <f t="shared" si="223"/>
        <v>0</v>
      </c>
      <c r="AD556" s="636"/>
      <c r="AE556" s="636"/>
      <c r="AF556" s="637">
        <f t="shared" si="241"/>
        <v>0</v>
      </c>
      <c r="AG556" s="638"/>
      <c r="AH556" s="638"/>
      <c r="AI556" s="635">
        <f t="shared" si="240"/>
        <v>0</v>
      </c>
      <c r="AJ556" s="636">
        <v>307</v>
      </c>
      <c r="AK556" s="636">
        <v>49236.296416938108</v>
      </c>
      <c r="AL556" s="637">
        <f t="shared" si="239"/>
        <v>15115543</v>
      </c>
      <c r="AM556" s="638">
        <v>322</v>
      </c>
      <c r="AN556" s="638">
        <v>49080.822981366458</v>
      </c>
      <c r="AO556" s="640">
        <f t="shared" si="226"/>
        <v>15804025</v>
      </c>
      <c r="AP556" s="636"/>
      <c r="AQ556" s="636"/>
      <c r="AR556" s="637">
        <f t="shared" si="227"/>
        <v>0</v>
      </c>
      <c r="AS556" s="638"/>
      <c r="AT556" s="638"/>
      <c r="AU556" s="635">
        <f t="shared" si="228"/>
        <v>0</v>
      </c>
      <c r="AV556" s="636"/>
      <c r="AW556" s="636"/>
      <c r="AX556" s="637">
        <f t="shared" si="229"/>
        <v>0</v>
      </c>
      <c r="AY556" s="638"/>
      <c r="AZ556" s="638"/>
      <c r="BA556" s="635">
        <f t="shared" si="230"/>
        <v>0</v>
      </c>
      <c r="BB556" s="636"/>
      <c r="BC556" s="636"/>
      <c r="BD556" s="637">
        <f t="shared" si="231"/>
        <v>0</v>
      </c>
      <c r="BE556" s="638"/>
      <c r="BF556" s="638"/>
      <c r="BG556" s="635">
        <f t="shared" si="232"/>
        <v>0</v>
      </c>
      <c r="BH556" s="636"/>
      <c r="BI556" s="636"/>
      <c r="BJ556" s="637">
        <f t="shared" si="233"/>
        <v>0</v>
      </c>
      <c r="BK556" s="638"/>
      <c r="BL556" s="638"/>
      <c r="BM556" s="635">
        <f t="shared" si="234"/>
        <v>0</v>
      </c>
      <c r="BN556" s="636"/>
      <c r="BO556" s="636"/>
      <c r="BP556" s="637">
        <f t="shared" si="235"/>
        <v>0</v>
      </c>
      <c r="BQ556" s="638"/>
      <c r="BR556" s="638"/>
      <c r="BS556" s="635">
        <f t="shared" si="236"/>
        <v>0</v>
      </c>
      <c r="BT556" s="636">
        <v>47</v>
      </c>
      <c r="BU556" s="636">
        <v>49524.957446808512</v>
      </c>
      <c r="BV556" s="637">
        <f t="shared" si="237"/>
        <v>1904502.0486000001</v>
      </c>
      <c r="BW556" s="638">
        <v>48</v>
      </c>
      <c r="BX556" s="638">
        <v>50290.104166666664</v>
      </c>
      <c r="BY556" s="641">
        <f t="shared" si="238"/>
        <v>1975073.4350000001</v>
      </c>
    </row>
    <row r="557" spans="1:102" x14ac:dyDescent="0.2">
      <c r="A557" s="384" t="s">
        <v>77</v>
      </c>
      <c r="B557" s="348" t="s">
        <v>742</v>
      </c>
      <c r="C557" s="349"/>
      <c r="D557" s="351">
        <v>223524</v>
      </c>
      <c r="E557" s="260">
        <v>8</v>
      </c>
      <c r="F557" s="631"/>
      <c r="G557" s="632"/>
      <c r="H557" s="633">
        <f t="shared" si="216"/>
        <v>0</v>
      </c>
      <c r="I557" s="634"/>
      <c r="J557" s="634"/>
      <c r="K557" s="635">
        <f t="shared" si="217"/>
        <v>0</v>
      </c>
      <c r="L557" s="636"/>
      <c r="M557" s="636"/>
      <c r="N557" s="637">
        <f t="shared" si="218"/>
        <v>0</v>
      </c>
      <c r="O557" s="638"/>
      <c r="P557" s="638"/>
      <c r="Q557" s="635">
        <f t="shared" si="219"/>
        <v>0</v>
      </c>
      <c r="R557" s="636"/>
      <c r="S557" s="636"/>
      <c r="T557" s="637">
        <f t="shared" si="220"/>
        <v>0</v>
      </c>
      <c r="U557" s="638"/>
      <c r="V557" s="638"/>
      <c r="W557" s="635">
        <f t="shared" si="221"/>
        <v>0</v>
      </c>
      <c r="X557" s="636"/>
      <c r="Y557" s="636"/>
      <c r="Z557" s="637">
        <f t="shared" si="222"/>
        <v>0</v>
      </c>
      <c r="AA557" s="638"/>
      <c r="AB557" s="638"/>
      <c r="AC557" s="635">
        <f t="shared" si="223"/>
        <v>0</v>
      </c>
      <c r="AD557" s="636"/>
      <c r="AE557" s="636"/>
      <c r="AF557" s="637">
        <f t="shared" si="241"/>
        <v>0</v>
      </c>
      <c r="AG557" s="638"/>
      <c r="AH557" s="638"/>
      <c r="AI557" s="635">
        <f t="shared" si="240"/>
        <v>0</v>
      </c>
      <c r="AJ557" s="636">
        <v>131</v>
      </c>
      <c r="AK557" s="636">
        <v>57798.358778625952</v>
      </c>
      <c r="AL557" s="637">
        <f t="shared" si="239"/>
        <v>7571585</v>
      </c>
      <c r="AM557" s="638">
        <v>128</v>
      </c>
      <c r="AN557" s="638">
        <v>56701.3984375</v>
      </c>
      <c r="AO557" s="640">
        <f t="shared" si="226"/>
        <v>7257779</v>
      </c>
      <c r="AP557" s="636"/>
      <c r="AQ557" s="636"/>
      <c r="AR557" s="637">
        <f t="shared" si="227"/>
        <v>0</v>
      </c>
      <c r="AS557" s="638"/>
      <c r="AT557" s="638"/>
      <c r="AU557" s="635">
        <f t="shared" si="228"/>
        <v>0</v>
      </c>
      <c r="AV557" s="636"/>
      <c r="AW557" s="636"/>
      <c r="AX557" s="637">
        <f t="shared" si="229"/>
        <v>0</v>
      </c>
      <c r="AY557" s="638"/>
      <c r="AZ557" s="638"/>
      <c r="BA557" s="635">
        <f t="shared" si="230"/>
        <v>0</v>
      </c>
      <c r="BB557" s="636"/>
      <c r="BC557" s="636"/>
      <c r="BD557" s="637">
        <f t="shared" si="231"/>
        <v>0</v>
      </c>
      <c r="BE557" s="638"/>
      <c r="BF557" s="638"/>
      <c r="BG557" s="635">
        <f t="shared" si="232"/>
        <v>0</v>
      </c>
      <c r="BH557" s="636"/>
      <c r="BI557" s="636"/>
      <c r="BJ557" s="637">
        <f t="shared" si="233"/>
        <v>0</v>
      </c>
      <c r="BK557" s="638"/>
      <c r="BL557" s="638"/>
      <c r="BM557" s="635">
        <f t="shared" si="234"/>
        <v>0</v>
      </c>
      <c r="BN557" s="636"/>
      <c r="BO557" s="636"/>
      <c r="BP557" s="637">
        <f t="shared" si="235"/>
        <v>0</v>
      </c>
      <c r="BQ557" s="638"/>
      <c r="BR557" s="638"/>
      <c r="BS557" s="635">
        <f t="shared" si="236"/>
        <v>0</v>
      </c>
      <c r="BT557" s="636"/>
      <c r="BU557" s="636"/>
      <c r="BV557" s="637">
        <f t="shared" si="237"/>
        <v>0</v>
      </c>
      <c r="BW557" s="638"/>
      <c r="BX557" s="638"/>
      <c r="BY557" s="641">
        <f t="shared" si="238"/>
        <v>0</v>
      </c>
    </row>
    <row r="558" spans="1:102" x14ac:dyDescent="0.2">
      <c r="A558" s="384" t="s">
        <v>77</v>
      </c>
      <c r="B558" s="348" t="s">
        <v>743</v>
      </c>
      <c r="C558" s="349"/>
      <c r="D558" s="351">
        <v>223816</v>
      </c>
      <c r="E558" s="260">
        <v>8</v>
      </c>
      <c r="F558" s="631">
        <v>82</v>
      </c>
      <c r="G558" s="632">
        <v>58177.804878048781</v>
      </c>
      <c r="H558" s="633">
        <f t="shared" si="216"/>
        <v>4770580</v>
      </c>
      <c r="I558" s="634">
        <v>85</v>
      </c>
      <c r="J558" s="634">
        <v>57240.670588235291</v>
      </c>
      <c r="K558" s="635">
        <f t="shared" si="217"/>
        <v>4865457</v>
      </c>
      <c r="L558" s="636"/>
      <c r="M558" s="636"/>
      <c r="N558" s="637">
        <f t="shared" si="218"/>
        <v>0</v>
      </c>
      <c r="O558" s="638"/>
      <c r="P558" s="638"/>
      <c r="Q558" s="635">
        <f t="shared" si="219"/>
        <v>0</v>
      </c>
      <c r="R558" s="636"/>
      <c r="S558" s="636"/>
      <c r="T558" s="637">
        <f t="shared" si="220"/>
        <v>0</v>
      </c>
      <c r="U558" s="638"/>
      <c r="V558" s="638"/>
      <c r="W558" s="635">
        <f t="shared" si="221"/>
        <v>0</v>
      </c>
      <c r="X558" s="636"/>
      <c r="Y558" s="636"/>
      <c r="Z558" s="637">
        <f t="shared" si="222"/>
        <v>0</v>
      </c>
      <c r="AA558" s="638"/>
      <c r="AB558" s="638"/>
      <c r="AC558" s="635">
        <f t="shared" si="223"/>
        <v>0</v>
      </c>
      <c r="AD558" s="636"/>
      <c r="AE558" s="636"/>
      <c r="AF558" s="637">
        <f t="shared" si="241"/>
        <v>0</v>
      </c>
      <c r="AG558" s="638"/>
      <c r="AH558" s="638"/>
      <c r="AI558" s="635">
        <f t="shared" si="240"/>
        <v>0</v>
      </c>
      <c r="AJ558" s="636"/>
      <c r="AK558" s="636"/>
      <c r="AL558" s="637">
        <f t="shared" si="239"/>
        <v>0</v>
      </c>
      <c r="AM558" s="638"/>
      <c r="AN558" s="638"/>
      <c r="AO558" s="640">
        <f t="shared" si="226"/>
        <v>0</v>
      </c>
      <c r="AP558" s="636">
        <v>83</v>
      </c>
      <c r="AQ558" s="636">
        <v>72154.614457831325</v>
      </c>
      <c r="AR558" s="637">
        <f t="shared" si="227"/>
        <v>4900063.1606000001</v>
      </c>
      <c r="AS558" s="638">
        <v>77</v>
      </c>
      <c r="AT558" s="638">
        <v>71393.376623376622</v>
      </c>
      <c r="AU558" s="635">
        <f t="shared" si="228"/>
        <v>4497882.6780000003</v>
      </c>
      <c r="AV558" s="636"/>
      <c r="AW558" s="636"/>
      <c r="AX558" s="637">
        <f t="shared" si="229"/>
        <v>0</v>
      </c>
      <c r="AY558" s="638"/>
      <c r="AZ558" s="638"/>
      <c r="BA558" s="635">
        <f t="shared" si="230"/>
        <v>0</v>
      </c>
      <c r="BB558" s="636"/>
      <c r="BC558" s="636"/>
      <c r="BD558" s="637">
        <f t="shared" si="231"/>
        <v>0</v>
      </c>
      <c r="BE558" s="638"/>
      <c r="BF558" s="638"/>
      <c r="BG558" s="635">
        <f t="shared" si="232"/>
        <v>0</v>
      </c>
      <c r="BH558" s="636">
        <v>82</v>
      </c>
      <c r="BI558" s="636">
        <v>43493.341463414632</v>
      </c>
      <c r="BJ558" s="637">
        <f t="shared" si="233"/>
        <v>2918072.6628</v>
      </c>
      <c r="BK558" s="638">
        <v>76</v>
      </c>
      <c r="BL558" s="638">
        <v>44161.631578947367</v>
      </c>
      <c r="BM558" s="635">
        <f t="shared" si="234"/>
        <v>2746111.5688</v>
      </c>
      <c r="BN558" s="636"/>
      <c r="BO558" s="636"/>
      <c r="BP558" s="637">
        <f t="shared" si="235"/>
        <v>0</v>
      </c>
      <c r="BQ558" s="638"/>
      <c r="BR558" s="638"/>
      <c r="BS558" s="635">
        <f t="shared" si="236"/>
        <v>0</v>
      </c>
      <c r="BT558" s="636"/>
      <c r="BU558" s="636"/>
      <c r="BV558" s="637">
        <f t="shared" si="237"/>
        <v>0</v>
      </c>
      <c r="BW558" s="638"/>
      <c r="BX558" s="638"/>
      <c r="BY558" s="641">
        <f t="shared" si="238"/>
        <v>0</v>
      </c>
    </row>
    <row r="559" spans="1:102" x14ac:dyDescent="0.2">
      <c r="A559" s="384" t="s">
        <v>77</v>
      </c>
      <c r="B559" s="348" t="s">
        <v>744</v>
      </c>
      <c r="C559" s="349"/>
      <c r="D559" s="351">
        <v>247834</v>
      </c>
      <c r="E559" s="260">
        <v>8</v>
      </c>
      <c r="F559" s="631"/>
      <c r="G559" s="632"/>
      <c r="H559" s="633">
        <f t="shared" si="216"/>
        <v>0</v>
      </c>
      <c r="I559" s="634"/>
      <c r="J559" s="634"/>
      <c r="K559" s="635">
        <f t="shared" si="217"/>
        <v>0</v>
      </c>
      <c r="L559" s="636"/>
      <c r="M559" s="636"/>
      <c r="N559" s="637">
        <f t="shared" si="218"/>
        <v>0</v>
      </c>
      <c r="O559" s="638"/>
      <c r="P559" s="638"/>
      <c r="Q559" s="635">
        <f t="shared" si="219"/>
        <v>0</v>
      </c>
      <c r="R559" s="636"/>
      <c r="S559" s="636"/>
      <c r="T559" s="637">
        <f t="shared" si="220"/>
        <v>0</v>
      </c>
      <c r="U559" s="638"/>
      <c r="V559" s="638"/>
      <c r="W559" s="635">
        <f t="shared" si="221"/>
        <v>0</v>
      </c>
      <c r="X559" s="636"/>
      <c r="Y559" s="636"/>
      <c r="Z559" s="637">
        <f t="shared" si="222"/>
        <v>0</v>
      </c>
      <c r="AA559" s="638"/>
      <c r="AB559" s="638"/>
      <c r="AC559" s="635">
        <f t="shared" si="223"/>
        <v>0</v>
      </c>
      <c r="AD559" s="636"/>
      <c r="AE559" s="636"/>
      <c r="AF559" s="637">
        <f t="shared" si="241"/>
        <v>0</v>
      </c>
      <c r="AG559" s="638"/>
      <c r="AH559" s="638"/>
      <c r="AI559" s="635">
        <f t="shared" si="240"/>
        <v>0</v>
      </c>
      <c r="AJ559" s="636">
        <v>345</v>
      </c>
      <c r="AK559" s="636">
        <v>55549.498550724638</v>
      </c>
      <c r="AL559" s="637">
        <f t="shared" si="239"/>
        <v>19164577</v>
      </c>
      <c r="AM559" s="638">
        <v>356</v>
      </c>
      <c r="AN559" s="638">
        <v>54683.654494382019</v>
      </c>
      <c r="AO559" s="640">
        <f t="shared" si="226"/>
        <v>19467381</v>
      </c>
      <c r="AP559" s="636"/>
      <c r="AQ559" s="636"/>
      <c r="AR559" s="637">
        <f t="shared" si="227"/>
        <v>0</v>
      </c>
      <c r="AS559" s="638"/>
      <c r="AT559" s="638"/>
      <c r="AU559" s="635">
        <f t="shared" si="228"/>
        <v>0</v>
      </c>
      <c r="AV559" s="636"/>
      <c r="AW559" s="636"/>
      <c r="AX559" s="637">
        <f t="shared" si="229"/>
        <v>0</v>
      </c>
      <c r="AY559" s="638"/>
      <c r="AZ559" s="638"/>
      <c r="BA559" s="635">
        <f t="shared" si="230"/>
        <v>0</v>
      </c>
      <c r="BB559" s="636"/>
      <c r="BC559" s="636"/>
      <c r="BD559" s="637">
        <f t="shared" si="231"/>
        <v>0</v>
      </c>
      <c r="BE559" s="638"/>
      <c r="BF559" s="638"/>
      <c r="BG559" s="635">
        <f t="shared" si="232"/>
        <v>0</v>
      </c>
      <c r="BH559" s="636"/>
      <c r="BI559" s="636"/>
      <c r="BJ559" s="637">
        <f t="shared" si="233"/>
        <v>0</v>
      </c>
      <c r="BK559" s="638"/>
      <c r="BL559" s="638"/>
      <c r="BM559" s="635">
        <f t="shared" si="234"/>
        <v>0</v>
      </c>
      <c r="BN559" s="636"/>
      <c r="BO559" s="636"/>
      <c r="BP559" s="637">
        <f t="shared" si="235"/>
        <v>0</v>
      </c>
      <c r="BQ559" s="638"/>
      <c r="BR559" s="638"/>
      <c r="BS559" s="635">
        <f t="shared" si="236"/>
        <v>0</v>
      </c>
      <c r="BT559" s="636">
        <v>2</v>
      </c>
      <c r="BU559" s="636">
        <v>55219</v>
      </c>
      <c r="BV559" s="637">
        <f t="shared" si="237"/>
        <v>90360.371599999999</v>
      </c>
      <c r="BW559" s="638">
        <v>2</v>
      </c>
      <c r="BX559" s="638">
        <v>55219</v>
      </c>
      <c r="BY559" s="641">
        <f t="shared" si="238"/>
        <v>90360.371599999999</v>
      </c>
    </row>
    <row r="560" spans="1:102" x14ac:dyDescent="0.2">
      <c r="A560" s="384" t="s">
        <v>77</v>
      </c>
      <c r="B560" s="348" t="s">
        <v>745</v>
      </c>
      <c r="C560" s="349"/>
      <c r="D560" s="351">
        <v>224350</v>
      </c>
      <c r="E560" s="260">
        <v>8</v>
      </c>
      <c r="F560" s="631">
        <v>80</v>
      </c>
      <c r="G560" s="632">
        <v>67454.587499999994</v>
      </c>
      <c r="H560" s="633">
        <f t="shared" si="216"/>
        <v>5396367</v>
      </c>
      <c r="I560" s="634">
        <v>83</v>
      </c>
      <c r="J560" s="634">
        <v>69580.843373493975</v>
      </c>
      <c r="K560" s="635">
        <f t="shared" si="217"/>
        <v>5775210</v>
      </c>
      <c r="L560" s="636">
        <v>59</v>
      </c>
      <c r="M560" s="636">
        <v>56145.508474576272</v>
      </c>
      <c r="N560" s="637">
        <f t="shared" si="218"/>
        <v>3312585</v>
      </c>
      <c r="O560" s="638">
        <v>63</v>
      </c>
      <c r="P560" s="638">
        <v>56514.793650793654</v>
      </c>
      <c r="Q560" s="635">
        <f t="shared" si="219"/>
        <v>3560432</v>
      </c>
      <c r="R560" s="636">
        <v>62</v>
      </c>
      <c r="S560" s="636">
        <v>50442.725806451614</v>
      </c>
      <c r="T560" s="637">
        <f t="shared" si="220"/>
        <v>3127449</v>
      </c>
      <c r="U560" s="638">
        <v>61</v>
      </c>
      <c r="V560" s="638">
        <v>50641.852459016394</v>
      </c>
      <c r="W560" s="635">
        <f t="shared" si="221"/>
        <v>3089153</v>
      </c>
      <c r="X560" s="636">
        <v>82</v>
      </c>
      <c r="Y560" s="636">
        <v>44289.463414634149</v>
      </c>
      <c r="Z560" s="637">
        <f t="shared" si="222"/>
        <v>3631736</v>
      </c>
      <c r="AA560" s="638">
        <v>79</v>
      </c>
      <c r="AB560" s="638">
        <v>44721.139240506331</v>
      </c>
      <c r="AC560" s="635">
        <f t="shared" si="223"/>
        <v>3532970</v>
      </c>
      <c r="AD560" s="636"/>
      <c r="AE560" s="636"/>
      <c r="AF560" s="637">
        <f t="shared" si="241"/>
        <v>0</v>
      </c>
      <c r="AG560" s="638"/>
      <c r="AH560" s="638"/>
      <c r="AI560" s="635">
        <f t="shared" si="240"/>
        <v>0</v>
      </c>
      <c r="AJ560" s="636"/>
      <c r="AK560" s="636"/>
      <c r="AL560" s="637">
        <f t="shared" si="239"/>
        <v>0</v>
      </c>
      <c r="AM560" s="638"/>
      <c r="AN560" s="638"/>
      <c r="AO560" s="640">
        <f t="shared" si="226"/>
        <v>0</v>
      </c>
      <c r="AP560" s="636">
        <v>3</v>
      </c>
      <c r="AQ560" s="636">
        <v>90950.666666666672</v>
      </c>
      <c r="AR560" s="637">
        <f t="shared" si="227"/>
        <v>223247.50640000001</v>
      </c>
      <c r="AS560" s="638">
        <v>4</v>
      </c>
      <c r="AT560" s="638">
        <v>90399</v>
      </c>
      <c r="AU560" s="635">
        <f t="shared" si="228"/>
        <v>295857.84720000002</v>
      </c>
      <c r="AV560" s="636"/>
      <c r="AW560" s="636"/>
      <c r="AX560" s="637">
        <f t="shared" si="229"/>
        <v>0</v>
      </c>
      <c r="AY560" s="638"/>
      <c r="AZ560" s="638"/>
      <c r="BA560" s="635">
        <f t="shared" si="230"/>
        <v>0</v>
      </c>
      <c r="BB560" s="636"/>
      <c r="BC560" s="636"/>
      <c r="BD560" s="637">
        <f t="shared" si="231"/>
        <v>0</v>
      </c>
      <c r="BE560" s="638"/>
      <c r="BF560" s="638"/>
      <c r="BG560" s="635">
        <f t="shared" si="232"/>
        <v>0</v>
      </c>
      <c r="BH560" s="636"/>
      <c r="BI560" s="636"/>
      <c r="BJ560" s="637">
        <f t="shared" si="233"/>
        <v>0</v>
      </c>
      <c r="BK560" s="638"/>
      <c r="BL560" s="638"/>
      <c r="BM560" s="635">
        <f t="shared" si="234"/>
        <v>0</v>
      </c>
      <c r="BN560" s="636"/>
      <c r="BO560" s="636"/>
      <c r="BP560" s="637">
        <f t="shared" si="235"/>
        <v>0</v>
      </c>
      <c r="BQ560" s="638"/>
      <c r="BR560" s="638"/>
      <c r="BS560" s="635">
        <f t="shared" si="236"/>
        <v>0</v>
      </c>
      <c r="BT560" s="636"/>
      <c r="BU560" s="636"/>
      <c r="BV560" s="637">
        <f t="shared" si="237"/>
        <v>0</v>
      </c>
      <c r="BW560" s="638"/>
      <c r="BX560" s="638"/>
      <c r="BY560" s="641">
        <f t="shared" si="238"/>
        <v>0</v>
      </c>
    </row>
    <row r="561" spans="1:77" x14ac:dyDescent="0.2">
      <c r="A561" s="384" t="s">
        <v>77</v>
      </c>
      <c r="B561" s="348" t="s">
        <v>746</v>
      </c>
      <c r="C561" s="349"/>
      <c r="D561" s="351">
        <v>224572</v>
      </c>
      <c r="E561" s="260">
        <v>8</v>
      </c>
      <c r="F561" s="631"/>
      <c r="G561" s="632"/>
      <c r="H561" s="633">
        <f t="shared" si="216"/>
        <v>0</v>
      </c>
      <c r="I561" s="634"/>
      <c r="J561" s="634"/>
      <c r="K561" s="635">
        <f t="shared" si="217"/>
        <v>0</v>
      </c>
      <c r="L561" s="636"/>
      <c r="M561" s="636"/>
      <c r="N561" s="637">
        <f t="shared" si="218"/>
        <v>0</v>
      </c>
      <c r="O561" s="638"/>
      <c r="P561" s="638"/>
      <c r="Q561" s="635">
        <f t="shared" si="219"/>
        <v>0</v>
      </c>
      <c r="R561" s="636"/>
      <c r="S561" s="636"/>
      <c r="T561" s="637">
        <f t="shared" si="220"/>
        <v>0</v>
      </c>
      <c r="U561" s="638"/>
      <c r="V561" s="638"/>
      <c r="W561" s="635">
        <f t="shared" si="221"/>
        <v>0</v>
      </c>
      <c r="X561" s="636"/>
      <c r="Y561" s="636"/>
      <c r="Z561" s="637">
        <f t="shared" si="222"/>
        <v>0</v>
      </c>
      <c r="AA561" s="638"/>
      <c r="AB561" s="638"/>
      <c r="AC561" s="635">
        <f t="shared" si="223"/>
        <v>0</v>
      </c>
      <c r="AD561" s="636"/>
      <c r="AE561" s="636"/>
      <c r="AF561" s="637">
        <f t="shared" si="241"/>
        <v>0</v>
      </c>
      <c r="AG561" s="638"/>
      <c r="AH561" s="638"/>
      <c r="AI561" s="635">
        <f t="shared" si="240"/>
        <v>0</v>
      </c>
      <c r="AJ561" s="636">
        <v>121</v>
      </c>
      <c r="AK561" s="636">
        <v>57594.371900826445</v>
      </c>
      <c r="AL561" s="637">
        <f t="shared" si="239"/>
        <v>6968919</v>
      </c>
      <c r="AM561" s="638">
        <v>119</v>
      </c>
      <c r="AN561" s="638">
        <v>55881.193277310922</v>
      </c>
      <c r="AO561" s="640">
        <f t="shared" si="226"/>
        <v>6649862</v>
      </c>
      <c r="AP561" s="636"/>
      <c r="AQ561" s="636"/>
      <c r="AR561" s="637">
        <f t="shared" si="227"/>
        <v>0</v>
      </c>
      <c r="AS561" s="638"/>
      <c r="AT561" s="638"/>
      <c r="AU561" s="635">
        <f t="shared" si="228"/>
        <v>0</v>
      </c>
      <c r="AV561" s="636"/>
      <c r="AW561" s="636"/>
      <c r="AX561" s="637">
        <f t="shared" si="229"/>
        <v>0</v>
      </c>
      <c r="AY561" s="638"/>
      <c r="AZ561" s="638"/>
      <c r="BA561" s="635">
        <f t="shared" si="230"/>
        <v>0</v>
      </c>
      <c r="BB561" s="636"/>
      <c r="BC561" s="636"/>
      <c r="BD561" s="637">
        <f t="shared" si="231"/>
        <v>0</v>
      </c>
      <c r="BE561" s="638"/>
      <c r="BF561" s="638"/>
      <c r="BG561" s="635">
        <f t="shared" si="232"/>
        <v>0</v>
      </c>
      <c r="BH561" s="636"/>
      <c r="BI561" s="636"/>
      <c r="BJ561" s="637">
        <f t="shared" si="233"/>
        <v>0</v>
      </c>
      <c r="BK561" s="638"/>
      <c r="BL561" s="638"/>
      <c r="BM561" s="635">
        <f t="shared" si="234"/>
        <v>0</v>
      </c>
      <c r="BN561" s="636"/>
      <c r="BO561" s="636"/>
      <c r="BP561" s="637">
        <f t="shared" si="235"/>
        <v>0</v>
      </c>
      <c r="BQ561" s="638"/>
      <c r="BR561" s="638"/>
      <c r="BS561" s="635">
        <f t="shared" si="236"/>
        <v>0</v>
      </c>
      <c r="BT561" s="636"/>
      <c r="BU561" s="636"/>
      <c r="BV561" s="637">
        <f t="shared" si="237"/>
        <v>0</v>
      </c>
      <c r="BW561" s="638"/>
      <c r="BX561" s="638"/>
      <c r="BY561" s="641">
        <f t="shared" si="238"/>
        <v>0</v>
      </c>
    </row>
    <row r="562" spans="1:77" x14ac:dyDescent="0.2">
      <c r="A562" s="384" t="s">
        <v>77</v>
      </c>
      <c r="B562" s="389" t="s">
        <v>747</v>
      </c>
      <c r="C562" s="390"/>
      <c r="D562" s="351">
        <v>224615</v>
      </c>
      <c r="E562" s="260">
        <v>8</v>
      </c>
      <c r="F562" s="631"/>
      <c r="G562" s="632"/>
      <c r="H562" s="633">
        <f t="shared" si="216"/>
        <v>0</v>
      </c>
      <c r="I562" s="634"/>
      <c r="J562" s="634"/>
      <c r="K562" s="635">
        <f t="shared" si="217"/>
        <v>0</v>
      </c>
      <c r="L562" s="636"/>
      <c r="M562" s="636"/>
      <c r="N562" s="637">
        <f t="shared" si="218"/>
        <v>0</v>
      </c>
      <c r="O562" s="638"/>
      <c r="P562" s="638"/>
      <c r="Q562" s="635">
        <f t="shared" si="219"/>
        <v>0</v>
      </c>
      <c r="R562" s="636"/>
      <c r="S562" s="636"/>
      <c r="T562" s="637">
        <f t="shared" si="220"/>
        <v>0</v>
      </c>
      <c r="U562" s="638"/>
      <c r="V562" s="638"/>
      <c r="W562" s="635">
        <f t="shared" si="221"/>
        <v>0</v>
      </c>
      <c r="X562" s="636"/>
      <c r="Y562" s="636"/>
      <c r="Z562" s="637">
        <f t="shared" si="222"/>
        <v>0</v>
      </c>
      <c r="AA562" s="638"/>
      <c r="AB562" s="638"/>
      <c r="AC562" s="635">
        <f t="shared" si="223"/>
        <v>0</v>
      </c>
      <c r="AD562" s="636"/>
      <c r="AE562" s="636"/>
      <c r="AF562" s="637">
        <f t="shared" si="241"/>
        <v>0</v>
      </c>
      <c r="AG562" s="638"/>
      <c r="AH562" s="638"/>
      <c r="AI562" s="635">
        <f t="shared" si="240"/>
        <v>0</v>
      </c>
      <c r="AJ562" s="636">
        <v>136</v>
      </c>
      <c r="AK562" s="636">
        <v>53986.566176470587</v>
      </c>
      <c r="AL562" s="637">
        <f t="shared" si="239"/>
        <v>7342173</v>
      </c>
      <c r="AM562" s="638">
        <v>140</v>
      </c>
      <c r="AN562" s="638">
        <v>52333.107142857145</v>
      </c>
      <c r="AO562" s="640">
        <f t="shared" si="226"/>
        <v>7326635</v>
      </c>
      <c r="AP562" s="636"/>
      <c r="AQ562" s="636"/>
      <c r="AR562" s="637">
        <f t="shared" si="227"/>
        <v>0</v>
      </c>
      <c r="AS562" s="638"/>
      <c r="AT562" s="638"/>
      <c r="AU562" s="635">
        <f t="shared" si="228"/>
        <v>0</v>
      </c>
      <c r="AV562" s="636"/>
      <c r="AW562" s="636"/>
      <c r="AX562" s="637">
        <f t="shared" si="229"/>
        <v>0</v>
      </c>
      <c r="AY562" s="638"/>
      <c r="AZ562" s="638"/>
      <c r="BA562" s="635">
        <f t="shared" si="230"/>
        <v>0</v>
      </c>
      <c r="BB562" s="636"/>
      <c r="BC562" s="636"/>
      <c r="BD562" s="637">
        <f t="shared" si="231"/>
        <v>0</v>
      </c>
      <c r="BE562" s="638"/>
      <c r="BF562" s="638"/>
      <c r="BG562" s="635">
        <f t="shared" si="232"/>
        <v>0</v>
      </c>
      <c r="BH562" s="636"/>
      <c r="BI562" s="636"/>
      <c r="BJ562" s="637">
        <f t="shared" si="233"/>
        <v>0</v>
      </c>
      <c r="BK562" s="638"/>
      <c r="BL562" s="638"/>
      <c r="BM562" s="635">
        <f t="shared" si="234"/>
        <v>0</v>
      </c>
      <c r="BN562" s="636"/>
      <c r="BO562" s="636"/>
      <c r="BP562" s="637">
        <f t="shared" si="235"/>
        <v>0</v>
      </c>
      <c r="BQ562" s="638"/>
      <c r="BR562" s="638"/>
      <c r="BS562" s="635">
        <f t="shared" si="236"/>
        <v>0</v>
      </c>
      <c r="BT562" s="636"/>
      <c r="BU562" s="636"/>
      <c r="BV562" s="637">
        <f t="shared" si="237"/>
        <v>0</v>
      </c>
      <c r="BW562" s="638"/>
      <c r="BX562" s="638"/>
      <c r="BY562" s="641">
        <f t="shared" si="238"/>
        <v>0</v>
      </c>
    </row>
    <row r="563" spans="1:77" x14ac:dyDescent="0.2">
      <c r="A563" s="384" t="s">
        <v>77</v>
      </c>
      <c r="B563" s="348" t="s">
        <v>748</v>
      </c>
      <c r="C563" s="349"/>
      <c r="D563" s="351">
        <v>224642</v>
      </c>
      <c r="E563" s="260">
        <v>8</v>
      </c>
      <c r="F563" s="631">
        <v>162</v>
      </c>
      <c r="G563" s="632">
        <v>64219.919753086418</v>
      </c>
      <c r="H563" s="633">
        <f t="shared" si="216"/>
        <v>10403627</v>
      </c>
      <c r="I563" s="634">
        <v>163</v>
      </c>
      <c r="J563" s="634">
        <v>64766.699386503067</v>
      </c>
      <c r="K563" s="635">
        <f t="shared" si="217"/>
        <v>10556972</v>
      </c>
      <c r="L563" s="636">
        <v>119</v>
      </c>
      <c r="M563" s="636">
        <v>47014.277310924372</v>
      </c>
      <c r="N563" s="637">
        <f t="shared" si="218"/>
        <v>5594699</v>
      </c>
      <c r="O563" s="638">
        <v>118</v>
      </c>
      <c r="P563" s="638">
        <v>43485.279661016946</v>
      </c>
      <c r="Q563" s="635">
        <f t="shared" si="219"/>
        <v>5131263</v>
      </c>
      <c r="R563" s="636">
        <v>61</v>
      </c>
      <c r="S563" s="636">
        <v>43597.754098360652</v>
      </c>
      <c r="T563" s="637">
        <f t="shared" si="220"/>
        <v>2659463</v>
      </c>
      <c r="U563" s="638">
        <v>58</v>
      </c>
      <c r="V563" s="638">
        <v>43509.603448275862</v>
      </c>
      <c r="W563" s="635">
        <f t="shared" si="221"/>
        <v>2523557</v>
      </c>
      <c r="X563" s="636"/>
      <c r="Y563" s="636"/>
      <c r="Z563" s="637">
        <f t="shared" si="222"/>
        <v>0</v>
      </c>
      <c r="AA563" s="638"/>
      <c r="AB563" s="638"/>
      <c r="AC563" s="635">
        <f t="shared" si="223"/>
        <v>0</v>
      </c>
      <c r="AD563" s="636">
        <v>54</v>
      </c>
      <c r="AE563" s="636">
        <v>36405.962962962964</v>
      </c>
      <c r="AF563" s="637">
        <f t="shared" si="241"/>
        <v>1965922</v>
      </c>
      <c r="AG563" s="638">
        <v>53</v>
      </c>
      <c r="AH563" s="638">
        <v>39945.830188679247</v>
      </c>
      <c r="AI563" s="635">
        <f t="shared" si="240"/>
        <v>2117129</v>
      </c>
      <c r="AJ563" s="636"/>
      <c r="AK563" s="636"/>
      <c r="AL563" s="637">
        <f t="shared" si="239"/>
        <v>0</v>
      </c>
      <c r="AM563" s="638"/>
      <c r="AN563" s="638"/>
      <c r="AO563" s="640">
        <f t="shared" si="226"/>
        <v>0</v>
      </c>
      <c r="AP563" s="636"/>
      <c r="AQ563" s="636"/>
      <c r="AR563" s="637">
        <f t="shared" si="227"/>
        <v>0</v>
      </c>
      <c r="AS563" s="638"/>
      <c r="AT563" s="638"/>
      <c r="AU563" s="635">
        <f t="shared" si="228"/>
        <v>0</v>
      </c>
      <c r="AV563" s="636"/>
      <c r="AW563" s="636"/>
      <c r="AX563" s="637">
        <f t="shared" si="229"/>
        <v>0</v>
      </c>
      <c r="AY563" s="638"/>
      <c r="AZ563" s="638"/>
      <c r="BA563" s="635">
        <f t="shared" si="230"/>
        <v>0</v>
      </c>
      <c r="BB563" s="636"/>
      <c r="BC563" s="636"/>
      <c r="BD563" s="637">
        <f t="shared" si="231"/>
        <v>0</v>
      </c>
      <c r="BE563" s="638"/>
      <c r="BF563" s="638"/>
      <c r="BG563" s="635">
        <f t="shared" si="232"/>
        <v>0</v>
      </c>
      <c r="BH563" s="636"/>
      <c r="BI563" s="636"/>
      <c r="BJ563" s="637">
        <f t="shared" si="233"/>
        <v>0</v>
      </c>
      <c r="BK563" s="638"/>
      <c r="BL563" s="638"/>
      <c r="BM563" s="635">
        <f t="shared" si="234"/>
        <v>0</v>
      </c>
      <c r="BN563" s="636">
        <v>23</v>
      </c>
      <c r="BO563" s="636">
        <v>49305.739130434784</v>
      </c>
      <c r="BP563" s="637">
        <f t="shared" si="235"/>
        <v>927864.9824000001</v>
      </c>
      <c r="BQ563" s="638">
        <v>22</v>
      </c>
      <c r="BR563" s="638">
        <v>49526.590909090912</v>
      </c>
      <c r="BS563" s="635">
        <f t="shared" si="236"/>
        <v>891498.44700000004</v>
      </c>
      <c r="BT563" s="636"/>
      <c r="BU563" s="636"/>
      <c r="BV563" s="637">
        <f t="shared" si="237"/>
        <v>0</v>
      </c>
      <c r="BW563" s="638"/>
      <c r="BX563" s="638"/>
      <c r="BY563" s="641">
        <f t="shared" si="238"/>
        <v>0</v>
      </c>
    </row>
    <row r="564" spans="1:77" x14ac:dyDescent="0.2">
      <c r="A564" s="384" t="s">
        <v>77</v>
      </c>
      <c r="B564" s="348" t="s">
        <v>749</v>
      </c>
      <c r="C564" s="349"/>
      <c r="D564" s="351">
        <v>225423</v>
      </c>
      <c r="E564" s="260">
        <v>8</v>
      </c>
      <c r="F564" s="631"/>
      <c r="G564" s="632"/>
      <c r="H564" s="633">
        <f t="shared" si="216"/>
        <v>0</v>
      </c>
      <c r="I564" s="634"/>
      <c r="J564" s="634"/>
      <c r="K564" s="635">
        <f t="shared" si="217"/>
        <v>0</v>
      </c>
      <c r="L564" s="636"/>
      <c r="M564" s="636"/>
      <c r="N564" s="637">
        <f t="shared" si="218"/>
        <v>0</v>
      </c>
      <c r="O564" s="638"/>
      <c r="P564" s="638"/>
      <c r="Q564" s="635">
        <f t="shared" si="219"/>
        <v>0</v>
      </c>
      <c r="R564" s="636"/>
      <c r="S564" s="636"/>
      <c r="T564" s="637">
        <f t="shared" si="220"/>
        <v>0</v>
      </c>
      <c r="U564" s="638"/>
      <c r="V564" s="638"/>
      <c r="W564" s="635">
        <f t="shared" si="221"/>
        <v>0</v>
      </c>
      <c r="X564" s="636">
        <v>553</v>
      </c>
      <c r="Y564" s="636">
        <v>54823.840867992767</v>
      </c>
      <c r="Z564" s="637">
        <f t="shared" si="222"/>
        <v>30317584</v>
      </c>
      <c r="AA564" s="638">
        <v>732</v>
      </c>
      <c r="AB564" s="638">
        <v>63059.338797814205</v>
      </c>
      <c r="AC564" s="635">
        <f t="shared" si="223"/>
        <v>46159436</v>
      </c>
      <c r="AD564" s="636"/>
      <c r="AE564" s="636"/>
      <c r="AF564" s="637">
        <f t="shared" si="241"/>
        <v>0</v>
      </c>
      <c r="AG564" s="638"/>
      <c r="AH564" s="638"/>
      <c r="AI564" s="635">
        <f t="shared" si="240"/>
        <v>0</v>
      </c>
      <c r="AJ564" s="636"/>
      <c r="AK564" s="636"/>
      <c r="AL564" s="637">
        <f t="shared" si="239"/>
        <v>0</v>
      </c>
      <c r="AM564" s="638"/>
      <c r="AN564" s="638"/>
      <c r="AO564" s="640">
        <f t="shared" si="226"/>
        <v>0</v>
      </c>
      <c r="AP564" s="636"/>
      <c r="AQ564" s="636"/>
      <c r="AR564" s="637">
        <f t="shared" si="227"/>
        <v>0</v>
      </c>
      <c r="AS564" s="638"/>
      <c r="AT564" s="638"/>
      <c r="AU564" s="635">
        <f t="shared" si="228"/>
        <v>0</v>
      </c>
      <c r="AV564" s="636"/>
      <c r="AW564" s="636"/>
      <c r="AX564" s="637">
        <f t="shared" si="229"/>
        <v>0</v>
      </c>
      <c r="AY564" s="638"/>
      <c r="AZ564" s="638"/>
      <c r="BA564" s="635">
        <f t="shared" si="230"/>
        <v>0</v>
      </c>
      <c r="BB564" s="636"/>
      <c r="BC564" s="636"/>
      <c r="BD564" s="637">
        <f t="shared" si="231"/>
        <v>0</v>
      </c>
      <c r="BE564" s="638"/>
      <c r="BF564" s="638"/>
      <c r="BG564" s="635">
        <f t="shared" si="232"/>
        <v>0</v>
      </c>
      <c r="BH564" s="636">
        <v>357</v>
      </c>
      <c r="BI564" s="636">
        <v>74474.408963585433</v>
      </c>
      <c r="BJ564" s="637">
        <f t="shared" si="233"/>
        <v>21753781.224800002</v>
      </c>
      <c r="BK564" s="638">
        <v>77</v>
      </c>
      <c r="BL564" s="638">
        <v>82386.636363636368</v>
      </c>
      <c r="BM564" s="635">
        <f t="shared" si="234"/>
        <v>5190473.4322000006</v>
      </c>
      <c r="BN564" s="636"/>
      <c r="BO564" s="636"/>
      <c r="BP564" s="637">
        <f t="shared" si="235"/>
        <v>0</v>
      </c>
      <c r="BQ564" s="638"/>
      <c r="BR564" s="638"/>
      <c r="BS564" s="635">
        <f t="shared" si="236"/>
        <v>0</v>
      </c>
      <c r="BT564" s="636"/>
      <c r="BU564" s="636"/>
      <c r="BV564" s="637">
        <f t="shared" si="237"/>
        <v>0</v>
      </c>
      <c r="BW564" s="638"/>
      <c r="BX564" s="638"/>
      <c r="BY564" s="641">
        <f t="shared" si="238"/>
        <v>0</v>
      </c>
    </row>
    <row r="565" spans="1:77" x14ac:dyDescent="0.2">
      <c r="A565" s="384" t="s">
        <v>77</v>
      </c>
      <c r="B565" s="350" t="s">
        <v>775</v>
      </c>
      <c r="C565" s="421" t="s">
        <v>878</v>
      </c>
      <c r="D565" s="351">
        <v>226019</v>
      </c>
      <c r="E565" s="422">
        <v>8</v>
      </c>
      <c r="F565" s="631"/>
      <c r="G565" s="632"/>
      <c r="H565" s="633">
        <f t="shared" si="216"/>
        <v>0</v>
      </c>
      <c r="I565" s="634"/>
      <c r="J565" s="634"/>
      <c r="K565" s="635">
        <f t="shared" si="217"/>
        <v>0</v>
      </c>
      <c r="L565" s="636"/>
      <c r="M565" s="636"/>
      <c r="N565" s="637">
        <f t="shared" si="218"/>
        <v>0</v>
      </c>
      <c r="O565" s="638"/>
      <c r="P565" s="638"/>
      <c r="Q565" s="635">
        <f t="shared" si="219"/>
        <v>0</v>
      </c>
      <c r="R565" s="636"/>
      <c r="S565" s="636"/>
      <c r="T565" s="637">
        <f t="shared" si="220"/>
        <v>0</v>
      </c>
      <c r="U565" s="638"/>
      <c r="V565" s="638"/>
      <c r="W565" s="635">
        <f t="shared" si="221"/>
        <v>0</v>
      </c>
      <c r="X565" s="636"/>
      <c r="Y565" s="636"/>
      <c r="Z565" s="637">
        <f t="shared" si="222"/>
        <v>0</v>
      </c>
      <c r="AA565" s="638"/>
      <c r="AB565" s="638"/>
      <c r="AC565" s="635">
        <f t="shared" si="223"/>
        <v>0</v>
      </c>
      <c r="AD565" s="636"/>
      <c r="AE565" s="636"/>
      <c r="AF565" s="637">
        <f t="shared" si="241"/>
        <v>0</v>
      </c>
      <c r="AG565" s="638"/>
      <c r="AH565" s="638"/>
      <c r="AI565" s="635">
        <f t="shared" si="240"/>
        <v>0</v>
      </c>
      <c r="AJ565" s="636">
        <v>100</v>
      </c>
      <c r="AK565" s="636">
        <v>52566.8</v>
      </c>
      <c r="AL565" s="637">
        <f t="shared" si="239"/>
        <v>5256680</v>
      </c>
      <c r="AM565" s="638">
        <v>100</v>
      </c>
      <c r="AN565" s="638">
        <v>53347.18</v>
      </c>
      <c r="AO565" s="640">
        <f t="shared" si="226"/>
        <v>5334718</v>
      </c>
      <c r="AP565" s="636"/>
      <c r="AQ565" s="636"/>
      <c r="AR565" s="637">
        <f t="shared" si="227"/>
        <v>0</v>
      </c>
      <c r="AS565" s="638"/>
      <c r="AT565" s="638"/>
      <c r="AU565" s="635">
        <f t="shared" si="228"/>
        <v>0</v>
      </c>
      <c r="AV565" s="636"/>
      <c r="AW565" s="636"/>
      <c r="AX565" s="637">
        <f t="shared" si="229"/>
        <v>0</v>
      </c>
      <c r="AY565" s="638"/>
      <c r="AZ565" s="638"/>
      <c r="BA565" s="635">
        <f t="shared" si="230"/>
        <v>0</v>
      </c>
      <c r="BB565" s="636"/>
      <c r="BC565" s="636"/>
      <c r="BD565" s="637">
        <f t="shared" si="231"/>
        <v>0</v>
      </c>
      <c r="BE565" s="638"/>
      <c r="BF565" s="638"/>
      <c r="BG565" s="635">
        <f t="shared" si="232"/>
        <v>0</v>
      </c>
      <c r="BH565" s="636"/>
      <c r="BI565" s="636"/>
      <c r="BJ565" s="637">
        <f t="shared" si="233"/>
        <v>0</v>
      </c>
      <c r="BK565" s="638"/>
      <c r="BL565" s="638"/>
      <c r="BM565" s="635">
        <f t="shared" si="234"/>
        <v>0</v>
      </c>
      <c r="BN565" s="636"/>
      <c r="BO565" s="636"/>
      <c r="BP565" s="637">
        <f t="shared" si="235"/>
        <v>0</v>
      </c>
      <c r="BQ565" s="638"/>
      <c r="BR565" s="638"/>
      <c r="BS565" s="635">
        <f t="shared" si="236"/>
        <v>0</v>
      </c>
      <c r="BT565" s="636">
        <v>61</v>
      </c>
      <c r="BU565" s="636">
        <v>61125.180327868853</v>
      </c>
      <c r="BV565" s="637">
        <f t="shared" si="237"/>
        <v>3050769.9752000002</v>
      </c>
      <c r="BW565" s="638">
        <v>55</v>
      </c>
      <c r="BX565" s="638">
        <v>61586.145454545454</v>
      </c>
      <c r="BY565" s="641">
        <f t="shared" si="238"/>
        <v>2771438.1316</v>
      </c>
    </row>
    <row r="566" spans="1:77" x14ac:dyDescent="0.2">
      <c r="A566" s="384" t="s">
        <v>77</v>
      </c>
      <c r="B566" s="348" t="s">
        <v>750</v>
      </c>
      <c r="C566" s="349"/>
      <c r="D566" s="351">
        <v>226134</v>
      </c>
      <c r="E566" s="260">
        <v>8</v>
      </c>
      <c r="F566" s="631"/>
      <c r="G566" s="632"/>
      <c r="H566" s="633">
        <f t="shared" si="216"/>
        <v>0</v>
      </c>
      <c r="I566" s="634"/>
      <c r="J566" s="634"/>
      <c r="K566" s="635">
        <f t="shared" si="217"/>
        <v>0</v>
      </c>
      <c r="L566" s="636"/>
      <c r="M566" s="636"/>
      <c r="N566" s="637">
        <f t="shared" si="218"/>
        <v>0</v>
      </c>
      <c r="O566" s="638"/>
      <c r="P566" s="638"/>
      <c r="Q566" s="635">
        <f t="shared" si="219"/>
        <v>0</v>
      </c>
      <c r="R566" s="636"/>
      <c r="S566" s="636"/>
      <c r="T566" s="637">
        <f t="shared" si="220"/>
        <v>0</v>
      </c>
      <c r="U566" s="638"/>
      <c r="V566" s="638"/>
      <c r="W566" s="635">
        <f t="shared" si="221"/>
        <v>0</v>
      </c>
      <c r="X566" s="636">
        <v>184</v>
      </c>
      <c r="Y566" s="636">
        <v>55429.54891304348</v>
      </c>
      <c r="Z566" s="637">
        <f t="shared" si="222"/>
        <v>10199037</v>
      </c>
      <c r="AA566" s="638">
        <v>184</v>
      </c>
      <c r="AB566" s="638">
        <v>54531.038043478264</v>
      </c>
      <c r="AC566" s="635">
        <f t="shared" si="223"/>
        <v>10033711</v>
      </c>
      <c r="AD566" s="636"/>
      <c r="AE566" s="636"/>
      <c r="AF566" s="637">
        <f t="shared" si="241"/>
        <v>0</v>
      </c>
      <c r="AG566" s="638"/>
      <c r="AH566" s="638"/>
      <c r="AI566" s="635">
        <f t="shared" si="240"/>
        <v>0</v>
      </c>
      <c r="AJ566" s="636"/>
      <c r="AK566" s="636"/>
      <c r="AL566" s="637">
        <f t="shared" si="239"/>
        <v>0</v>
      </c>
      <c r="AM566" s="638"/>
      <c r="AN566" s="638"/>
      <c r="AO566" s="640">
        <f t="shared" si="226"/>
        <v>0</v>
      </c>
      <c r="AP566" s="636"/>
      <c r="AQ566" s="636"/>
      <c r="AR566" s="637">
        <f t="shared" si="227"/>
        <v>0</v>
      </c>
      <c r="AS566" s="638"/>
      <c r="AT566" s="638"/>
      <c r="AU566" s="635">
        <f t="shared" si="228"/>
        <v>0</v>
      </c>
      <c r="AV566" s="636"/>
      <c r="AW566" s="636"/>
      <c r="AX566" s="637">
        <f t="shared" si="229"/>
        <v>0</v>
      </c>
      <c r="AY566" s="638"/>
      <c r="AZ566" s="638"/>
      <c r="BA566" s="635">
        <f t="shared" si="230"/>
        <v>0</v>
      </c>
      <c r="BB566" s="636"/>
      <c r="BC566" s="636"/>
      <c r="BD566" s="637">
        <f t="shared" si="231"/>
        <v>0</v>
      </c>
      <c r="BE566" s="638"/>
      <c r="BF566" s="638"/>
      <c r="BG566" s="635">
        <f t="shared" si="232"/>
        <v>0</v>
      </c>
      <c r="BH566" s="636">
        <v>13</v>
      </c>
      <c r="BI566" s="636">
        <v>67839.230769230766</v>
      </c>
      <c r="BJ566" s="637">
        <f t="shared" si="233"/>
        <v>721578.76199999999</v>
      </c>
      <c r="BK566" s="638">
        <v>12</v>
      </c>
      <c r="BL566" s="638">
        <v>68733.5</v>
      </c>
      <c r="BM566" s="635">
        <f t="shared" si="234"/>
        <v>674852.99640000006</v>
      </c>
      <c r="BN566" s="636"/>
      <c r="BO566" s="636"/>
      <c r="BP566" s="637">
        <f t="shared" si="235"/>
        <v>0</v>
      </c>
      <c r="BQ566" s="638"/>
      <c r="BR566" s="638"/>
      <c r="BS566" s="635">
        <f t="shared" si="236"/>
        <v>0</v>
      </c>
      <c r="BT566" s="636"/>
      <c r="BU566" s="636"/>
      <c r="BV566" s="637">
        <f t="shared" si="237"/>
        <v>0</v>
      </c>
      <c r="BW566" s="638"/>
      <c r="BX566" s="638"/>
      <c r="BY566" s="641">
        <f t="shared" si="238"/>
        <v>0</v>
      </c>
    </row>
    <row r="567" spans="1:77" x14ac:dyDescent="0.2">
      <c r="A567" s="384" t="s">
        <v>77</v>
      </c>
      <c r="B567" s="348" t="s">
        <v>751</v>
      </c>
      <c r="C567" s="349"/>
      <c r="D567" s="351">
        <v>227182</v>
      </c>
      <c r="E567" s="260">
        <v>8</v>
      </c>
      <c r="F567" s="631">
        <v>461</v>
      </c>
      <c r="G567" s="632">
        <v>68058.347071583514</v>
      </c>
      <c r="H567" s="633">
        <f t="shared" si="216"/>
        <v>31374898</v>
      </c>
      <c r="I567" s="634">
        <v>488</v>
      </c>
      <c r="J567" s="634">
        <v>68336.489754098366</v>
      </c>
      <c r="K567" s="635">
        <f t="shared" si="217"/>
        <v>33348207.000000004</v>
      </c>
      <c r="L567" s="636">
        <v>116</v>
      </c>
      <c r="M567" s="636">
        <v>53034.879310344826</v>
      </c>
      <c r="N567" s="637">
        <f t="shared" si="218"/>
        <v>6152046</v>
      </c>
      <c r="O567" s="638">
        <v>100</v>
      </c>
      <c r="P567" s="638">
        <v>52683.58</v>
      </c>
      <c r="Q567" s="635">
        <f t="shared" si="219"/>
        <v>5268358</v>
      </c>
      <c r="R567" s="636">
        <v>21</v>
      </c>
      <c r="S567" s="636">
        <v>49530.190476190473</v>
      </c>
      <c r="T567" s="637">
        <f t="shared" si="220"/>
        <v>1040134</v>
      </c>
      <c r="U567" s="638">
        <v>23</v>
      </c>
      <c r="V567" s="638">
        <v>51677.478260869568</v>
      </c>
      <c r="W567" s="635">
        <f t="shared" si="221"/>
        <v>1188582</v>
      </c>
      <c r="X567" s="636">
        <v>1</v>
      </c>
      <c r="Y567" s="636">
        <v>34364</v>
      </c>
      <c r="Z567" s="637">
        <f t="shared" si="222"/>
        <v>34364</v>
      </c>
      <c r="AA567" s="638">
        <v>1</v>
      </c>
      <c r="AB567" s="638">
        <v>28876</v>
      </c>
      <c r="AC567" s="635">
        <f t="shared" si="223"/>
        <v>28876</v>
      </c>
      <c r="AD567" s="636"/>
      <c r="AE567" s="636"/>
      <c r="AF567" s="637">
        <f t="shared" si="241"/>
        <v>0</v>
      </c>
      <c r="AG567" s="638"/>
      <c r="AH567" s="638"/>
      <c r="AI567" s="635">
        <f t="shared" si="240"/>
        <v>0</v>
      </c>
      <c r="AJ567" s="636"/>
      <c r="AK567" s="636"/>
      <c r="AL567" s="637">
        <f t="shared" si="239"/>
        <v>0</v>
      </c>
      <c r="AM567" s="638"/>
      <c r="AN567" s="638"/>
      <c r="AO567" s="640">
        <f t="shared" si="226"/>
        <v>0</v>
      </c>
      <c r="AP567" s="636">
        <v>38</v>
      </c>
      <c r="AQ567" s="636">
        <v>73181.210526315786</v>
      </c>
      <c r="AR567" s="637">
        <f t="shared" si="227"/>
        <v>2275320.9251999999</v>
      </c>
      <c r="AS567" s="638">
        <v>43</v>
      </c>
      <c r="AT567" s="638">
        <v>72498.58139534884</v>
      </c>
      <c r="AU567" s="635">
        <f t="shared" si="228"/>
        <v>2550688.5898000002</v>
      </c>
      <c r="AV567" s="636">
        <v>19</v>
      </c>
      <c r="AW567" s="636">
        <v>58113.57894736842</v>
      </c>
      <c r="AX567" s="637">
        <f t="shared" si="229"/>
        <v>903422.0756000001</v>
      </c>
      <c r="AY567" s="638">
        <v>22</v>
      </c>
      <c r="AZ567" s="638">
        <v>58248.590909090912</v>
      </c>
      <c r="BA567" s="635">
        <f t="shared" si="230"/>
        <v>1048497.9358000001</v>
      </c>
      <c r="BB567" s="636">
        <v>6</v>
      </c>
      <c r="BC567" s="636">
        <v>55393.5</v>
      </c>
      <c r="BD567" s="637">
        <f t="shared" si="231"/>
        <v>271937.77020000003</v>
      </c>
      <c r="BE567" s="638">
        <v>2</v>
      </c>
      <c r="BF567" s="638">
        <v>56472</v>
      </c>
      <c r="BG567" s="635">
        <f t="shared" si="232"/>
        <v>92410.780800000008</v>
      </c>
      <c r="BH567" s="636">
        <v>3</v>
      </c>
      <c r="BI567" s="636">
        <v>56103</v>
      </c>
      <c r="BJ567" s="637">
        <f t="shared" si="233"/>
        <v>137710.42380000002</v>
      </c>
      <c r="BK567" s="638">
        <v>7</v>
      </c>
      <c r="BL567" s="638">
        <v>54765</v>
      </c>
      <c r="BM567" s="635">
        <f t="shared" si="234"/>
        <v>313661.06099999999</v>
      </c>
      <c r="BN567" s="636"/>
      <c r="BO567" s="636"/>
      <c r="BP567" s="637">
        <f t="shared" si="235"/>
        <v>0</v>
      </c>
      <c r="BQ567" s="638"/>
      <c r="BR567" s="638"/>
      <c r="BS567" s="635">
        <f t="shared" si="236"/>
        <v>0</v>
      </c>
      <c r="BT567" s="636"/>
      <c r="BU567" s="636"/>
      <c r="BV567" s="637">
        <f t="shared" si="237"/>
        <v>0</v>
      </c>
      <c r="BW567" s="638"/>
      <c r="BX567" s="638"/>
      <c r="BY567" s="641">
        <f t="shared" si="238"/>
        <v>0</v>
      </c>
    </row>
    <row r="568" spans="1:77" x14ac:dyDescent="0.2">
      <c r="A568" s="384" t="s">
        <v>77</v>
      </c>
      <c r="B568" s="348" t="s">
        <v>752</v>
      </c>
      <c r="C568" s="349"/>
      <c r="D568" s="351">
        <v>226578</v>
      </c>
      <c r="E568" s="260">
        <v>8</v>
      </c>
      <c r="F568" s="631"/>
      <c r="G568" s="632"/>
      <c r="H568" s="633">
        <f t="shared" si="216"/>
        <v>0</v>
      </c>
      <c r="I568" s="634"/>
      <c r="J568" s="634"/>
      <c r="K568" s="635">
        <f t="shared" si="217"/>
        <v>0</v>
      </c>
      <c r="L568" s="636"/>
      <c r="M568" s="636"/>
      <c r="N568" s="637">
        <f t="shared" si="218"/>
        <v>0</v>
      </c>
      <c r="O568" s="638"/>
      <c r="P568" s="638"/>
      <c r="Q568" s="635">
        <f t="shared" si="219"/>
        <v>0</v>
      </c>
      <c r="R568" s="636"/>
      <c r="S568" s="636"/>
      <c r="T568" s="637">
        <f t="shared" si="220"/>
        <v>0</v>
      </c>
      <c r="U568" s="638"/>
      <c r="V568" s="638"/>
      <c r="W568" s="635">
        <f t="shared" si="221"/>
        <v>0</v>
      </c>
      <c r="X568" s="636"/>
      <c r="Y568" s="636"/>
      <c r="Z568" s="637">
        <f t="shared" si="222"/>
        <v>0</v>
      </c>
      <c r="AA568" s="638"/>
      <c r="AB568" s="638"/>
      <c r="AC568" s="635">
        <f t="shared" si="223"/>
        <v>0</v>
      </c>
      <c r="AD568" s="636"/>
      <c r="AE568" s="636"/>
      <c r="AF568" s="637">
        <f t="shared" si="241"/>
        <v>0</v>
      </c>
      <c r="AG568" s="638"/>
      <c r="AH568" s="638"/>
      <c r="AI568" s="635">
        <f t="shared" si="240"/>
        <v>0</v>
      </c>
      <c r="AJ568" s="636">
        <v>190</v>
      </c>
      <c r="AK568" s="636">
        <v>62395.826315789476</v>
      </c>
      <c r="AL568" s="637">
        <f t="shared" si="239"/>
        <v>11855207</v>
      </c>
      <c r="AM568" s="638">
        <v>182</v>
      </c>
      <c r="AN568" s="638">
        <v>61164.241758241755</v>
      </c>
      <c r="AO568" s="640">
        <f t="shared" si="226"/>
        <v>11131892</v>
      </c>
      <c r="AP568" s="636"/>
      <c r="AQ568" s="636"/>
      <c r="AR568" s="637">
        <f t="shared" si="227"/>
        <v>0</v>
      </c>
      <c r="AS568" s="638"/>
      <c r="AT568" s="638"/>
      <c r="AU568" s="635">
        <f t="shared" si="228"/>
        <v>0</v>
      </c>
      <c r="AV568" s="636"/>
      <c r="AW568" s="636"/>
      <c r="AX568" s="637">
        <f t="shared" si="229"/>
        <v>0</v>
      </c>
      <c r="AY568" s="638"/>
      <c r="AZ568" s="638"/>
      <c r="BA568" s="635">
        <f t="shared" si="230"/>
        <v>0</v>
      </c>
      <c r="BB568" s="636"/>
      <c r="BC568" s="636"/>
      <c r="BD568" s="637">
        <f t="shared" si="231"/>
        <v>0</v>
      </c>
      <c r="BE568" s="638"/>
      <c r="BF568" s="638"/>
      <c r="BG568" s="635">
        <f t="shared" si="232"/>
        <v>0</v>
      </c>
      <c r="BH568" s="636"/>
      <c r="BI568" s="636"/>
      <c r="BJ568" s="637">
        <f t="shared" si="233"/>
        <v>0</v>
      </c>
      <c r="BK568" s="638"/>
      <c r="BL568" s="638"/>
      <c r="BM568" s="635">
        <f t="shared" si="234"/>
        <v>0</v>
      </c>
      <c r="BN568" s="636"/>
      <c r="BO568" s="636"/>
      <c r="BP568" s="637">
        <f t="shared" si="235"/>
        <v>0</v>
      </c>
      <c r="BQ568" s="638"/>
      <c r="BR568" s="638"/>
      <c r="BS568" s="635">
        <f t="shared" si="236"/>
        <v>0</v>
      </c>
      <c r="BT568" s="636">
        <v>20</v>
      </c>
      <c r="BU568" s="636">
        <v>59164.05</v>
      </c>
      <c r="BV568" s="637">
        <f t="shared" si="237"/>
        <v>968160.51420000009</v>
      </c>
      <c r="BW568" s="638">
        <v>21</v>
      </c>
      <c r="BX568" s="638">
        <v>59433.619047619046</v>
      </c>
      <c r="BY568" s="641">
        <f t="shared" si="238"/>
        <v>1021200.3292</v>
      </c>
    </row>
    <row r="569" spans="1:77" x14ac:dyDescent="0.2">
      <c r="A569" s="391" t="s">
        <v>77</v>
      </c>
      <c r="B569" s="394" t="s">
        <v>753</v>
      </c>
      <c r="C569" s="395"/>
      <c r="D569" s="392">
        <v>227146</v>
      </c>
      <c r="E569" s="393">
        <v>8</v>
      </c>
      <c r="F569" s="631">
        <v>38</v>
      </c>
      <c r="G569" s="632">
        <v>58045.684210526313</v>
      </c>
      <c r="H569" s="633">
        <f t="shared" si="216"/>
        <v>2205736</v>
      </c>
      <c r="I569" s="634">
        <v>36</v>
      </c>
      <c r="J569" s="634">
        <v>59399.333333333336</v>
      </c>
      <c r="K569" s="635">
        <f t="shared" si="217"/>
        <v>2138376</v>
      </c>
      <c r="L569" s="636">
        <v>44</v>
      </c>
      <c r="M569" s="636">
        <v>50585.545454545456</v>
      </c>
      <c r="N569" s="637">
        <f t="shared" si="218"/>
        <v>2225764</v>
      </c>
      <c r="O569" s="638">
        <v>46</v>
      </c>
      <c r="P569" s="638">
        <v>51304.608695652176</v>
      </c>
      <c r="Q569" s="635">
        <f t="shared" si="219"/>
        <v>2360012</v>
      </c>
      <c r="R569" s="636">
        <v>4</v>
      </c>
      <c r="S569" s="636">
        <v>49147</v>
      </c>
      <c r="T569" s="637">
        <f t="shared" si="220"/>
        <v>196588</v>
      </c>
      <c r="U569" s="638">
        <v>4</v>
      </c>
      <c r="V569" s="638">
        <v>50267.25</v>
      </c>
      <c r="W569" s="635">
        <f t="shared" si="221"/>
        <v>201069</v>
      </c>
      <c r="X569" s="636"/>
      <c r="Y569" s="636"/>
      <c r="Z569" s="637">
        <f t="shared" si="222"/>
        <v>0</v>
      </c>
      <c r="AA569" s="638"/>
      <c r="AB569" s="638"/>
      <c r="AC569" s="635">
        <f t="shared" si="223"/>
        <v>0</v>
      </c>
      <c r="AD569" s="636"/>
      <c r="AE569" s="636"/>
      <c r="AF569" s="637">
        <f t="shared" si="241"/>
        <v>0</v>
      </c>
      <c r="AG569" s="638"/>
      <c r="AH569" s="638"/>
      <c r="AI569" s="635">
        <f t="shared" si="240"/>
        <v>0</v>
      </c>
      <c r="AJ569" s="636"/>
      <c r="AK569" s="636"/>
      <c r="AL569" s="637">
        <f t="shared" si="239"/>
        <v>0</v>
      </c>
      <c r="AM569" s="638"/>
      <c r="AN569" s="638"/>
      <c r="AO569" s="640">
        <f t="shared" si="226"/>
        <v>0</v>
      </c>
      <c r="AP569" s="636">
        <v>2</v>
      </c>
      <c r="AQ569" s="636">
        <v>51143</v>
      </c>
      <c r="AR569" s="637">
        <f t="shared" si="227"/>
        <v>83690.405200000008</v>
      </c>
      <c r="AS569" s="638">
        <v>2</v>
      </c>
      <c r="AT569" s="638">
        <v>52086</v>
      </c>
      <c r="AU569" s="635">
        <f t="shared" si="228"/>
        <v>85233.530400000003</v>
      </c>
      <c r="AV569" s="636">
        <v>21</v>
      </c>
      <c r="AW569" s="636">
        <v>63836.476190476191</v>
      </c>
      <c r="AX569" s="637">
        <f t="shared" si="229"/>
        <v>1096851.1012000002</v>
      </c>
      <c r="AY569" s="638">
        <v>21</v>
      </c>
      <c r="AZ569" s="638">
        <v>66182.523809523816</v>
      </c>
      <c r="BA569" s="635">
        <f t="shared" si="230"/>
        <v>1137161.3606000002</v>
      </c>
      <c r="BB569" s="636">
        <v>13</v>
      </c>
      <c r="BC569" s="636">
        <v>58147.307692307695</v>
      </c>
      <c r="BD569" s="637">
        <f t="shared" si="231"/>
        <v>618489.65300000005</v>
      </c>
      <c r="BE569" s="638">
        <v>13</v>
      </c>
      <c r="BF569" s="638">
        <v>60121.461538461539</v>
      </c>
      <c r="BG569" s="635">
        <f t="shared" si="232"/>
        <v>639487.93780000007</v>
      </c>
      <c r="BH569" s="636"/>
      <c r="BI569" s="636"/>
      <c r="BJ569" s="637">
        <f t="shared" si="233"/>
        <v>0</v>
      </c>
      <c r="BK569" s="638"/>
      <c r="BL569" s="638"/>
      <c r="BM569" s="635">
        <f t="shared" si="234"/>
        <v>0</v>
      </c>
      <c r="BN569" s="636"/>
      <c r="BO569" s="636"/>
      <c r="BP569" s="637">
        <f t="shared" si="235"/>
        <v>0</v>
      </c>
      <c r="BQ569" s="638"/>
      <c r="BR569" s="638"/>
      <c r="BS569" s="635">
        <f t="shared" si="236"/>
        <v>0</v>
      </c>
      <c r="BT569" s="636"/>
      <c r="BU569" s="636"/>
      <c r="BV569" s="637">
        <f t="shared" si="237"/>
        <v>0</v>
      </c>
      <c r="BW569" s="638"/>
      <c r="BX569" s="638"/>
      <c r="BY569" s="641">
        <f t="shared" si="238"/>
        <v>0</v>
      </c>
    </row>
    <row r="570" spans="1:77" x14ac:dyDescent="0.2">
      <c r="A570" s="384" t="s">
        <v>77</v>
      </c>
      <c r="B570" s="389" t="s">
        <v>754</v>
      </c>
      <c r="C570" s="390"/>
      <c r="D570" s="351">
        <v>224110</v>
      </c>
      <c r="E570" s="260">
        <v>8</v>
      </c>
      <c r="F570" s="631"/>
      <c r="G570" s="632"/>
      <c r="H570" s="633">
        <f t="shared" si="216"/>
        <v>0</v>
      </c>
      <c r="I570" s="634"/>
      <c r="J570" s="634"/>
      <c r="K570" s="635">
        <f t="shared" si="217"/>
        <v>0</v>
      </c>
      <c r="L570" s="636"/>
      <c r="M570" s="636"/>
      <c r="N570" s="637">
        <f t="shared" si="218"/>
        <v>0</v>
      </c>
      <c r="O570" s="638"/>
      <c r="P570" s="638"/>
      <c r="Q570" s="635">
        <f t="shared" si="219"/>
        <v>0</v>
      </c>
      <c r="R570" s="636"/>
      <c r="S570" s="636"/>
      <c r="T570" s="637">
        <f t="shared" si="220"/>
        <v>0</v>
      </c>
      <c r="U570" s="638"/>
      <c r="V570" s="638"/>
      <c r="W570" s="635">
        <f t="shared" si="221"/>
        <v>0</v>
      </c>
      <c r="X570" s="636"/>
      <c r="Y570" s="636"/>
      <c r="Z570" s="637">
        <f t="shared" si="222"/>
        <v>0</v>
      </c>
      <c r="AA570" s="638"/>
      <c r="AB570" s="638"/>
      <c r="AC570" s="635">
        <f t="shared" si="223"/>
        <v>0</v>
      </c>
      <c r="AD570" s="636"/>
      <c r="AE570" s="636"/>
      <c r="AF570" s="637">
        <f t="shared" si="241"/>
        <v>0</v>
      </c>
      <c r="AG570" s="638"/>
      <c r="AH570" s="638"/>
      <c r="AI570" s="635">
        <f t="shared" si="240"/>
        <v>0</v>
      </c>
      <c r="AJ570" s="636">
        <v>89</v>
      </c>
      <c r="AK570" s="636">
        <v>47135.6404494382</v>
      </c>
      <c r="AL570" s="637">
        <f t="shared" si="239"/>
        <v>4195072</v>
      </c>
      <c r="AM570" s="638">
        <v>90</v>
      </c>
      <c r="AN570" s="638">
        <v>47202.444444444445</v>
      </c>
      <c r="AO570" s="640">
        <f t="shared" si="226"/>
        <v>4248220</v>
      </c>
      <c r="AP570" s="636"/>
      <c r="AQ570" s="636"/>
      <c r="AR570" s="637">
        <f t="shared" si="227"/>
        <v>0</v>
      </c>
      <c r="AS570" s="638"/>
      <c r="AT570" s="638"/>
      <c r="AU570" s="635">
        <f t="shared" si="228"/>
        <v>0</v>
      </c>
      <c r="AV570" s="636"/>
      <c r="AW570" s="636"/>
      <c r="AX570" s="637">
        <f t="shared" si="229"/>
        <v>0</v>
      </c>
      <c r="AY570" s="638"/>
      <c r="AZ570" s="638"/>
      <c r="BA570" s="635">
        <f t="shared" si="230"/>
        <v>0</v>
      </c>
      <c r="BB570" s="636"/>
      <c r="BC570" s="636"/>
      <c r="BD570" s="637">
        <f t="shared" si="231"/>
        <v>0</v>
      </c>
      <c r="BE570" s="638"/>
      <c r="BF570" s="638"/>
      <c r="BG570" s="635">
        <f t="shared" si="232"/>
        <v>0</v>
      </c>
      <c r="BH570" s="636"/>
      <c r="BI570" s="636"/>
      <c r="BJ570" s="637">
        <f t="shared" si="233"/>
        <v>0</v>
      </c>
      <c r="BK570" s="638"/>
      <c r="BL570" s="638"/>
      <c r="BM570" s="635">
        <f t="shared" si="234"/>
        <v>0</v>
      </c>
      <c r="BN570" s="636"/>
      <c r="BO570" s="636"/>
      <c r="BP570" s="637">
        <f t="shared" si="235"/>
        <v>0</v>
      </c>
      <c r="BQ570" s="638"/>
      <c r="BR570" s="638"/>
      <c r="BS570" s="635">
        <f t="shared" si="236"/>
        <v>0</v>
      </c>
      <c r="BT570" s="636">
        <v>33</v>
      </c>
      <c r="BU570" s="636">
        <v>55769.272727272728</v>
      </c>
      <c r="BV570" s="637">
        <f t="shared" si="237"/>
        <v>1505803.8252000001</v>
      </c>
      <c r="BW570" s="638">
        <v>35</v>
      </c>
      <c r="BX570" s="638">
        <v>56498.114285714284</v>
      </c>
      <c r="BY570" s="641">
        <f t="shared" si="238"/>
        <v>1617936.4988000002</v>
      </c>
    </row>
    <row r="571" spans="1:77" x14ac:dyDescent="0.2">
      <c r="A571" s="384" t="s">
        <v>77</v>
      </c>
      <c r="B571" s="348" t="s">
        <v>755</v>
      </c>
      <c r="C571" s="349"/>
      <c r="D571" s="351">
        <v>227191</v>
      </c>
      <c r="E571" s="260">
        <v>8</v>
      </c>
      <c r="F571" s="631"/>
      <c r="G571" s="632"/>
      <c r="H571" s="633">
        <f t="shared" si="216"/>
        <v>0</v>
      </c>
      <c r="I571" s="634"/>
      <c r="J571" s="634"/>
      <c r="K571" s="635">
        <f t="shared" si="217"/>
        <v>0</v>
      </c>
      <c r="L571" s="636"/>
      <c r="M571" s="636"/>
      <c r="N571" s="637">
        <f t="shared" si="218"/>
        <v>0</v>
      </c>
      <c r="O571" s="638"/>
      <c r="P571" s="638"/>
      <c r="Q571" s="635">
        <f t="shared" si="219"/>
        <v>0</v>
      </c>
      <c r="R571" s="636"/>
      <c r="S571" s="636"/>
      <c r="T571" s="637">
        <f t="shared" si="220"/>
        <v>0</v>
      </c>
      <c r="U571" s="638"/>
      <c r="V571" s="638"/>
      <c r="W571" s="635">
        <f t="shared" si="221"/>
        <v>0</v>
      </c>
      <c r="X571" s="636"/>
      <c r="Y571" s="636"/>
      <c r="Z571" s="637">
        <f t="shared" si="222"/>
        <v>0</v>
      </c>
      <c r="AA571" s="638"/>
      <c r="AB571" s="638"/>
      <c r="AC571" s="635">
        <f t="shared" si="223"/>
        <v>0</v>
      </c>
      <c r="AD571" s="636"/>
      <c r="AE571" s="636"/>
      <c r="AF571" s="637">
        <f t="shared" si="241"/>
        <v>0</v>
      </c>
      <c r="AG571" s="638"/>
      <c r="AH571" s="638"/>
      <c r="AI571" s="635">
        <f t="shared" si="240"/>
        <v>0</v>
      </c>
      <c r="AJ571" s="636">
        <v>104</v>
      </c>
      <c r="AK571" s="636">
        <v>58365.451923076922</v>
      </c>
      <c r="AL571" s="637">
        <f t="shared" si="239"/>
        <v>6070007</v>
      </c>
      <c r="AM571" s="638">
        <v>108</v>
      </c>
      <c r="AN571" s="638">
        <v>56896.092592592591</v>
      </c>
      <c r="AO571" s="640">
        <f t="shared" si="226"/>
        <v>6144778</v>
      </c>
      <c r="AP571" s="636"/>
      <c r="AQ571" s="636"/>
      <c r="AR571" s="637">
        <f t="shared" si="227"/>
        <v>0</v>
      </c>
      <c r="AS571" s="638"/>
      <c r="AT571" s="638"/>
      <c r="AU571" s="635">
        <f t="shared" si="228"/>
        <v>0</v>
      </c>
      <c r="AV571" s="636"/>
      <c r="AW571" s="636"/>
      <c r="AX571" s="637">
        <f t="shared" si="229"/>
        <v>0</v>
      </c>
      <c r="AY571" s="638"/>
      <c r="AZ571" s="638"/>
      <c r="BA571" s="635">
        <f t="shared" si="230"/>
        <v>0</v>
      </c>
      <c r="BB571" s="636"/>
      <c r="BC571" s="636"/>
      <c r="BD571" s="637">
        <f t="shared" si="231"/>
        <v>0</v>
      </c>
      <c r="BE571" s="638"/>
      <c r="BF571" s="638"/>
      <c r="BG571" s="635">
        <f t="shared" si="232"/>
        <v>0</v>
      </c>
      <c r="BH571" s="636"/>
      <c r="BI571" s="636"/>
      <c r="BJ571" s="637">
        <f t="shared" si="233"/>
        <v>0</v>
      </c>
      <c r="BK571" s="638"/>
      <c r="BL571" s="638"/>
      <c r="BM571" s="635">
        <f t="shared" si="234"/>
        <v>0</v>
      </c>
      <c r="BN571" s="636"/>
      <c r="BO571" s="636"/>
      <c r="BP571" s="637">
        <f t="shared" si="235"/>
        <v>0</v>
      </c>
      <c r="BQ571" s="638"/>
      <c r="BR571" s="638"/>
      <c r="BS571" s="635">
        <f t="shared" si="236"/>
        <v>0</v>
      </c>
      <c r="BT571" s="636"/>
      <c r="BU571" s="636"/>
      <c r="BV571" s="637">
        <f t="shared" si="237"/>
        <v>0</v>
      </c>
      <c r="BW571" s="638"/>
      <c r="BX571" s="638"/>
      <c r="BY571" s="641">
        <f t="shared" si="238"/>
        <v>0</v>
      </c>
    </row>
    <row r="572" spans="1:77" x14ac:dyDescent="0.2">
      <c r="A572" s="384" t="s">
        <v>77</v>
      </c>
      <c r="B572" s="348" t="s">
        <v>756</v>
      </c>
      <c r="C572" s="349"/>
      <c r="D572" s="351">
        <v>420398</v>
      </c>
      <c r="E572" s="260">
        <v>8</v>
      </c>
      <c r="F572" s="631">
        <v>5</v>
      </c>
      <c r="G572" s="632">
        <v>63532.800000000003</v>
      </c>
      <c r="H572" s="633">
        <f t="shared" si="216"/>
        <v>317664</v>
      </c>
      <c r="I572" s="634">
        <v>3</v>
      </c>
      <c r="J572" s="634">
        <v>67705.333333333328</v>
      </c>
      <c r="K572" s="635">
        <f t="shared" si="217"/>
        <v>203116</v>
      </c>
      <c r="L572" s="636">
        <v>18</v>
      </c>
      <c r="M572" s="636">
        <v>57034.777777777781</v>
      </c>
      <c r="N572" s="637">
        <f t="shared" si="218"/>
        <v>1026626</v>
      </c>
      <c r="O572" s="638">
        <v>27</v>
      </c>
      <c r="P572" s="638">
        <v>41560.185185185182</v>
      </c>
      <c r="Q572" s="635">
        <f t="shared" si="219"/>
        <v>1122125</v>
      </c>
      <c r="R572" s="636">
        <v>41</v>
      </c>
      <c r="S572" s="636">
        <v>50536.097560975613</v>
      </c>
      <c r="T572" s="637">
        <f t="shared" si="220"/>
        <v>2071980.0000000002</v>
      </c>
      <c r="U572" s="638">
        <v>43</v>
      </c>
      <c r="V572" s="638">
        <v>38584.953488372092</v>
      </c>
      <c r="W572" s="635">
        <f t="shared" si="221"/>
        <v>1659153</v>
      </c>
      <c r="X572" s="636">
        <v>69</v>
      </c>
      <c r="Y572" s="636">
        <v>42659.492753623192</v>
      </c>
      <c r="Z572" s="637">
        <f t="shared" si="222"/>
        <v>2943505</v>
      </c>
      <c r="AA572" s="638">
        <v>58</v>
      </c>
      <c r="AB572" s="638">
        <v>25334.896551724138</v>
      </c>
      <c r="AC572" s="635">
        <f t="shared" si="223"/>
        <v>1469424</v>
      </c>
      <c r="AD572" s="636"/>
      <c r="AE572" s="636"/>
      <c r="AF572" s="637">
        <f t="shared" si="241"/>
        <v>0</v>
      </c>
      <c r="AG572" s="638"/>
      <c r="AH572" s="638"/>
      <c r="AI572" s="635">
        <f t="shared" si="240"/>
        <v>0</v>
      </c>
      <c r="AJ572" s="636"/>
      <c r="AK572" s="636"/>
      <c r="AL572" s="637">
        <f t="shared" si="239"/>
        <v>0</v>
      </c>
      <c r="AM572" s="638"/>
      <c r="AN572" s="638"/>
      <c r="AO572" s="640">
        <f t="shared" si="226"/>
        <v>0</v>
      </c>
      <c r="AP572" s="636"/>
      <c r="AQ572" s="636"/>
      <c r="AR572" s="637">
        <f t="shared" si="227"/>
        <v>0</v>
      </c>
      <c r="AS572" s="638"/>
      <c r="AT572" s="638"/>
      <c r="AU572" s="635">
        <f t="shared" si="228"/>
        <v>0</v>
      </c>
      <c r="AV572" s="636">
        <v>3</v>
      </c>
      <c r="AW572" s="636">
        <v>67123</v>
      </c>
      <c r="AX572" s="637">
        <f t="shared" si="229"/>
        <v>164760.1158</v>
      </c>
      <c r="AY572" s="638">
        <v>2</v>
      </c>
      <c r="AZ572" s="638">
        <v>68426</v>
      </c>
      <c r="BA572" s="635">
        <f t="shared" si="230"/>
        <v>111972.3064</v>
      </c>
      <c r="BB572" s="636">
        <v>3</v>
      </c>
      <c r="BC572" s="636">
        <v>56605.666666666664</v>
      </c>
      <c r="BD572" s="637">
        <f t="shared" si="231"/>
        <v>138944.26940000002</v>
      </c>
      <c r="BE572" s="638">
        <v>5</v>
      </c>
      <c r="BF572" s="638">
        <v>59333.2</v>
      </c>
      <c r="BG572" s="635">
        <f t="shared" si="232"/>
        <v>242732.12120000002</v>
      </c>
      <c r="BH572" s="636">
        <v>2</v>
      </c>
      <c r="BI572" s="636">
        <v>51075.5</v>
      </c>
      <c r="BJ572" s="637">
        <f t="shared" si="233"/>
        <v>83579.948199999999</v>
      </c>
      <c r="BK572" s="638">
        <v>2</v>
      </c>
      <c r="BL572" s="638">
        <v>52114.5</v>
      </c>
      <c r="BM572" s="635">
        <f t="shared" si="234"/>
        <v>85280.16780000001</v>
      </c>
      <c r="BN572" s="636"/>
      <c r="BO572" s="636"/>
      <c r="BP572" s="637">
        <f t="shared" si="235"/>
        <v>0</v>
      </c>
      <c r="BQ572" s="638"/>
      <c r="BR572" s="638"/>
      <c r="BS572" s="635">
        <f t="shared" si="236"/>
        <v>0</v>
      </c>
      <c r="BT572" s="636"/>
      <c r="BU572" s="636"/>
      <c r="BV572" s="637">
        <f t="shared" si="237"/>
        <v>0</v>
      </c>
      <c r="BW572" s="638"/>
      <c r="BX572" s="638"/>
      <c r="BY572" s="641">
        <f t="shared" si="238"/>
        <v>0</v>
      </c>
    </row>
    <row r="573" spans="1:77" x14ac:dyDescent="0.2">
      <c r="A573" s="384" t="s">
        <v>77</v>
      </c>
      <c r="B573" s="348" t="s">
        <v>757</v>
      </c>
      <c r="C573" s="349"/>
      <c r="D573" s="351">
        <v>246354</v>
      </c>
      <c r="E573" s="260">
        <v>8</v>
      </c>
      <c r="F573" s="631">
        <v>21</v>
      </c>
      <c r="G573" s="632">
        <v>69461.952380952382</v>
      </c>
      <c r="H573" s="633">
        <f t="shared" si="216"/>
        <v>1458701</v>
      </c>
      <c r="I573" s="634">
        <v>19</v>
      </c>
      <c r="J573" s="634">
        <v>64644.526315789473</v>
      </c>
      <c r="K573" s="635">
        <f t="shared" si="217"/>
        <v>1228246</v>
      </c>
      <c r="L573" s="636">
        <v>27</v>
      </c>
      <c r="M573" s="636">
        <v>59905.222222222219</v>
      </c>
      <c r="N573" s="637">
        <f t="shared" si="218"/>
        <v>1617441</v>
      </c>
      <c r="O573" s="638">
        <v>23</v>
      </c>
      <c r="P573" s="638">
        <v>54286.478260869568</v>
      </c>
      <c r="Q573" s="635">
        <f t="shared" si="219"/>
        <v>1248589</v>
      </c>
      <c r="R573" s="636">
        <v>29</v>
      </c>
      <c r="S573" s="636">
        <v>55607.34482758621</v>
      </c>
      <c r="T573" s="637">
        <f t="shared" si="220"/>
        <v>1612613</v>
      </c>
      <c r="U573" s="638">
        <v>32</v>
      </c>
      <c r="V573" s="638">
        <v>49992.53125</v>
      </c>
      <c r="W573" s="635">
        <f t="shared" si="221"/>
        <v>1599761</v>
      </c>
      <c r="X573" s="636">
        <v>39</v>
      </c>
      <c r="Y573" s="636">
        <v>46469.307692307695</v>
      </c>
      <c r="Z573" s="637">
        <f t="shared" si="222"/>
        <v>1812303</v>
      </c>
      <c r="AA573" s="638">
        <v>32</v>
      </c>
      <c r="AB573" s="638">
        <v>34460.53125</v>
      </c>
      <c r="AC573" s="635">
        <f t="shared" si="223"/>
        <v>1102737</v>
      </c>
      <c r="AD573" s="636"/>
      <c r="AE573" s="636"/>
      <c r="AF573" s="637">
        <f t="shared" si="241"/>
        <v>0</v>
      </c>
      <c r="AG573" s="638"/>
      <c r="AH573" s="638"/>
      <c r="AI573" s="635">
        <f t="shared" si="240"/>
        <v>0</v>
      </c>
      <c r="AJ573" s="636"/>
      <c r="AK573" s="636"/>
      <c r="AL573" s="637">
        <f t="shared" si="239"/>
        <v>0</v>
      </c>
      <c r="AM573" s="638"/>
      <c r="AN573" s="638"/>
      <c r="AO573" s="640">
        <f t="shared" si="226"/>
        <v>0</v>
      </c>
      <c r="AP573" s="636">
        <v>1</v>
      </c>
      <c r="AQ573" s="636">
        <v>80989</v>
      </c>
      <c r="AR573" s="637">
        <f t="shared" si="227"/>
        <v>66265.199800000002</v>
      </c>
      <c r="AS573" s="638">
        <v>1</v>
      </c>
      <c r="AT573" s="638">
        <v>81717</v>
      </c>
      <c r="AU573" s="635">
        <f t="shared" si="228"/>
        <v>66860.849400000006</v>
      </c>
      <c r="AV573" s="636">
        <v>4</v>
      </c>
      <c r="AW573" s="636">
        <v>64966.5</v>
      </c>
      <c r="AX573" s="637">
        <f t="shared" si="229"/>
        <v>212622.36120000001</v>
      </c>
      <c r="AY573" s="638">
        <v>1</v>
      </c>
      <c r="AZ573" s="638">
        <v>70900</v>
      </c>
      <c r="BA573" s="635">
        <f t="shared" si="230"/>
        <v>58010.380000000005</v>
      </c>
      <c r="BB573" s="636">
        <v>1</v>
      </c>
      <c r="BC573" s="636">
        <v>57448</v>
      </c>
      <c r="BD573" s="637">
        <f t="shared" si="231"/>
        <v>47003.953600000001</v>
      </c>
      <c r="BE573" s="638">
        <v>4</v>
      </c>
      <c r="BF573" s="638">
        <v>58203.25</v>
      </c>
      <c r="BG573" s="635">
        <f t="shared" si="232"/>
        <v>190487.59660000002</v>
      </c>
      <c r="BH573" s="636">
        <v>2</v>
      </c>
      <c r="BI573" s="636">
        <v>49051</v>
      </c>
      <c r="BJ573" s="637">
        <f t="shared" si="233"/>
        <v>80267.056400000001</v>
      </c>
      <c r="BK573" s="638">
        <v>2</v>
      </c>
      <c r="BL573" s="638">
        <v>49051</v>
      </c>
      <c r="BM573" s="635">
        <f t="shared" si="234"/>
        <v>80267.056400000001</v>
      </c>
      <c r="BN573" s="636"/>
      <c r="BO573" s="636"/>
      <c r="BP573" s="637">
        <f t="shared" si="235"/>
        <v>0</v>
      </c>
      <c r="BQ573" s="638"/>
      <c r="BR573" s="638"/>
      <c r="BS573" s="635">
        <f t="shared" si="236"/>
        <v>0</v>
      </c>
      <c r="BT573" s="636"/>
      <c r="BU573" s="636"/>
      <c r="BV573" s="637">
        <f t="shared" si="237"/>
        <v>0</v>
      </c>
      <c r="BW573" s="638"/>
      <c r="BX573" s="638"/>
      <c r="BY573" s="641">
        <f t="shared" si="238"/>
        <v>0</v>
      </c>
    </row>
    <row r="574" spans="1:77" x14ac:dyDescent="0.2">
      <c r="A574" s="384" t="s">
        <v>77</v>
      </c>
      <c r="B574" s="348" t="s">
        <v>758</v>
      </c>
      <c r="C574" s="349"/>
      <c r="D574" s="351">
        <v>227766</v>
      </c>
      <c r="E574" s="260">
        <v>8</v>
      </c>
      <c r="F574" s="631"/>
      <c r="G574" s="632"/>
      <c r="H574" s="633">
        <f t="shared" si="216"/>
        <v>0</v>
      </c>
      <c r="I574" s="634"/>
      <c r="J574" s="634"/>
      <c r="K574" s="635">
        <f t="shared" si="217"/>
        <v>0</v>
      </c>
      <c r="L574" s="636"/>
      <c r="M574" s="636"/>
      <c r="N574" s="637">
        <f t="shared" si="218"/>
        <v>0</v>
      </c>
      <c r="O574" s="638"/>
      <c r="P574" s="638"/>
      <c r="Q574" s="635">
        <f t="shared" si="219"/>
        <v>0</v>
      </c>
      <c r="R574" s="636"/>
      <c r="S574" s="636"/>
      <c r="T574" s="637">
        <f t="shared" si="220"/>
        <v>0</v>
      </c>
      <c r="U574" s="638"/>
      <c r="V574" s="638"/>
      <c r="W574" s="635">
        <f t="shared" si="221"/>
        <v>0</v>
      </c>
      <c r="X574" s="636"/>
      <c r="Y574" s="636"/>
      <c r="Z574" s="637">
        <f t="shared" si="222"/>
        <v>0</v>
      </c>
      <c r="AA574" s="638"/>
      <c r="AB574" s="638"/>
      <c r="AC574" s="635">
        <f t="shared" si="223"/>
        <v>0</v>
      </c>
      <c r="AD574" s="636"/>
      <c r="AE574" s="636"/>
      <c r="AF574" s="637">
        <f t="shared" si="241"/>
        <v>0</v>
      </c>
      <c r="AG574" s="638"/>
      <c r="AH574" s="638"/>
      <c r="AI574" s="635">
        <f t="shared" si="240"/>
        <v>0</v>
      </c>
      <c r="AJ574" s="636">
        <v>156</v>
      </c>
      <c r="AK574" s="636">
        <v>62238.820512820515</v>
      </c>
      <c r="AL574" s="637">
        <f t="shared" si="239"/>
        <v>9709256</v>
      </c>
      <c r="AM574" s="638">
        <v>137</v>
      </c>
      <c r="AN574" s="638">
        <v>61341.496350364963</v>
      </c>
      <c r="AO574" s="640">
        <f t="shared" si="226"/>
        <v>8403785</v>
      </c>
      <c r="AP574" s="636"/>
      <c r="AQ574" s="636"/>
      <c r="AR574" s="637">
        <f t="shared" si="227"/>
        <v>0</v>
      </c>
      <c r="AS574" s="638"/>
      <c r="AT574" s="638"/>
      <c r="AU574" s="635">
        <f t="shared" si="228"/>
        <v>0</v>
      </c>
      <c r="AV574" s="636"/>
      <c r="AW574" s="636"/>
      <c r="AX574" s="637">
        <f t="shared" si="229"/>
        <v>0</v>
      </c>
      <c r="AY574" s="638"/>
      <c r="AZ574" s="638"/>
      <c r="BA574" s="635">
        <f t="shared" si="230"/>
        <v>0</v>
      </c>
      <c r="BB574" s="636"/>
      <c r="BC574" s="636"/>
      <c r="BD574" s="637">
        <f t="shared" si="231"/>
        <v>0</v>
      </c>
      <c r="BE574" s="638"/>
      <c r="BF574" s="638"/>
      <c r="BG574" s="635">
        <f t="shared" si="232"/>
        <v>0</v>
      </c>
      <c r="BH574" s="636"/>
      <c r="BI574" s="636"/>
      <c r="BJ574" s="637">
        <f t="shared" si="233"/>
        <v>0</v>
      </c>
      <c r="BK574" s="638"/>
      <c r="BL574" s="638"/>
      <c r="BM574" s="635">
        <f t="shared" si="234"/>
        <v>0</v>
      </c>
      <c r="BN574" s="636"/>
      <c r="BO574" s="636"/>
      <c r="BP574" s="637">
        <f t="shared" si="235"/>
        <v>0</v>
      </c>
      <c r="BQ574" s="638"/>
      <c r="BR574" s="638"/>
      <c r="BS574" s="635">
        <f t="shared" si="236"/>
        <v>0</v>
      </c>
      <c r="BT574" s="636"/>
      <c r="BU574" s="636"/>
      <c r="BV574" s="637">
        <f t="shared" si="237"/>
        <v>0</v>
      </c>
      <c r="BW574" s="638"/>
      <c r="BX574" s="638"/>
      <c r="BY574" s="641">
        <f t="shared" si="238"/>
        <v>0</v>
      </c>
    </row>
    <row r="575" spans="1:77" x14ac:dyDescent="0.2">
      <c r="A575" s="384" t="s">
        <v>77</v>
      </c>
      <c r="B575" s="348" t="s">
        <v>759</v>
      </c>
      <c r="C575" s="349"/>
      <c r="D575" s="351">
        <v>227924</v>
      </c>
      <c r="E575" s="260">
        <v>8</v>
      </c>
      <c r="F575" s="650">
        <v>117</v>
      </c>
      <c r="G575" s="632">
        <v>71633.179487179485</v>
      </c>
      <c r="H575" s="633">
        <f t="shared" si="216"/>
        <v>8381082</v>
      </c>
      <c r="I575" s="634">
        <v>107</v>
      </c>
      <c r="J575" s="634">
        <v>46430.88785046729</v>
      </c>
      <c r="K575" s="635">
        <f t="shared" si="217"/>
        <v>4968105</v>
      </c>
      <c r="L575" s="649">
        <v>70</v>
      </c>
      <c r="M575" s="636">
        <v>59512.1</v>
      </c>
      <c r="N575" s="637">
        <f t="shared" si="218"/>
        <v>4165847</v>
      </c>
      <c r="O575" s="638">
        <v>67</v>
      </c>
      <c r="P575" s="638">
        <v>48533.955223880599</v>
      </c>
      <c r="Q575" s="635">
        <f t="shared" si="219"/>
        <v>3251775</v>
      </c>
      <c r="R575" s="649">
        <v>99</v>
      </c>
      <c r="S575" s="636">
        <v>54233.949494949498</v>
      </c>
      <c r="T575" s="637">
        <f t="shared" si="220"/>
        <v>5369161</v>
      </c>
      <c r="U575" s="638">
        <v>96</v>
      </c>
      <c r="V575" s="638">
        <v>36568.708333333336</v>
      </c>
      <c r="W575" s="635">
        <f t="shared" si="221"/>
        <v>3510596</v>
      </c>
      <c r="X575" s="649">
        <v>92</v>
      </c>
      <c r="Y575" s="636">
        <v>45937.684782608696</v>
      </c>
      <c r="Z575" s="637">
        <f t="shared" si="222"/>
        <v>4226267</v>
      </c>
      <c r="AA575" s="638">
        <v>67</v>
      </c>
      <c r="AB575" s="638">
        <v>32766.567164179105</v>
      </c>
      <c r="AC575" s="635">
        <f t="shared" si="223"/>
        <v>2195360</v>
      </c>
      <c r="AD575" s="636"/>
      <c r="AE575" s="636"/>
      <c r="AF575" s="637">
        <f t="shared" si="241"/>
        <v>0</v>
      </c>
      <c r="AG575" s="638"/>
      <c r="AH575" s="638"/>
      <c r="AI575" s="635">
        <f t="shared" si="240"/>
        <v>0</v>
      </c>
      <c r="AJ575" s="636"/>
      <c r="AK575" s="636"/>
      <c r="AL575" s="637">
        <f t="shared" si="239"/>
        <v>0</v>
      </c>
      <c r="AM575" s="638"/>
      <c r="AN575" s="638"/>
      <c r="AO575" s="640">
        <f t="shared" si="226"/>
        <v>0</v>
      </c>
      <c r="AP575" s="649">
        <v>14</v>
      </c>
      <c r="AQ575" s="636">
        <v>83706.21428571429</v>
      </c>
      <c r="AR575" s="637">
        <f t="shared" si="227"/>
        <v>958837.94339999999</v>
      </c>
      <c r="AS575" s="638">
        <v>13</v>
      </c>
      <c r="AT575" s="638">
        <v>76609.38461538461</v>
      </c>
      <c r="AU575" s="635">
        <f t="shared" si="228"/>
        <v>814863.38039999991</v>
      </c>
      <c r="AV575" s="649">
        <v>6</v>
      </c>
      <c r="AW575" s="636">
        <v>69601.5</v>
      </c>
      <c r="AX575" s="637">
        <f t="shared" si="229"/>
        <v>341687.6838</v>
      </c>
      <c r="AY575" s="638">
        <v>7</v>
      </c>
      <c r="AZ575" s="638">
        <v>68760.71428571429</v>
      </c>
      <c r="BA575" s="635">
        <f t="shared" si="230"/>
        <v>393820.11499999999</v>
      </c>
      <c r="BB575" s="649">
        <v>7</v>
      </c>
      <c r="BC575" s="636">
        <v>66053</v>
      </c>
      <c r="BD575" s="637">
        <f t="shared" si="231"/>
        <v>378311.9522</v>
      </c>
      <c r="BE575" s="638">
        <v>6</v>
      </c>
      <c r="BF575" s="638">
        <v>55670.5</v>
      </c>
      <c r="BG575" s="635">
        <f t="shared" si="232"/>
        <v>273297.61859999999</v>
      </c>
      <c r="BH575" s="649">
        <v>6</v>
      </c>
      <c r="BI575" s="636">
        <v>55236.333333333336</v>
      </c>
      <c r="BJ575" s="637">
        <f t="shared" si="233"/>
        <v>271166.20760000002</v>
      </c>
      <c r="BK575" s="638">
        <v>5</v>
      </c>
      <c r="BL575" s="638">
        <v>55137.4</v>
      </c>
      <c r="BM575" s="635">
        <f t="shared" si="234"/>
        <v>225567.10340000002</v>
      </c>
      <c r="BN575" s="636"/>
      <c r="BO575" s="636"/>
      <c r="BP575" s="637">
        <f t="shared" si="235"/>
        <v>0</v>
      </c>
      <c r="BQ575" s="638"/>
      <c r="BR575" s="638"/>
      <c r="BS575" s="635">
        <f t="shared" si="236"/>
        <v>0</v>
      </c>
      <c r="BT575" s="636"/>
      <c r="BU575" s="636"/>
      <c r="BV575" s="637">
        <f t="shared" si="237"/>
        <v>0</v>
      </c>
      <c r="BW575" s="638"/>
      <c r="BX575" s="638"/>
      <c r="BY575" s="641">
        <f t="shared" si="238"/>
        <v>0</v>
      </c>
    </row>
    <row r="576" spans="1:77" x14ac:dyDescent="0.2">
      <c r="A576" s="384" t="s">
        <v>77</v>
      </c>
      <c r="B576" s="348" t="s">
        <v>760</v>
      </c>
      <c r="C576" s="349"/>
      <c r="D576" s="351">
        <v>227979</v>
      </c>
      <c r="E576" s="260">
        <v>8</v>
      </c>
      <c r="F576" s="631"/>
      <c r="G576" s="632"/>
      <c r="H576" s="633">
        <f t="shared" si="216"/>
        <v>0</v>
      </c>
      <c r="I576" s="634"/>
      <c r="J576" s="634"/>
      <c r="K576" s="635">
        <f t="shared" si="217"/>
        <v>0</v>
      </c>
      <c r="L576" s="636"/>
      <c r="M576" s="636"/>
      <c r="N576" s="637">
        <f t="shared" si="218"/>
        <v>0</v>
      </c>
      <c r="O576" s="638"/>
      <c r="P576" s="638"/>
      <c r="Q576" s="635">
        <f t="shared" si="219"/>
        <v>0</v>
      </c>
      <c r="R576" s="636"/>
      <c r="S576" s="636"/>
      <c r="T576" s="637">
        <f t="shared" si="220"/>
        <v>0</v>
      </c>
      <c r="U576" s="638"/>
      <c r="V576" s="638"/>
      <c r="W576" s="635">
        <f t="shared" si="221"/>
        <v>0</v>
      </c>
      <c r="X576" s="636"/>
      <c r="Y576" s="636"/>
      <c r="Z576" s="637">
        <f t="shared" si="222"/>
        <v>0</v>
      </c>
      <c r="AA576" s="638"/>
      <c r="AB576" s="638"/>
      <c r="AC576" s="635">
        <f t="shared" si="223"/>
        <v>0</v>
      </c>
      <c r="AD576" s="636"/>
      <c r="AE576" s="636"/>
      <c r="AF576" s="637">
        <f t="shared" si="241"/>
        <v>0</v>
      </c>
      <c r="AG576" s="638"/>
      <c r="AH576" s="638"/>
      <c r="AI576" s="635">
        <f t="shared" si="240"/>
        <v>0</v>
      </c>
      <c r="AJ576" s="636">
        <v>405</v>
      </c>
      <c r="AK576" s="636">
        <v>57853.002469135805</v>
      </c>
      <c r="AL576" s="637">
        <f t="shared" si="239"/>
        <v>23430466</v>
      </c>
      <c r="AM576" s="638">
        <v>374</v>
      </c>
      <c r="AN576" s="638">
        <v>56419.756684491978</v>
      </c>
      <c r="AO576" s="640">
        <f t="shared" si="226"/>
        <v>21100989</v>
      </c>
      <c r="AP576" s="636"/>
      <c r="AQ576" s="636"/>
      <c r="AR576" s="637">
        <f t="shared" si="227"/>
        <v>0</v>
      </c>
      <c r="AS576" s="638"/>
      <c r="AT576" s="638"/>
      <c r="AU576" s="635">
        <f t="shared" si="228"/>
        <v>0</v>
      </c>
      <c r="AV576" s="636"/>
      <c r="AW576" s="636"/>
      <c r="AX576" s="637">
        <f t="shared" si="229"/>
        <v>0</v>
      </c>
      <c r="AY576" s="638"/>
      <c r="AZ576" s="638"/>
      <c r="BA576" s="635">
        <f t="shared" si="230"/>
        <v>0</v>
      </c>
      <c r="BB576" s="636"/>
      <c r="BC576" s="636"/>
      <c r="BD576" s="637">
        <f t="shared" si="231"/>
        <v>0</v>
      </c>
      <c r="BE576" s="638"/>
      <c r="BF576" s="638"/>
      <c r="BG576" s="635">
        <f t="shared" si="232"/>
        <v>0</v>
      </c>
      <c r="BH576" s="636"/>
      <c r="BI576" s="636"/>
      <c r="BJ576" s="637">
        <f t="shared" si="233"/>
        <v>0</v>
      </c>
      <c r="BK576" s="638"/>
      <c r="BL576" s="638"/>
      <c r="BM576" s="635">
        <f t="shared" si="234"/>
        <v>0</v>
      </c>
      <c r="BN576" s="636"/>
      <c r="BO576" s="636"/>
      <c r="BP576" s="637">
        <f t="shared" si="235"/>
        <v>0</v>
      </c>
      <c r="BQ576" s="638"/>
      <c r="BR576" s="638"/>
      <c r="BS576" s="635">
        <f t="shared" si="236"/>
        <v>0</v>
      </c>
      <c r="BT576" s="636">
        <v>107</v>
      </c>
      <c r="BU576" s="636">
        <v>76774.654205607483</v>
      </c>
      <c r="BV576" s="637">
        <f t="shared" si="237"/>
        <v>6721421.3616000013</v>
      </c>
      <c r="BW576" s="638">
        <v>92</v>
      </c>
      <c r="BX576" s="638">
        <v>75723.184782608689</v>
      </c>
      <c r="BY576" s="641">
        <f t="shared" si="238"/>
        <v>5700017.3005999997</v>
      </c>
    </row>
    <row r="577" spans="1:77" x14ac:dyDescent="0.2">
      <c r="A577" s="384" t="s">
        <v>77</v>
      </c>
      <c r="B577" s="348" t="s">
        <v>761</v>
      </c>
      <c r="C577" s="349"/>
      <c r="D577" s="351">
        <v>228158</v>
      </c>
      <c r="E577" s="260">
        <v>8</v>
      </c>
      <c r="F577" s="631">
        <v>48</v>
      </c>
      <c r="G577" s="632">
        <v>59394.875</v>
      </c>
      <c r="H577" s="633">
        <f t="shared" si="216"/>
        <v>2850954</v>
      </c>
      <c r="I577" s="634">
        <v>59</v>
      </c>
      <c r="J577" s="634">
        <v>57052.610169491527</v>
      </c>
      <c r="K577" s="635">
        <f t="shared" si="217"/>
        <v>3366104</v>
      </c>
      <c r="L577" s="636">
        <v>41</v>
      </c>
      <c r="M577" s="636">
        <v>50850.756097560974</v>
      </c>
      <c r="N577" s="637">
        <f t="shared" si="218"/>
        <v>2084881</v>
      </c>
      <c r="O577" s="638">
        <v>39</v>
      </c>
      <c r="P577" s="638">
        <v>48777.538461538461</v>
      </c>
      <c r="Q577" s="635">
        <f t="shared" si="219"/>
        <v>1902324</v>
      </c>
      <c r="R577" s="636">
        <v>96</v>
      </c>
      <c r="S577" s="636">
        <v>44806.1875</v>
      </c>
      <c r="T577" s="637">
        <f t="shared" si="220"/>
        <v>4301394</v>
      </c>
      <c r="U577" s="638">
        <v>92</v>
      </c>
      <c r="V577" s="638">
        <v>44072.543478260872</v>
      </c>
      <c r="W577" s="635">
        <f t="shared" si="221"/>
        <v>4054674</v>
      </c>
      <c r="X577" s="636">
        <v>62</v>
      </c>
      <c r="Y577" s="636">
        <v>39915.467741935485</v>
      </c>
      <c r="Z577" s="637">
        <f t="shared" si="222"/>
        <v>2474759</v>
      </c>
      <c r="AA577" s="638">
        <v>63</v>
      </c>
      <c r="AB577" s="638">
        <v>39745.444444444445</v>
      </c>
      <c r="AC577" s="635">
        <f t="shared" si="223"/>
        <v>2503963</v>
      </c>
      <c r="AD577" s="636"/>
      <c r="AE577" s="636"/>
      <c r="AF577" s="637">
        <f t="shared" si="241"/>
        <v>0</v>
      </c>
      <c r="AG577" s="638"/>
      <c r="AH577" s="638"/>
      <c r="AI577" s="635">
        <f t="shared" si="240"/>
        <v>0</v>
      </c>
      <c r="AJ577" s="636"/>
      <c r="AK577" s="636"/>
      <c r="AL577" s="637">
        <f t="shared" si="239"/>
        <v>0</v>
      </c>
      <c r="AM577" s="638"/>
      <c r="AN577" s="638"/>
      <c r="AO577" s="640">
        <f t="shared" si="226"/>
        <v>0</v>
      </c>
      <c r="AP577" s="636"/>
      <c r="AQ577" s="636"/>
      <c r="AR577" s="637">
        <f t="shared" si="227"/>
        <v>0</v>
      </c>
      <c r="AS577" s="638"/>
      <c r="AT577" s="638"/>
      <c r="AU577" s="635">
        <f t="shared" si="228"/>
        <v>0</v>
      </c>
      <c r="AV577" s="636">
        <v>1</v>
      </c>
      <c r="AW577" s="636">
        <v>76863</v>
      </c>
      <c r="AX577" s="637">
        <f t="shared" si="229"/>
        <v>62889.306600000004</v>
      </c>
      <c r="AY577" s="638">
        <v>1</v>
      </c>
      <c r="AZ577" s="638">
        <v>76863</v>
      </c>
      <c r="BA577" s="635">
        <f t="shared" si="230"/>
        <v>62889.306600000004</v>
      </c>
      <c r="BB577" s="636">
        <v>2</v>
      </c>
      <c r="BC577" s="636">
        <v>55492</v>
      </c>
      <c r="BD577" s="637">
        <f t="shared" si="231"/>
        <v>90807.108800000002</v>
      </c>
      <c r="BE577" s="638">
        <v>2</v>
      </c>
      <c r="BF577" s="638">
        <v>55492</v>
      </c>
      <c r="BG577" s="635">
        <f t="shared" si="232"/>
        <v>90807.108800000002</v>
      </c>
      <c r="BH577" s="636">
        <v>29</v>
      </c>
      <c r="BI577" s="636">
        <v>47991.448275862072</v>
      </c>
      <c r="BJ577" s="637">
        <f t="shared" si="233"/>
        <v>1138731.4864000001</v>
      </c>
      <c r="BK577" s="638">
        <v>28</v>
      </c>
      <c r="BL577" s="638">
        <v>51139.5</v>
      </c>
      <c r="BM577" s="635">
        <f t="shared" si="234"/>
        <v>1171585.4892</v>
      </c>
      <c r="BN577" s="636"/>
      <c r="BO577" s="636"/>
      <c r="BP577" s="637">
        <f t="shared" si="235"/>
        <v>0</v>
      </c>
      <c r="BQ577" s="638"/>
      <c r="BR577" s="638"/>
      <c r="BS577" s="635">
        <f t="shared" si="236"/>
        <v>0</v>
      </c>
      <c r="BT577" s="636"/>
      <c r="BU577" s="636"/>
      <c r="BV577" s="637">
        <f t="shared" si="237"/>
        <v>0</v>
      </c>
      <c r="BW577" s="638"/>
      <c r="BX577" s="638"/>
      <c r="BY577" s="641">
        <f t="shared" si="238"/>
        <v>0</v>
      </c>
    </row>
    <row r="578" spans="1:77" x14ac:dyDescent="0.2">
      <c r="A578" s="384" t="s">
        <v>77</v>
      </c>
      <c r="B578" s="348" t="s">
        <v>762</v>
      </c>
      <c r="C578" s="349"/>
      <c r="D578" s="351">
        <v>227854</v>
      </c>
      <c r="E578" s="260">
        <v>8</v>
      </c>
      <c r="F578" s="631">
        <v>22</v>
      </c>
      <c r="G578" s="632">
        <v>67509.681818181823</v>
      </c>
      <c r="H578" s="633">
        <f t="shared" si="216"/>
        <v>1485213</v>
      </c>
      <c r="I578" s="634">
        <v>19</v>
      </c>
      <c r="J578" s="634">
        <v>63465.684210526313</v>
      </c>
      <c r="K578" s="635">
        <f t="shared" si="217"/>
        <v>1205848</v>
      </c>
      <c r="L578" s="636">
        <v>25</v>
      </c>
      <c r="M578" s="636">
        <v>61096.160000000003</v>
      </c>
      <c r="N578" s="637">
        <f t="shared" si="218"/>
        <v>1527404</v>
      </c>
      <c r="O578" s="638">
        <v>19</v>
      </c>
      <c r="P578" s="638">
        <v>54608.42105263158</v>
      </c>
      <c r="Q578" s="635">
        <f t="shared" si="219"/>
        <v>1037560</v>
      </c>
      <c r="R578" s="636">
        <v>47</v>
      </c>
      <c r="S578" s="636">
        <v>53568.51063829787</v>
      </c>
      <c r="T578" s="637">
        <f t="shared" si="220"/>
        <v>2517720</v>
      </c>
      <c r="U578" s="638">
        <v>33</v>
      </c>
      <c r="V578" s="638">
        <v>46957.060606060608</v>
      </c>
      <c r="W578" s="635">
        <f t="shared" si="221"/>
        <v>1549583</v>
      </c>
      <c r="X578" s="636">
        <v>93</v>
      </c>
      <c r="Y578" s="636">
        <v>45310.741935483871</v>
      </c>
      <c r="Z578" s="637">
        <f t="shared" si="222"/>
        <v>4213899</v>
      </c>
      <c r="AA578" s="638">
        <v>82</v>
      </c>
      <c r="AB578" s="638">
        <v>31904.365853658535</v>
      </c>
      <c r="AC578" s="635">
        <f t="shared" si="223"/>
        <v>2616158</v>
      </c>
      <c r="AD578" s="636"/>
      <c r="AE578" s="636"/>
      <c r="AF578" s="637">
        <f t="shared" si="241"/>
        <v>0</v>
      </c>
      <c r="AG578" s="638"/>
      <c r="AH578" s="638"/>
      <c r="AI578" s="635">
        <f t="shared" si="240"/>
        <v>0</v>
      </c>
      <c r="AJ578" s="636"/>
      <c r="AK578" s="636"/>
      <c r="AL578" s="637">
        <f t="shared" si="239"/>
        <v>0</v>
      </c>
      <c r="AM578" s="638"/>
      <c r="AN578" s="638"/>
      <c r="AO578" s="640">
        <f t="shared" si="226"/>
        <v>0</v>
      </c>
      <c r="AP578" s="636">
        <v>3</v>
      </c>
      <c r="AQ578" s="636">
        <v>84923</v>
      </c>
      <c r="AR578" s="637">
        <f t="shared" si="227"/>
        <v>208451.9958</v>
      </c>
      <c r="AS578" s="638">
        <v>3</v>
      </c>
      <c r="AT578" s="638">
        <v>84923</v>
      </c>
      <c r="AU578" s="635">
        <f t="shared" si="228"/>
        <v>208451.9958</v>
      </c>
      <c r="AV578" s="636">
        <v>3</v>
      </c>
      <c r="AW578" s="636">
        <v>64317</v>
      </c>
      <c r="AX578" s="637">
        <f t="shared" si="229"/>
        <v>157872.50820000001</v>
      </c>
      <c r="AY578" s="638">
        <v>2</v>
      </c>
      <c r="AZ578" s="638">
        <v>75554</v>
      </c>
      <c r="BA578" s="635">
        <f t="shared" si="230"/>
        <v>123636.5656</v>
      </c>
      <c r="BB578" s="636">
        <v>7</v>
      </c>
      <c r="BC578" s="636">
        <v>65784.142857142855</v>
      </c>
      <c r="BD578" s="637">
        <f t="shared" si="231"/>
        <v>376772.09980000003</v>
      </c>
      <c r="BE578" s="638">
        <v>13</v>
      </c>
      <c r="BF578" s="638">
        <v>62707.538461538461</v>
      </c>
      <c r="BG578" s="635">
        <f t="shared" si="232"/>
        <v>666995.00360000005</v>
      </c>
      <c r="BH578" s="636">
        <v>2</v>
      </c>
      <c r="BI578" s="636">
        <v>49672.5</v>
      </c>
      <c r="BJ578" s="637">
        <f t="shared" si="233"/>
        <v>81284.078999999998</v>
      </c>
      <c r="BK578" s="638">
        <v>19</v>
      </c>
      <c r="BL578" s="638">
        <v>51514.894736842107</v>
      </c>
      <c r="BM578" s="635">
        <f t="shared" si="234"/>
        <v>800840.25060000003</v>
      </c>
      <c r="BN578" s="636"/>
      <c r="BO578" s="636"/>
      <c r="BP578" s="637">
        <f t="shared" si="235"/>
        <v>0</v>
      </c>
      <c r="BQ578" s="638"/>
      <c r="BR578" s="638"/>
      <c r="BS578" s="635">
        <f t="shared" si="236"/>
        <v>0</v>
      </c>
      <c r="BT578" s="636"/>
      <c r="BU578" s="636"/>
      <c r="BV578" s="637">
        <f t="shared" si="237"/>
        <v>0</v>
      </c>
      <c r="BW578" s="638"/>
      <c r="BX578" s="638"/>
      <c r="BY578" s="641">
        <f t="shared" si="238"/>
        <v>0</v>
      </c>
    </row>
    <row r="579" spans="1:77" x14ac:dyDescent="0.2">
      <c r="A579" s="384" t="s">
        <v>77</v>
      </c>
      <c r="B579" s="348" t="s">
        <v>763</v>
      </c>
      <c r="C579" s="349"/>
      <c r="D579" s="351">
        <v>228547</v>
      </c>
      <c r="E579" s="260">
        <v>8</v>
      </c>
      <c r="F579" s="631">
        <v>74</v>
      </c>
      <c r="G579" s="632">
        <v>68418.851351351346</v>
      </c>
      <c r="H579" s="633">
        <f t="shared" si="216"/>
        <v>5062995</v>
      </c>
      <c r="I579" s="634">
        <v>77</v>
      </c>
      <c r="J579" s="634">
        <v>67464.870129870134</v>
      </c>
      <c r="K579" s="635">
        <f t="shared" si="217"/>
        <v>5194795</v>
      </c>
      <c r="L579" s="636">
        <v>148</v>
      </c>
      <c r="M579" s="636">
        <v>62588.385135135133</v>
      </c>
      <c r="N579" s="637">
        <f t="shared" si="218"/>
        <v>9263081</v>
      </c>
      <c r="O579" s="638">
        <v>133</v>
      </c>
      <c r="P579" s="638">
        <v>61036.368421052633</v>
      </c>
      <c r="Q579" s="635">
        <f t="shared" si="219"/>
        <v>8117837</v>
      </c>
      <c r="R579" s="636">
        <v>161</v>
      </c>
      <c r="S579" s="636">
        <v>61481.881987577639</v>
      </c>
      <c r="T579" s="637">
        <f t="shared" si="220"/>
        <v>9898583</v>
      </c>
      <c r="U579" s="638">
        <v>158</v>
      </c>
      <c r="V579" s="638">
        <v>60845.9746835443</v>
      </c>
      <c r="W579" s="635">
        <f t="shared" si="221"/>
        <v>9613664</v>
      </c>
      <c r="X579" s="636">
        <v>252</v>
      </c>
      <c r="Y579" s="636">
        <v>53842.920634920636</v>
      </c>
      <c r="Z579" s="637">
        <f t="shared" si="222"/>
        <v>13568416</v>
      </c>
      <c r="AA579" s="638">
        <v>255</v>
      </c>
      <c r="AB579" s="638">
        <v>53786.784313725489</v>
      </c>
      <c r="AC579" s="635">
        <f t="shared" si="223"/>
        <v>13715630</v>
      </c>
      <c r="AD579" s="636"/>
      <c r="AE579" s="636"/>
      <c r="AF579" s="637">
        <f t="shared" si="241"/>
        <v>0</v>
      </c>
      <c r="AG579" s="638"/>
      <c r="AH579" s="638"/>
      <c r="AI579" s="635">
        <f t="shared" si="240"/>
        <v>0</v>
      </c>
      <c r="AJ579" s="636"/>
      <c r="AK579" s="636"/>
      <c r="AL579" s="637">
        <f t="shared" si="239"/>
        <v>0</v>
      </c>
      <c r="AM579" s="638"/>
      <c r="AN579" s="638"/>
      <c r="AO579" s="640">
        <f t="shared" si="226"/>
        <v>0</v>
      </c>
      <c r="AP579" s="636"/>
      <c r="AQ579" s="636"/>
      <c r="AR579" s="637">
        <f t="shared" si="227"/>
        <v>0</v>
      </c>
      <c r="AS579" s="638"/>
      <c r="AT579" s="638"/>
      <c r="AU579" s="635">
        <f t="shared" si="228"/>
        <v>0</v>
      </c>
      <c r="AV579" s="636">
        <v>9</v>
      </c>
      <c r="AW579" s="636">
        <v>90502.888888888891</v>
      </c>
      <c r="AX579" s="637">
        <f t="shared" si="229"/>
        <v>666445.17320000008</v>
      </c>
      <c r="AY579" s="638">
        <v>10</v>
      </c>
      <c r="AZ579" s="638">
        <v>88063.7</v>
      </c>
      <c r="BA579" s="635">
        <f t="shared" si="230"/>
        <v>720537.19339999999</v>
      </c>
      <c r="BB579" s="636">
        <v>8</v>
      </c>
      <c r="BC579" s="636">
        <v>51624.5</v>
      </c>
      <c r="BD579" s="637">
        <f t="shared" si="231"/>
        <v>337913.3272</v>
      </c>
      <c r="BE579" s="638">
        <v>9</v>
      </c>
      <c r="BF579" s="638">
        <v>69030.555555555562</v>
      </c>
      <c r="BG579" s="635">
        <f t="shared" si="232"/>
        <v>508327.20500000002</v>
      </c>
      <c r="BH579" s="636">
        <v>2</v>
      </c>
      <c r="BI579" s="636">
        <v>67156</v>
      </c>
      <c r="BJ579" s="637">
        <f t="shared" si="233"/>
        <v>109894.0784</v>
      </c>
      <c r="BK579" s="638">
        <v>2</v>
      </c>
      <c r="BL579" s="638">
        <v>67156</v>
      </c>
      <c r="BM579" s="635">
        <f t="shared" si="234"/>
        <v>109894.0784</v>
      </c>
      <c r="BN579" s="636"/>
      <c r="BO579" s="636"/>
      <c r="BP579" s="637">
        <f t="shared" si="235"/>
        <v>0</v>
      </c>
      <c r="BQ579" s="638"/>
      <c r="BR579" s="638"/>
      <c r="BS579" s="635">
        <f t="shared" si="236"/>
        <v>0</v>
      </c>
      <c r="BT579" s="636"/>
      <c r="BU579" s="636"/>
      <c r="BV579" s="637">
        <f t="shared" si="237"/>
        <v>0</v>
      </c>
      <c r="BW579" s="638"/>
      <c r="BX579" s="638"/>
      <c r="BY579" s="641">
        <f t="shared" si="238"/>
        <v>0</v>
      </c>
    </row>
    <row r="580" spans="1:77" x14ac:dyDescent="0.2">
      <c r="A580" s="384" t="s">
        <v>77</v>
      </c>
      <c r="B580" s="348" t="s">
        <v>764</v>
      </c>
      <c r="C580" s="349"/>
      <c r="D580" s="351">
        <v>229072</v>
      </c>
      <c r="E580" s="260">
        <v>8</v>
      </c>
      <c r="F580" s="631"/>
      <c r="G580" s="632"/>
      <c r="H580" s="633">
        <f t="shared" si="216"/>
        <v>0</v>
      </c>
      <c r="I580" s="634"/>
      <c r="J580" s="634"/>
      <c r="K580" s="635">
        <f t="shared" si="217"/>
        <v>0</v>
      </c>
      <c r="L580" s="636"/>
      <c r="M580" s="636"/>
      <c r="N580" s="637">
        <f t="shared" si="218"/>
        <v>0</v>
      </c>
      <c r="O580" s="638"/>
      <c r="P580" s="638"/>
      <c r="Q580" s="635">
        <f t="shared" si="219"/>
        <v>0</v>
      </c>
      <c r="R580" s="636"/>
      <c r="S580" s="636"/>
      <c r="T580" s="637">
        <f t="shared" si="220"/>
        <v>0</v>
      </c>
      <c r="U580" s="638"/>
      <c r="V580" s="638"/>
      <c r="W580" s="635">
        <f t="shared" si="221"/>
        <v>0</v>
      </c>
      <c r="X580" s="636"/>
      <c r="Y580" s="636"/>
      <c r="Z580" s="637">
        <f t="shared" si="222"/>
        <v>0</v>
      </c>
      <c r="AA580" s="638"/>
      <c r="AB580" s="638"/>
      <c r="AC580" s="635">
        <f t="shared" si="223"/>
        <v>0</v>
      </c>
      <c r="AD580" s="636"/>
      <c r="AE580" s="636"/>
      <c r="AF580" s="637">
        <f t="shared" si="241"/>
        <v>0</v>
      </c>
      <c r="AG580" s="638"/>
      <c r="AH580" s="638"/>
      <c r="AI580" s="635">
        <f t="shared" si="240"/>
        <v>0</v>
      </c>
      <c r="AJ580" s="636"/>
      <c r="AK580" s="636"/>
      <c r="AL580" s="637">
        <f t="shared" si="239"/>
        <v>0</v>
      </c>
      <c r="AM580" s="638"/>
      <c r="AN580" s="638"/>
      <c r="AO580" s="640">
        <f t="shared" si="226"/>
        <v>0</v>
      </c>
      <c r="AP580" s="636"/>
      <c r="AQ580" s="636"/>
      <c r="AR580" s="637">
        <f t="shared" si="227"/>
        <v>0</v>
      </c>
      <c r="AS580" s="638"/>
      <c r="AT580" s="638"/>
      <c r="AU580" s="635">
        <f t="shared" si="228"/>
        <v>0</v>
      </c>
      <c r="AV580" s="636"/>
      <c r="AW580" s="636"/>
      <c r="AX580" s="637">
        <f t="shared" si="229"/>
        <v>0</v>
      </c>
      <c r="AY580" s="638"/>
      <c r="AZ580" s="638"/>
      <c r="BA580" s="635">
        <f t="shared" si="230"/>
        <v>0</v>
      </c>
      <c r="BB580" s="636"/>
      <c r="BC580" s="636"/>
      <c r="BD580" s="637">
        <f t="shared" si="231"/>
        <v>0</v>
      </c>
      <c r="BE580" s="638"/>
      <c r="BF580" s="638"/>
      <c r="BG580" s="635">
        <f t="shared" si="232"/>
        <v>0</v>
      </c>
      <c r="BH580" s="636"/>
      <c r="BI580" s="636"/>
      <c r="BJ580" s="637">
        <f t="shared" si="233"/>
        <v>0</v>
      </c>
      <c r="BK580" s="638"/>
      <c r="BL580" s="638"/>
      <c r="BM580" s="635">
        <f t="shared" si="234"/>
        <v>0</v>
      </c>
      <c r="BN580" s="636"/>
      <c r="BO580" s="636"/>
      <c r="BP580" s="637">
        <f t="shared" si="235"/>
        <v>0</v>
      </c>
      <c r="BQ580" s="638"/>
      <c r="BR580" s="638"/>
      <c r="BS580" s="635">
        <f t="shared" si="236"/>
        <v>0</v>
      </c>
      <c r="BT580" s="636"/>
      <c r="BU580" s="636"/>
      <c r="BV580" s="637">
        <f t="shared" si="237"/>
        <v>0</v>
      </c>
      <c r="BW580" s="638"/>
      <c r="BX580" s="638"/>
      <c r="BY580" s="641">
        <f t="shared" si="238"/>
        <v>0</v>
      </c>
    </row>
    <row r="581" spans="1:77" x14ac:dyDescent="0.2">
      <c r="A581" s="384" t="s">
        <v>77</v>
      </c>
      <c r="B581" s="350" t="s">
        <v>785</v>
      </c>
      <c r="C581" s="421" t="s">
        <v>878</v>
      </c>
      <c r="D581" s="351">
        <v>228680</v>
      </c>
      <c r="E581" s="422">
        <v>8</v>
      </c>
      <c r="F581" s="631"/>
      <c r="G581" s="632"/>
      <c r="H581" s="633">
        <f t="shared" si="216"/>
        <v>0</v>
      </c>
      <c r="I581" s="634"/>
      <c r="J581" s="634"/>
      <c r="K581" s="635">
        <f t="shared" si="217"/>
        <v>0</v>
      </c>
      <c r="L581" s="636">
        <v>3</v>
      </c>
      <c r="M581" s="636">
        <v>46684</v>
      </c>
      <c r="N581" s="637">
        <f t="shared" si="218"/>
        <v>140052</v>
      </c>
      <c r="O581" s="638">
        <v>2</v>
      </c>
      <c r="P581" s="638">
        <v>51276</v>
      </c>
      <c r="Q581" s="635">
        <f t="shared" si="219"/>
        <v>102552</v>
      </c>
      <c r="R581" s="636"/>
      <c r="S581" s="636"/>
      <c r="T581" s="637">
        <f t="shared" si="220"/>
        <v>0</v>
      </c>
      <c r="U581" s="638"/>
      <c r="V581" s="638"/>
      <c r="W581" s="635">
        <f t="shared" si="221"/>
        <v>0</v>
      </c>
      <c r="X581" s="636">
        <v>21</v>
      </c>
      <c r="Y581" s="636">
        <v>41557.238095238092</v>
      </c>
      <c r="Z581" s="637">
        <f t="shared" si="222"/>
        <v>872701.99999999988</v>
      </c>
      <c r="AA581" s="638">
        <v>23</v>
      </c>
      <c r="AB581" s="638">
        <v>41127.434782608696</v>
      </c>
      <c r="AC581" s="635">
        <f t="shared" si="223"/>
        <v>945931</v>
      </c>
      <c r="AD581" s="636"/>
      <c r="AE581" s="636"/>
      <c r="AF581" s="637">
        <f t="shared" si="241"/>
        <v>0</v>
      </c>
      <c r="AG581" s="638"/>
      <c r="AH581" s="638"/>
      <c r="AI581" s="635">
        <f t="shared" si="240"/>
        <v>0</v>
      </c>
      <c r="AJ581" s="636"/>
      <c r="AK581" s="636"/>
      <c r="AL581" s="637">
        <f t="shared" si="239"/>
        <v>0</v>
      </c>
      <c r="AM581" s="638"/>
      <c r="AN581" s="638"/>
      <c r="AO581" s="640">
        <f t="shared" si="226"/>
        <v>0</v>
      </c>
      <c r="AP581" s="636">
        <v>5</v>
      </c>
      <c r="AQ581" s="636">
        <v>66897.600000000006</v>
      </c>
      <c r="AR581" s="637">
        <f t="shared" si="227"/>
        <v>273678.08160000003</v>
      </c>
      <c r="AS581" s="638">
        <v>5</v>
      </c>
      <c r="AT581" s="638">
        <v>66897.600000000006</v>
      </c>
      <c r="AU581" s="635">
        <f t="shared" si="228"/>
        <v>273678.08160000003</v>
      </c>
      <c r="AV581" s="636">
        <v>21</v>
      </c>
      <c r="AW581" s="636">
        <v>52652.571428571428</v>
      </c>
      <c r="AX581" s="637">
        <f t="shared" si="229"/>
        <v>904687.01280000003</v>
      </c>
      <c r="AY581" s="638">
        <v>20</v>
      </c>
      <c r="AZ581" s="638">
        <v>52394.400000000001</v>
      </c>
      <c r="BA581" s="635">
        <f t="shared" si="230"/>
        <v>857381.96160000004</v>
      </c>
      <c r="BB581" s="636"/>
      <c r="BC581" s="636"/>
      <c r="BD581" s="637">
        <f t="shared" si="231"/>
        <v>0</v>
      </c>
      <c r="BE581" s="638"/>
      <c r="BF581" s="638"/>
      <c r="BG581" s="635">
        <f t="shared" si="232"/>
        <v>0</v>
      </c>
      <c r="BH581" s="636">
        <v>202</v>
      </c>
      <c r="BI581" s="636">
        <v>46693.267326732675</v>
      </c>
      <c r="BJ581" s="637">
        <f t="shared" si="233"/>
        <v>7717295.1280000005</v>
      </c>
      <c r="BK581" s="638">
        <v>208</v>
      </c>
      <c r="BL581" s="638">
        <v>46466.567307692305</v>
      </c>
      <c r="BM581" s="635">
        <f t="shared" si="234"/>
        <v>7907940.6372000007</v>
      </c>
      <c r="BN581" s="636"/>
      <c r="BO581" s="636"/>
      <c r="BP581" s="637">
        <f t="shared" si="235"/>
        <v>0</v>
      </c>
      <c r="BQ581" s="638"/>
      <c r="BR581" s="638"/>
      <c r="BS581" s="635">
        <f t="shared" si="236"/>
        <v>0</v>
      </c>
      <c r="BT581" s="636"/>
      <c r="BU581" s="636"/>
      <c r="BV581" s="637">
        <f t="shared" si="237"/>
        <v>0</v>
      </c>
      <c r="BW581" s="638"/>
      <c r="BX581" s="638"/>
      <c r="BY581" s="641">
        <f t="shared" si="238"/>
        <v>0</v>
      </c>
    </row>
    <row r="582" spans="1:77" x14ac:dyDescent="0.2">
      <c r="A582" s="384" t="s">
        <v>77</v>
      </c>
      <c r="B582" s="350" t="s">
        <v>786</v>
      </c>
      <c r="C582" s="421" t="s">
        <v>878</v>
      </c>
      <c r="D582" s="351">
        <v>225308</v>
      </c>
      <c r="E582" s="422">
        <v>8</v>
      </c>
      <c r="F582" s="650"/>
      <c r="G582" s="651"/>
      <c r="H582" s="633">
        <f t="shared" si="216"/>
        <v>0</v>
      </c>
      <c r="I582" s="634"/>
      <c r="J582" s="634"/>
      <c r="K582" s="635">
        <f t="shared" si="217"/>
        <v>0</v>
      </c>
      <c r="L582" s="636"/>
      <c r="M582" s="636"/>
      <c r="N582" s="637">
        <f t="shared" si="218"/>
        <v>0</v>
      </c>
      <c r="O582" s="638"/>
      <c r="P582" s="638"/>
      <c r="Q582" s="635">
        <f t="shared" si="219"/>
        <v>0</v>
      </c>
      <c r="R582" s="636"/>
      <c r="S582" s="636"/>
      <c r="T582" s="637">
        <f t="shared" si="220"/>
        <v>0</v>
      </c>
      <c r="U582" s="638"/>
      <c r="V582" s="638"/>
      <c r="W582" s="635">
        <f t="shared" si="221"/>
        <v>0</v>
      </c>
      <c r="X582" s="636"/>
      <c r="Y582" s="636"/>
      <c r="Z582" s="637">
        <f t="shared" si="222"/>
        <v>0</v>
      </c>
      <c r="AA582" s="638"/>
      <c r="AB582" s="638"/>
      <c r="AC582" s="635">
        <f t="shared" si="223"/>
        <v>0</v>
      </c>
      <c r="AD582" s="636"/>
      <c r="AE582" s="636"/>
      <c r="AF582" s="637">
        <f t="shared" si="241"/>
        <v>0</v>
      </c>
      <c r="AG582" s="638"/>
      <c r="AH582" s="638"/>
      <c r="AI582" s="635">
        <f t="shared" si="240"/>
        <v>0</v>
      </c>
      <c r="AJ582" s="651">
        <v>120</v>
      </c>
      <c r="AK582" s="651">
        <v>51808.26666666667</v>
      </c>
      <c r="AL582" s="637">
        <f t="shared" si="239"/>
        <v>6216992</v>
      </c>
      <c r="AM582" s="638">
        <v>122</v>
      </c>
      <c r="AN582" s="638">
        <v>51580.819672131147</v>
      </c>
      <c r="AO582" s="640">
        <f t="shared" si="226"/>
        <v>6292860</v>
      </c>
      <c r="AP582" s="636"/>
      <c r="AQ582" s="636"/>
      <c r="AR582" s="637">
        <f t="shared" si="227"/>
        <v>0</v>
      </c>
      <c r="AS582" s="638"/>
      <c r="AT582" s="638"/>
      <c r="AU582" s="635">
        <f t="shared" si="228"/>
        <v>0</v>
      </c>
      <c r="AV582" s="636"/>
      <c r="AW582" s="636"/>
      <c r="AX582" s="637">
        <f t="shared" si="229"/>
        <v>0</v>
      </c>
      <c r="AY582" s="638"/>
      <c r="AZ582" s="638"/>
      <c r="BA582" s="635">
        <f t="shared" si="230"/>
        <v>0</v>
      </c>
      <c r="BB582" s="636"/>
      <c r="BC582" s="636"/>
      <c r="BD582" s="637">
        <f t="shared" si="231"/>
        <v>0</v>
      </c>
      <c r="BE582" s="638"/>
      <c r="BF582" s="638"/>
      <c r="BG582" s="635">
        <f t="shared" si="232"/>
        <v>0</v>
      </c>
      <c r="BH582" s="636"/>
      <c r="BI582" s="636"/>
      <c r="BJ582" s="637">
        <f t="shared" si="233"/>
        <v>0</v>
      </c>
      <c r="BK582" s="638"/>
      <c r="BL582" s="638"/>
      <c r="BM582" s="635">
        <f t="shared" si="234"/>
        <v>0</v>
      </c>
      <c r="BN582" s="636"/>
      <c r="BO582" s="636"/>
      <c r="BP582" s="637">
        <f t="shared" si="235"/>
        <v>0</v>
      </c>
      <c r="BQ582" s="638"/>
      <c r="BR582" s="638"/>
      <c r="BS582" s="635">
        <f t="shared" si="236"/>
        <v>0</v>
      </c>
      <c r="BT582" s="649">
        <v>34</v>
      </c>
      <c r="BU582" s="649">
        <v>64816.058823529413</v>
      </c>
      <c r="BV582" s="637">
        <f t="shared" si="237"/>
        <v>1803104.9772000001</v>
      </c>
      <c r="BW582" s="638">
        <v>35</v>
      </c>
      <c r="BX582" s="638">
        <v>63855.428571428572</v>
      </c>
      <c r="BY582" s="641">
        <f t="shared" si="238"/>
        <v>1828627.9080000001</v>
      </c>
    </row>
    <row r="583" spans="1:77" x14ac:dyDescent="0.2">
      <c r="A583" s="384" t="s">
        <v>77</v>
      </c>
      <c r="B583" s="348" t="s">
        <v>765</v>
      </c>
      <c r="C583" s="349"/>
      <c r="D583" s="351">
        <v>229355</v>
      </c>
      <c r="E583" s="260">
        <v>8</v>
      </c>
      <c r="F583" s="631"/>
      <c r="G583" s="632"/>
      <c r="H583" s="633">
        <f t="shared" si="216"/>
        <v>0</v>
      </c>
      <c r="I583" s="634"/>
      <c r="J583" s="634"/>
      <c r="K583" s="635">
        <f t="shared" si="217"/>
        <v>0</v>
      </c>
      <c r="L583" s="636"/>
      <c r="M583" s="636"/>
      <c r="N583" s="637">
        <f t="shared" si="218"/>
        <v>0</v>
      </c>
      <c r="O583" s="638"/>
      <c r="P583" s="638"/>
      <c r="Q583" s="635">
        <f t="shared" si="219"/>
        <v>0</v>
      </c>
      <c r="R583" s="636"/>
      <c r="S583" s="636"/>
      <c r="T583" s="637">
        <f t="shared" si="220"/>
        <v>0</v>
      </c>
      <c r="U583" s="638"/>
      <c r="V583" s="638"/>
      <c r="W583" s="635">
        <f t="shared" si="221"/>
        <v>0</v>
      </c>
      <c r="X583" s="636">
        <v>215</v>
      </c>
      <c r="Y583" s="636">
        <v>50170.502325581394</v>
      </c>
      <c r="Z583" s="637">
        <f t="shared" si="222"/>
        <v>10786658</v>
      </c>
      <c r="AA583" s="638">
        <v>223</v>
      </c>
      <c r="AB583" s="638">
        <v>49215.403587443943</v>
      </c>
      <c r="AC583" s="635">
        <f t="shared" si="223"/>
        <v>10975035</v>
      </c>
      <c r="AD583" s="636"/>
      <c r="AE583" s="636"/>
      <c r="AF583" s="637">
        <f t="shared" si="241"/>
        <v>0</v>
      </c>
      <c r="AG583" s="638"/>
      <c r="AH583" s="638"/>
      <c r="AI583" s="635">
        <f t="shared" si="240"/>
        <v>0</v>
      </c>
      <c r="AJ583" s="636"/>
      <c r="AK583" s="636"/>
      <c r="AL583" s="637">
        <f t="shared" si="239"/>
        <v>0</v>
      </c>
      <c r="AM583" s="638"/>
      <c r="AN583" s="638"/>
      <c r="AO583" s="640">
        <f t="shared" si="226"/>
        <v>0</v>
      </c>
      <c r="AP583" s="636"/>
      <c r="AQ583" s="636"/>
      <c r="AR583" s="637">
        <f t="shared" si="227"/>
        <v>0</v>
      </c>
      <c r="AS583" s="638"/>
      <c r="AT583" s="638"/>
      <c r="AU583" s="635">
        <f t="shared" si="228"/>
        <v>0</v>
      </c>
      <c r="AV583" s="636"/>
      <c r="AW583" s="636"/>
      <c r="AX583" s="637">
        <f t="shared" si="229"/>
        <v>0</v>
      </c>
      <c r="AY583" s="638"/>
      <c r="AZ583" s="638"/>
      <c r="BA583" s="635">
        <f t="shared" si="230"/>
        <v>0</v>
      </c>
      <c r="BB583" s="636"/>
      <c r="BC583" s="636"/>
      <c r="BD583" s="637">
        <f t="shared" si="231"/>
        <v>0</v>
      </c>
      <c r="BE583" s="638"/>
      <c r="BF583" s="638"/>
      <c r="BG583" s="635">
        <f t="shared" si="232"/>
        <v>0</v>
      </c>
      <c r="BH583" s="636">
        <v>59</v>
      </c>
      <c r="BI583" s="636">
        <v>57226.423728813563</v>
      </c>
      <c r="BJ583" s="637">
        <f t="shared" si="233"/>
        <v>2762536.9338000002</v>
      </c>
      <c r="BK583" s="638">
        <v>58</v>
      </c>
      <c r="BL583" s="638">
        <v>56925.879310344826</v>
      </c>
      <c r="BM583" s="635">
        <f t="shared" si="234"/>
        <v>2701451.7582</v>
      </c>
      <c r="BN583" s="636"/>
      <c r="BO583" s="636"/>
      <c r="BP583" s="637">
        <f t="shared" si="235"/>
        <v>0</v>
      </c>
      <c r="BQ583" s="638"/>
      <c r="BR583" s="638"/>
      <c r="BS583" s="635">
        <f t="shared" si="236"/>
        <v>0</v>
      </c>
      <c r="BT583" s="636"/>
      <c r="BU583" s="636"/>
      <c r="BV583" s="637">
        <f t="shared" si="237"/>
        <v>0</v>
      </c>
      <c r="BW583" s="638"/>
      <c r="BX583" s="638"/>
      <c r="BY583" s="641">
        <f t="shared" si="238"/>
        <v>0</v>
      </c>
    </row>
    <row r="584" spans="1:77" x14ac:dyDescent="0.2">
      <c r="A584" s="384" t="s">
        <v>77</v>
      </c>
      <c r="B584" s="348" t="s">
        <v>766</v>
      </c>
      <c r="C584" s="349"/>
      <c r="D584" s="351">
        <v>222567</v>
      </c>
      <c r="E584" s="260">
        <v>9</v>
      </c>
      <c r="F584" s="631"/>
      <c r="G584" s="632"/>
      <c r="H584" s="633">
        <f t="shared" ref="H584:H647" si="242">F584*G584</f>
        <v>0</v>
      </c>
      <c r="I584" s="634"/>
      <c r="J584" s="634"/>
      <c r="K584" s="635">
        <f t="shared" ref="K584:K647" si="243">I584*J584</f>
        <v>0</v>
      </c>
      <c r="L584" s="636"/>
      <c r="M584" s="636"/>
      <c r="N584" s="637">
        <f t="shared" ref="N584:N647" si="244">L584*M584</f>
        <v>0</v>
      </c>
      <c r="O584" s="638"/>
      <c r="P584" s="638"/>
      <c r="Q584" s="635">
        <f t="shared" ref="Q584:Q647" si="245">O584*P584</f>
        <v>0</v>
      </c>
      <c r="R584" s="636"/>
      <c r="S584" s="636"/>
      <c r="T584" s="637">
        <f t="shared" ref="T584:T647" si="246">R584*S584</f>
        <v>0</v>
      </c>
      <c r="U584" s="638"/>
      <c r="V584" s="638"/>
      <c r="W584" s="635">
        <f t="shared" ref="W584:W647" si="247">U584*V584</f>
        <v>0</v>
      </c>
      <c r="X584" s="636"/>
      <c r="Y584" s="636"/>
      <c r="Z584" s="637">
        <f t="shared" ref="Z584:Z647" si="248">X584*Y584</f>
        <v>0</v>
      </c>
      <c r="AA584" s="638"/>
      <c r="AB584" s="638"/>
      <c r="AC584" s="635">
        <f t="shared" ref="AC584:AC647" si="249">AA584*AB584</f>
        <v>0</v>
      </c>
      <c r="AD584" s="636"/>
      <c r="AE584" s="636"/>
      <c r="AF584" s="637">
        <f t="shared" ref="AF584:AF647" si="250">AD584*AE584</f>
        <v>0</v>
      </c>
      <c r="AG584" s="638"/>
      <c r="AH584" s="638"/>
      <c r="AI584" s="635">
        <f t="shared" ref="AI584:AI647" si="251">AG584*AH584</f>
        <v>0</v>
      </c>
      <c r="AJ584" s="636">
        <v>54</v>
      </c>
      <c r="AK584" s="636">
        <v>53143.074074074073</v>
      </c>
      <c r="AL584" s="637">
        <f t="shared" ref="AL584:AL647" si="252">AJ584*AK584</f>
        <v>2869726</v>
      </c>
      <c r="AM584" s="638">
        <v>57</v>
      </c>
      <c r="AN584" s="638">
        <v>53550.105263157893</v>
      </c>
      <c r="AO584" s="640">
        <f t="shared" ref="AO584:AO647" si="253">AM584*AN584</f>
        <v>3052356</v>
      </c>
      <c r="AP584" s="636"/>
      <c r="AQ584" s="636"/>
      <c r="AR584" s="637">
        <f t="shared" ref="AR584:AR647" si="254">(AP584*AQ584)*0.8182</f>
        <v>0</v>
      </c>
      <c r="AS584" s="638"/>
      <c r="AT584" s="638"/>
      <c r="AU584" s="635">
        <f t="shared" ref="AU584:AU647" si="255">(AS584*AT584)*0.8182</f>
        <v>0</v>
      </c>
      <c r="AV584" s="636"/>
      <c r="AW584" s="636"/>
      <c r="AX584" s="637">
        <f t="shared" ref="AX584:AX647" si="256">(AV584*AW584)*0.8182</f>
        <v>0</v>
      </c>
      <c r="AY584" s="638"/>
      <c r="AZ584" s="638"/>
      <c r="BA584" s="635">
        <f t="shared" ref="BA584:BA647" si="257">(AY584*AZ584)*0.8182</f>
        <v>0</v>
      </c>
      <c r="BB584" s="636"/>
      <c r="BC584" s="636"/>
      <c r="BD584" s="637">
        <f t="shared" ref="BD584:BD647" si="258">(BB584*BC584)*0.8182</f>
        <v>0</v>
      </c>
      <c r="BE584" s="638"/>
      <c r="BF584" s="638"/>
      <c r="BG584" s="635">
        <f t="shared" ref="BG584:BG647" si="259">(BE584*BF584)*0.8182</f>
        <v>0</v>
      </c>
      <c r="BH584" s="636"/>
      <c r="BI584" s="636"/>
      <c r="BJ584" s="637">
        <f t="shared" ref="BJ584:BJ647" si="260">(BH584*BI584)*0.8182</f>
        <v>0</v>
      </c>
      <c r="BK584" s="638"/>
      <c r="BL584" s="638"/>
      <c r="BM584" s="635">
        <f t="shared" ref="BM584:BM647" si="261">(BK584*BL584)*0.8182</f>
        <v>0</v>
      </c>
      <c r="BN584" s="636"/>
      <c r="BO584" s="636"/>
      <c r="BP584" s="637">
        <f t="shared" ref="BP584:BP647" si="262">(BN584*BO584)*0.8182</f>
        <v>0</v>
      </c>
      <c r="BQ584" s="638"/>
      <c r="BR584" s="638"/>
      <c r="BS584" s="635">
        <f t="shared" ref="BS584:BS647" si="263">(BQ584*BR584)*0.8182</f>
        <v>0</v>
      </c>
      <c r="BT584" s="636">
        <v>55</v>
      </c>
      <c r="BU584" s="636">
        <v>69922.654545454541</v>
      </c>
      <c r="BV584" s="637">
        <f t="shared" ref="BV584:BV647" si="264">(BT584*BU584)*0.8182</f>
        <v>3146589.3772</v>
      </c>
      <c r="BW584" s="638">
        <v>48</v>
      </c>
      <c r="BX584" s="638">
        <v>69247.020833333328</v>
      </c>
      <c r="BY584" s="641">
        <f t="shared" ref="BY584:BY647" si="265">(BW584*BX584)*0.8182</f>
        <v>2719579.7974</v>
      </c>
    </row>
    <row r="585" spans="1:77" x14ac:dyDescent="0.2">
      <c r="A585" s="384" t="s">
        <v>77</v>
      </c>
      <c r="B585" s="348" t="s">
        <v>767</v>
      </c>
      <c r="C585" s="349"/>
      <c r="D585" s="351">
        <v>222822</v>
      </c>
      <c r="E585" s="260">
        <v>9</v>
      </c>
      <c r="F585" s="631"/>
      <c r="G585" s="632"/>
      <c r="H585" s="633">
        <f t="shared" si="242"/>
        <v>0</v>
      </c>
      <c r="I585" s="634"/>
      <c r="J585" s="634"/>
      <c r="K585" s="635">
        <f t="shared" si="243"/>
        <v>0</v>
      </c>
      <c r="L585" s="636"/>
      <c r="M585" s="636"/>
      <c r="N585" s="637">
        <f t="shared" si="244"/>
        <v>0</v>
      </c>
      <c r="O585" s="638"/>
      <c r="P585" s="638"/>
      <c r="Q585" s="635">
        <f t="shared" si="245"/>
        <v>0</v>
      </c>
      <c r="R585" s="636"/>
      <c r="S585" s="636"/>
      <c r="T585" s="637">
        <f t="shared" si="246"/>
        <v>0</v>
      </c>
      <c r="U585" s="638"/>
      <c r="V585" s="638"/>
      <c r="W585" s="635">
        <f t="shared" si="247"/>
        <v>0</v>
      </c>
      <c r="X585" s="636">
        <v>101</v>
      </c>
      <c r="Y585" s="636">
        <v>47274.910891089108</v>
      </c>
      <c r="Z585" s="637">
        <f t="shared" si="248"/>
        <v>4774766</v>
      </c>
      <c r="AA585" s="638">
        <v>99</v>
      </c>
      <c r="AB585" s="638">
        <v>46705.858585858587</v>
      </c>
      <c r="AC585" s="635">
        <f t="shared" si="249"/>
        <v>4623880</v>
      </c>
      <c r="AD585" s="636"/>
      <c r="AE585" s="636"/>
      <c r="AF585" s="637">
        <f t="shared" si="250"/>
        <v>0</v>
      </c>
      <c r="AG585" s="638"/>
      <c r="AH585" s="638"/>
      <c r="AI585" s="635">
        <f t="shared" si="251"/>
        <v>0</v>
      </c>
      <c r="AJ585" s="636"/>
      <c r="AK585" s="636"/>
      <c r="AL585" s="637">
        <f t="shared" si="252"/>
        <v>0</v>
      </c>
      <c r="AM585" s="638"/>
      <c r="AN585" s="638"/>
      <c r="AO585" s="640">
        <f t="shared" si="253"/>
        <v>0</v>
      </c>
      <c r="AP585" s="636"/>
      <c r="AQ585" s="636"/>
      <c r="AR585" s="637">
        <f t="shared" si="254"/>
        <v>0</v>
      </c>
      <c r="AS585" s="638"/>
      <c r="AT585" s="638"/>
      <c r="AU585" s="635">
        <f t="shared" si="255"/>
        <v>0</v>
      </c>
      <c r="AV585" s="636"/>
      <c r="AW585" s="636"/>
      <c r="AX585" s="637">
        <f t="shared" si="256"/>
        <v>0</v>
      </c>
      <c r="AY585" s="638"/>
      <c r="AZ585" s="638"/>
      <c r="BA585" s="635">
        <f t="shared" si="257"/>
        <v>0</v>
      </c>
      <c r="BB585" s="636"/>
      <c r="BC585" s="636"/>
      <c r="BD585" s="637">
        <f t="shared" si="258"/>
        <v>0</v>
      </c>
      <c r="BE585" s="638"/>
      <c r="BF585" s="638"/>
      <c r="BG585" s="635">
        <f t="shared" si="259"/>
        <v>0</v>
      </c>
      <c r="BH585" s="636">
        <v>28</v>
      </c>
      <c r="BI585" s="636">
        <v>51495.857142857145</v>
      </c>
      <c r="BJ585" s="637">
        <f t="shared" si="260"/>
        <v>1179749.4888000002</v>
      </c>
      <c r="BK585" s="638">
        <v>25</v>
      </c>
      <c r="BL585" s="638">
        <v>50870.400000000001</v>
      </c>
      <c r="BM585" s="635">
        <f t="shared" si="261"/>
        <v>1040554.032</v>
      </c>
      <c r="BN585" s="636"/>
      <c r="BO585" s="636"/>
      <c r="BP585" s="637">
        <f t="shared" si="262"/>
        <v>0</v>
      </c>
      <c r="BQ585" s="638"/>
      <c r="BR585" s="638"/>
      <c r="BS585" s="635">
        <f t="shared" si="263"/>
        <v>0</v>
      </c>
      <c r="BT585" s="636"/>
      <c r="BU585" s="636"/>
      <c r="BV585" s="637">
        <f t="shared" si="264"/>
        <v>0</v>
      </c>
      <c r="BW585" s="638"/>
      <c r="BX585" s="638"/>
      <c r="BY585" s="641">
        <f t="shared" si="265"/>
        <v>0</v>
      </c>
    </row>
    <row r="586" spans="1:77" x14ac:dyDescent="0.2">
      <c r="A586" s="384" t="s">
        <v>77</v>
      </c>
      <c r="B586" s="348" t="s">
        <v>768</v>
      </c>
      <c r="C586" s="349"/>
      <c r="D586" s="351">
        <v>223773</v>
      </c>
      <c r="E586" s="260">
        <v>9</v>
      </c>
      <c r="F586" s="631"/>
      <c r="G586" s="632"/>
      <c r="H586" s="633">
        <f t="shared" si="242"/>
        <v>0</v>
      </c>
      <c r="I586" s="634"/>
      <c r="J586" s="634"/>
      <c r="K586" s="635">
        <f t="shared" si="243"/>
        <v>0</v>
      </c>
      <c r="L586" s="636"/>
      <c r="M586" s="636"/>
      <c r="N586" s="637">
        <f t="shared" si="244"/>
        <v>0</v>
      </c>
      <c r="O586" s="638"/>
      <c r="P586" s="638"/>
      <c r="Q586" s="635">
        <f t="shared" si="245"/>
        <v>0</v>
      </c>
      <c r="R586" s="636"/>
      <c r="S586" s="636"/>
      <c r="T586" s="637">
        <f t="shared" si="246"/>
        <v>0</v>
      </c>
      <c r="U586" s="638"/>
      <c r="V586" s="638"/>
      <c r="W586" s="635">
        <f t="shared" si="247"/>
        <v>0</v>
      </c>
      <c r="X586" s="636"/>
      <c r="Y586" s="636"/>
      <c r="Z586" s="637">
        <f t="shared" si="248"/>
        <v>0</v>
      </c>
      <c r="AA586" s="638"/>
      <c r="AB586" s="638"/>
      <c r="AC586" s="635">
        <f t="shared" si="249"/>
        <v>0</v>
      </c>
      <c r="AD586" s="636"/>
      <c r="AE586" s="636"/>
      <c r="AF586" s="637">
        <f t="shared" si="250"/>
        <v>0</v>
      </c>
      <c r="AG586" s="638"/>
      <c r="AH586" s="638"/>
      <c r="AI586" s="635">
        <f t="shared" si="251"/>
        <v>0</v>
      </c>
      <c r="AJ586" s="636">
        <v>64</v>
      </c>
      <c r="AK586" s="636">
        <v>56599.640625</v>
      </c>
      <c r="AL586" s="637">
        <f t="shared" si="252"/>
        <v>3622377</v>
      </c>
      <c r="AM586" s="638">
        <v>63</v>
      </c>
      <c r="AN586" s="638">
        <v>55893.761904761908</v>
      </c>
      <c r="AO586" s="640">
        <f t="shared" si="253"/>
        <v>3521307</v>
      </c>
      <c r="AP586" s="636"/>
      <c r="AQ586" s="636"/>
      <c r="AR586" s="637">
        <f t="shared" si="254"/>
        <v>0</v>
      </c>
      <c r="AS586" s="638"/>
      <c r="AT586" s="638"/>
      <c r="AU586" s="635">
        <f t="shared" si="255"/>
        <v>0</v>
      </c>
      <c r="AV586" s="636"/>
      <c r="AW586" s="636"/>
      <c r="AX586" s="637">
        <f t="shared" si="256"/>
        <v>0</v>
      </c>
      <c r="AY586" s="638"/>
      <c r="AZ586" s="638"/>
      <c r="BA586" s="635">
        <f t="shared" si="257"/>
        <v>0</v>
      </c>
      <c r="BB586" s="636"/>
      <c r="BC586" s="636"/>
      <c r="BD586" s="637">
        <f t="shared" si="258"/>
        <v>0</v>
      </c>
      <c r="BE586" s="638"/>
      <c r="BF586" s="638"/>
      <c r="BG586" s="635">
        <f t="shared" si="259"/>
        <v>0</v>
      </c>
      <c r="BH586" s="636"/>
      <c r="BI586" s="636"/>
      <c r="BJ586" s="637">
        <f t="shared" si="260"/>
        <v>0</v>
      </c>
      <c r="BK586" s="638"/>
      <c r="BL586" s="638"/>
      <c r="BM586" s="635">
        <f t="shared" si="261"/>
        <v>0</v>
      </c>
      <c r="BN586" s="636"/>
      <c r="BO586" s="636"/>
      <c r="BP586" s="637">
        <f t="shared" si="262"/>
        <v>0</v>
      </c>
      <c r="BQ586" s="638"/>
      <c r="BR586" s="638"/>
      <c r="BS586" s="635">
        <f t="shared" si="263"/>
        <v>0</v>
      </c>
      <c r="BT586" s="636"/>
      <c r="BU586" s="636"/>
      <c r="BV586" s="637">
        <f t="shared" si="264"/>
        <v>0</v>
      </c>
      <c r="BW586" s="638"/>
      <c r="BX586" s="638"/>
      <c r="BY586" s="641">
        <f t="shared" si="265"/>
        <v>0</v>
      </c>
    </row>
    <row r="587" spans="1:77" x14ac:dyDescent="0.2">
      <c r="A587" s="384" t="s">
        <v>77</v>
      </c>
      <c r="B587" s="348" t="s">
        <v>769</v>
      </c>
      <c r="C587" s="349"/>
      <c r="D587" s="351">
        <v>223898</v>
      </c>
      <c r="E587" s="260">
        <v>9</v>
      </c>
      <c r="F587" s="631">
        <v>57</v>
      </c>
      <c r="G587" s="632">
        <v>39862.807017543862</v>
      </c>
      <c r="H587" s="633">
        <f t="shared" si="242"/>
        <v>2272180</v>
      </c>
      <c r="I587" s="634">
        <v>59</v>
      </c>
      <c r="J587" s="634">
        <v>39079.423728813563</v>
      </c>
      <c r="K587" s="635">
        <f t="shared" si="243"/>
        <v>2305686</v>
      </c>
      <c r="L587" s="636"/>
      <c r="M587" s="636"/>
      <c r="N587" s="637">
        <f t="shared" si="244"/>
        <v>0</v>
      </c>
      <c r="O587" s="638"/>
      <c r="P587" s="638"/>
      <c r="Q587" s="635">
        <f t="shared" si="245"/>
        <v>0</v>
      </c>
      <c r="R587" s="636"/>
      <c r="S587" s="636"/>
      <c r="T587" s="637">
        <f t="shared" si="246"/>
        <v>0</v>
      </c>
      <c r="U587" s="638"/>
      <c r="V587" s="638"/>
      <c r="W587" s="635">
        <f t="shared" si="247"/>
        <v>0</v>
      </c>
      <c r="X587" s="636"/>
      <c r="Y587" s="636"/>
      <c r="Z587" s="637">
        <f t="shared" si="248"/>
        <v>0</v>
      </c>
      <c r="AA587" s="638"/>
      <c r="AB587" s="638"/>
      <c r="AC587" s="635">
        <f t="shared" si="249"/>
        <v>0</v>
      </c>
      <c r="AD587" s="636"/>
      <c r="AE587" s="636"/>
      <c r="AF587" s="637">
        <f t="shared" si="250"/>
        <v>0</v>
      </c>
      <c r="AG587" s="638"/>
      <c r="AH587" s="638"/>
      <c r="AI587" s="635">
        <f t="shared" si="251"/>
        <v>0</v>
      </c>
      <c r="AJ587" s="636"/>
      <c r="AK587" s="636"/>
      <c r="AL587" s="637">
        <f t="shared" si="252"/>
        <v>0</v>
      </c>
      <c r="AM587" s="638"/>
      <c r="AN587" s="638"/>
      <c r="AO587" s="640">
        <f t="shared" si="253"/>
        <v>0</v>
      </c>
      <c r="AP587" s="636">
        <v>29</v>
      </c>
      <c r="AQ587" s="636">
        <v>48480.586206896551</v>
      </c>
      <c r="AR587" s="637">
        <f t="shared" si="254"/>
        <v>1150337.6534</v>
      </c>
      <c r="AS587" s="652">
        <v>27</v>
      </c>
      <c r="AT587" s="652">
        <v>45994.777777777781</v>
      </c>
      <c r="AU587" s="635">
        <f t="shared" si="255"/>
        <v>1016089.0338000001</v>
      </c>
      <c r="AV587" s="636"/>
      <c r="AW587" s="636"/>
      <c r="AX587" s="637">
        <f t="shared" si="256"/>
        <v>0</v>
      </c>
      <c r="AY587" s="638"/>
      <c r="AZ587" s="638"/>
      <c r="BA587" s="635">
        <f t="shared" si="257"/>
        <v>0</v>
      </c>
      <c r="BB587" s="636"/>
      <c r="BC587" s="636"/>
      <c r="BD587" s="637">
        <f t="shared" si="258"/>
        <v>0</v>
      </c>
      <c r="BE587" s="638"/>
      <c r="BF587" s="638"/>
      <c r="BG587" s="635">
        <f t="shared" si="259"/>
        <v>0</v>
      </c>
      <c r="BH587" s="636"/>
      <c r="BI587" s="636"/>
      <c r="BJ587" s="637">
        <f t="shared" si="260"/>
        <v>0</v>
      </c>
      <c r="BK587" s="638"/>
      <c r="BL587" s="638"/>
      <c r="BM587" s="635">
        <f t="shared" si="261"/>
        <v>0</v>
      </c>
      <c r="BN587" s="636"/>
      <c r="BO587" s="636"/>
      <c r="BP587" s="637">
        <f t="shared" si="262"/>
        <v>0</v>
      </c>
      <c r="BQ587" s="638"/>
      <c r="BR587" s="638"/>
      <c r="BS587" s="635">
        <f t="shared" si="263"/>
        <v>0</v>
      </c>
      <c r="BT587" s="636"/>
      <c r="BU587" s="636"/>
      <c r="BV587" s="637">
        <f t="shared" si="264"/>
        <v>0</v>
      </c>
      <c r="BW587" s="638"/>
      <c r="BX587" s="638"/>
      <c r="BY587" s="641">
        <f t="shared" si="265"/>
        <v>0</v>
      </c>
    </row>
    <row r="588" spans="1:77" x14ac:dyDescent="0.2">
      <c r="A588" s="384" t="s">
        <v>77</v>
      </c>
      <c r="B588" s="348" t="s">
        <v>770</v>
      </c>
      <c r="C588" s="349"/>
      <c r="D588" s="351">
        <v>223320</v>
      </c>
      <c r="E588" s="260">
        <v>9</v>
      </c>
      <c r="F588" s="631">
        <v>65</v>
      </c>
      <c r="G588" s="632">
        <v>44628.046153846153</v>
      </c>
      <c r="H588" s="633">
        <f t="shared" si="242"/>
        <v>2900823</v>
      </c>
      <c r="I588" s="634">
        <v>67</v>
      </c>
      <c r="J588" s="634">
        <v>44346.820895522389</v>
      </c>
      <c r="K588" s="635">
        <f t="shared" si="243"/>
        <v>2971237</v>
      </c>
      <c r="L588" s="636"/>
      <c r="M588" s="636"/>
      <c r="N588" s="637">
        <f t="shared" si="244"/>
        <v>0</v>
      </c>
      <c r="O588" s="638"/>
      <c r="P588" s="638"/>
      <c r="Q588" s="635">
        <f t="shared" si="245"/>
        <v>0</v>
      </c>
      <c r="R588" s="636"/>
      <c r="S588" s="636"/>
      <c r="T588" s="637">
        <f t="shared" si="246"/>
        <v>0</v>
      </c>
      <c r="U588" s="638"/>
      <c r="V588" s="638"/>
      <c r="W588" s="635">
        <f t="shared" si="247"/>
        <v>0</v>
      </c>
      <c r="X588" s="636"/>
      <c r="Y588" s="636"/>
      <c r="Z588" s="637">
        <f t="shared" si="248"/>
        <v>0</v>
      </c>
      <c r="AA588" s="638"/>
      <c r="AB588" s="638"/>
      <c r="AC588" s="635">
        <f t="shared" si="249"/>
        <v>0</v>
      </c>
      <c r="AD588" s="636"/>
      <c r="AE588" s="636"/>
      <c r="AF588" s="637">
        <f t="shared" si="250"/>
        <v>0</v>
      </c>
      <c r="AG588" s="638"/>
      <c r="AH588" s="638"/>
      <c r="AI588" s="635">
        <f t="shared" si="251"/>
        <v>0</v>
      </c>
      <c r="AJ588" s="636"/>
      <c r="AK588" s="636"/>
      <c r="AL588" s="637">
        <f t="shared" si="252"/>
        <v>0</v>
      </c>
      <c r="AM588" s="638"/>
      <c r="AN588" s="638"/>
      <c r="AO588" s="640">
        <f t="shared" si="253"/>
        <v>0</v>
      </c>
      <c r="AP588" s="636">
        <v>38</v>
      </c>
      <c r="AQ588" s="636">
        <v>50119.868421052633</v>
      </c>
      <c r="AR588" s="637">
        <f t="shared" si="254"/>
        <v>1558306.9010000001</v>
      </c>
      <c r="AS588" s="638">
        <v>38</v>
      </c>
      <c r="AT588" s="638">
        <v>49232.815789473687</v>
      </c>
      <c r="AU588" s="635">
        <f t="shared" si="255"/>
        <v>1530727.0154000001</v>
      </c>
      <c r="AV588" s="636"/>
      <c r="AW588" s="636"/>
      <c r="AX588" s="637">
        <f t="shared" si="256"/>
        <v>0</v>
      </c>
      <c r="AY588" s="638"/>
      <c r="AZ588" s="638"/>
      <c r="BA588" s="635">
        <f t="shared" si="257"/>
        <v>0</v>
      </c>
      <c r="BB588" s="636"/>
      <c r="BC588" s="636"/>
      <c r="BD588" s="637">
        <f t="shared" si="258"/>
        <v>0</v>
      </c>
      <c r="BE588" s="638"/>
      <c r="BF588" s="638"/>
      <c r="BG588" s="635">
        <f t="shared" si="259"/>
        <v>0</v>
      </c>
      <c r="BH588" s="636"/>
      <c r="BI588" s="636"/>
      <c r="BJ588" s="637">
        <f t="shared" si="260"/>
        <v>0</v>
      </c>
      <c r="BK588" s="638"/>
      <c r="BL588" s="638"/>
      <c r="BM588" s="635">
        <f t="shared" si="261"/>
        <v>0</v>
      </c>
      <c r="BN588" s="636"/>
      <c r="BO588" s="636"/>
      <c r="BP588" s="637">
        <f t="shared" si="262"/>
        <v>0</v>
      </c>
      <c r="BQ588" s="638"/>
      <c r="BR588" s="638"/>
      <c r="BS588" s="635">
        <f t="shared" si="263"/>
        <v>0</v>
      </c>
      <c r="BT588" s="636"/>
      <c r="BU588" s="636"/>
      <c r="BV588" s="637">
        <f t="shared" si="264"/>
        <v>0</v>
      </c>
      <c r="BW588" s="638"/>
      <c r="BX588" s="638"/>
      <c r="BY588" s="641">
        <f t="shared" si="265"/>
        <v>0</v>
      </c>
    </row>
    <row r="589" spans="1:77" x14ac:dyDescent="0.2">
      <c r="A589" s="384" t="s">
        <v>77</v>
      </c>
      <c r="B589" s="348" t="s">
        <v>771</v>
      </c>
      <c r="C589" s="349"/>
      <c r="D589" s="351">
        <v>226408</v>
      </c>
      <c r="E589" s="260">
        <v>9</v>
      </c>
      <c r="F589" s="631">
        <v>7</v>
      </c>
      <c r="G589" s="632">
        <v>58589.571428571428</v>
      </c>
      <c r="H589" s="633">
        <f t="shared" si="242"/>
        <v>410127</v>
      </c>
      <c r="I589" s="634">
        <v>3</v>
      </c>
      <c r="J589" s="634">
        <v>61849</v>
      </c>
      <c r="K589" s="635">
        <f t="shared" si="243"/>
        <v>185547</v>
      </c>
      <c r="L589" s="636">
        <v>9</v>
      </c>
      <c r="M589" s="636">
        <v>50283.555555555555</v>
      </c>
      <c r="N589" s="637">
        <f t="shared" si="244"/>
        <v>452552</v>
      </c>
      <c r="O589" s="638">
        <v>3</v>
      </c>
      <c r="P589" s="638">
        <v>48243.333333333336</v>
      </c>
      <c r="Q589" s="635">
        <f t="shared" si="245"/>
        <v>144730</v>
      </c>
      <c r="R589" s="636">
        <v>15</v>
      </c>
      <c r="S589" s="636">
        <v>46703.6</v>
      </c>
      <c r="T589" s="637">
        <f t="shared" si="246"/>
        <v>700554</v>
      </c>
      <c r="U589" s="638">
        <v>11</v>
      </c>
      <c r="V589" s="638">
        <v>48466.727272727272</v>
      </c>
      <c r="W589" s="635">
        <f t="shared" si="247"/>
        <v>533134</v>
      </c>
      <c r="X589" s="636"/>
      <c r="Y589" s="636"/>
      <c r="Z589" s="637">
        <f t="shared" si="248"/>
        <v>0</v>
      </c>
      <c r="AA589" s="638"/>
      <c r="AB589" s="638"/>
      <c r="AC589" s="635">
        <f t="shared" si="249"/>
        <v>0</v>
      </c>
      <c r="AD589" s="636"/>
      <c r="AE589" s="636"/>
      <c r="AF589" s="637">
        <f t="shared" si="250"/>
        <v>0</v>
      </c>
      <c r="AG589" s="638"/>
      <c r="AH589" s="638"/>
      <c r="AI589" s="635">
        <f t="shared" si="251"/>
        <v>0</v>
      </c>
      <c r="AJ589" s="636"/>
      <c r="AK589" s="636"/>
      <c r="AL589" s="637">
        <f t="shared" si="252"/>
        <v>0</v>
      </c>
      <c r="AM589" s="638"/>
      <c r="AN589" s="638"/>
      <c r="AO589" s="640">
        <f t="shared" si="253"/>
        <v>0</v>
      </c>
      <c r="AP589" s="636">
        <v>25</v>
      </c>
      <c r="AQ589" s="636">
        <v>70489.039999999994</v>
      </c>
      <c r="AR589" s="637">
        <f t="shared" si="254"/>
        <v>1441853.3132</v>
      </c>
      <c r="AS589" s="638">
        <v>18</v>
      </c>
      <c r="AT589" s="638">
        <v>74387.5</v>
      </c>
      <c r="AU589" s="635">
        <f t="shared" si="255"/>
        <v>1095549.345</v>
      </c>
      <c r="AV589" s="636">
        <v>19</v>
      </c>
      <c r="AW589" s="636">
        <v>62242.473684210527</v>
      </c>
      <c r="AX589" s="637">
        <f t="shared" si="256"/>
        <v>967609.04740000004</v>
      </c>
      <c r="AY589" s="638">
        <v>37</v>
      </c>
      <c r="AZ589" s="638">
        <v>63183</v>
      </c>
      <c r="BA589" s="635">
        <f t="shared" si="257"/>
        <v>1912764.2322000002</v>
      </c>
      <c r="BB589" s="636">
        <v>34</v>
      </c>
      <c r="BC589" s="636">
        <v>59665.294117647056</v>
      </c>
      <c r="BD589" s="637">
        <f t="shared" si="258"/>
        <v>1659816.8840000001</v>
      </c>
      <c r="BE589" s="638">
        <v>41</v>
      </c>
      <c r="BF589" s="638">
        <v>58673.048780487807</v>
      </c>
      <c r="BG589" s="635">
        <f t="shared" si="259"/>
        <v>1968257.8290000001</v>
      </c>
      <c r="BH589" s="636"/>
      <c r="BI589" s="636"/>
      <c r="BJ589" s="637">
        <f t="shared" si="260"/>
        <v>0</v>
      </c>
      <c r="BK589" s="638"/>
      <c r="BL589" s="638"/>
      <c r="BM589" s="635">
        <f t="shared" si="261"/>
        <v>0</v>
      </c>
      <c r="BN589" s="636"/>
      <c r="BO589" s="636"/>
      <c r="BP589" s="637">
        <f t="shared" si="262"/>
        <v>0</v>
      </c>
      <c r="BQ589" s="638"/>
      <c r="BR589" s="638"/>
      <c r="BS589" s="635">
        <f t="shared" si="263"/>
        <v>0</v>
      </c>
      <c r="BT589" s="636"/>
      <c r="BU589" s="636"/>
      <c r="BV589" s="637">
        <f t="shared" si="264"/>
        <v>0</v>
      </c>
      <c r="BW589" s="638"/>
      <c r="BX589" s="638"/>
      <c r="BY589" s="641">
        <f t="shared" si="265"/>
        <v>0</v>
      </c>
    </row>
    <row r="590" spans="1:77" x14ac:dyDescent="0.2">
      <c r="A590" s="384" t="s">
        <v>77</v>
      </c>
      <c r="B590" s="348" t="s">
        <v>772</v>
      </c>
      <c r="C590" s="349"/>
      <c r="D590" s="351">
        <v>225070</v>
      </c>
      <c r="E590" s="260">
        <v>9</v>
      </c>
      <c r="F590" s="650"/>
      <c r="G590" s="651"/>
      <c r="H590" s="633">
        <f t="shared" si="242"/>
        <v>0</v>
      </c>
      <c r="I590" s="642"/>
      <c r="J590" s="642"/>
      <c r="K590" s="635">
        <f t="shared" si="243"/>
        <v>0</v>
      </c>
      <c r="L590" s="636"/>
      <c r="M590" s="636"/>
      <c r="N590" s="637">
        <f t="shared" si="244"/>
        <v>0</v>
      </c>
      <c r="O590" s="638"/>
      <c r="P590" s="638"/>
      <c r="Q590" s="635">
        <f t="shared" si="245"/>
        <v>0</v>
      </c>
      <c r="R590" s="636"/>
      <c r="S590" s="636"/>
      <c r="T590" s="637">
        <f t="shared" si="246"/>
        <v>0</v>
      </c>
      <c r="U590" s="638"/>
      <c r="V590" s="638"/>
      <c r="W590" s="635">
        <f t="shared" si="247"/>
        <v>0</v>
      </c>
      <c r="X590" s="636"/>
      <c r="Y590" s="636"/>
      <c r="Z590" s="637">
        <f t="shared" si="248"/>
        <v>0</v>
      </c>
      <c r="AA590" s="638"/>
      <c r="AB590" s="638"/>
      <c r="AC590" s="635">
        <f t="shared" si="249"/>
        <v>0</v>
      </c>
      <c r="AD590" s="636"/>
      <c r="AE590" s="636"/>
      <c r="AF590" s="637">
        <f t="shared" si="250"/>
        <v>0</v>
      </c>
      <c r="AG590" s="638"/>
      <c r="AH590" s="638"/>
      <c r="AI590" s="635">
        <f t="shared" si="251"/>
        <v>0</v>
      </c>
      <c r="AJ590" s="631">
        <v>87</v>
      </c>
      <c r="AK590" s="632">
        <v>53011.206896551725</v>
      </c>
      <c r="AL590" s="637">
        <f t="shared" si="252"/>
        <v>4611975</v>
      </c>
      <c r="AM590" s="634">
        <v>87</v>
      </c>
      <c r="AN590" s="642">
        <v>52691</v>
      </c>
      <c r="AO590" s="640">
        <f t="shared" si="253"/>
        <v>4584117</v>
      </c>
      <c r="AP590" s="649"/>
      <c r="AQ590" s="649"/>
      <c r="AR590" s="637">
        <f t="shared" si="254"/>
        <v>0</v>
      </c>
      <c r="AS590" s="644"/>
      <c r="AT590" s="644"/>
      <c r="AU590" s="635">
        <f t="shared" si="255"/>
        <v>0</v>
      </c>
      <c r="AV590" s="636"/>
      <c r="AW590" s="636"/>
      <c r="AX590" s="637">
        <f t="shared" si="256"/>
        <v>0</v>
      </c>
      <c r="AY590" s="638"/>
      <c r="AZ590" s="638"/>
      <c r="BA590" s="635">
        <f t="shared" si="257"/>
        <v>0</v>
      </c>
      <c r="BB590" s="636"/>
      <c r="BC590" s="636"/>
      <c r="BD590" s="637">
        <f t="shared" si="258"/>
        <v>0</v>
      </c>
      <c r="BE590" s="638"/>
      <c r="BF590" s="638"/>
      <c r="BG590" s="635">
        <f t="shared" si="259"/>
        <v>0</v>
      </c>
      <c r="BH590" s="636"/>
      <c r="BI590" s="636"/>
      <c r="BJ590" s="637">
        <f t="shared" si="260"/>
        <v>0</v>
      </c>
      <c r="BK590" s="638"/>
      <c r="BL590" s="638"/>
      <c r="BM590" s="635">
        <f t="shared" si="261"/>
        <v>0</v>
      </c>
      <c r="BN590" s="636"/>
      <c r="BO590" s="636"/>
      <c r="BP590" s="637">
        <f t="shared" si="262"/>
        <v>0</v>
      </c>
      <c r="BQ590" s="638"/>
      <c r="BR590" s="638"/>
      <c r="BS590" s="635">
        <f t="shared" si="263"/>
        <v>0</v>
      </c>
      <c r="BT590" s="636">
        <v>13</v>
      </c>
      <c r="BU590" s="636">
        <v>58699.692307692305</v>
      </c>
      <c r="BV590" s="637">
        <f t="shared" si="264"/>
        <v>624365.14720000001</v>
      </c>
      <c r="BW590" s="638">
        <v>14</v>
      </c>
      <c r="BX590" s="644">
        <v>56691</v>
      </c>
      <c r="BY590" s="641">
        <f t="shared" si="265"/>
        <v>649384.06680000003</v>
      </c>
    </row>
    <row r="591" spans="1:77" x14ac:dyDescent="0.2">
      <c r="A591" s="384" t="s">
        <v>77</v>
      </c>
      <c r="B591" s="348" t="s">
        <v>773</v>
      </c>
      <c r="C591" s="349"/>
      <c r="D591" s="351">
        <v>225371</v>
      </c>
      <c r="E591" s="260">
        <v>9</v>
      </c>
      <c r="F591" s="631"/>
      <c r="G591" s="632"/>
      <c r="H591" s="633">
        <f t="shared" si="242"/>
        <v>0</v>
      </c>
      <c r="I591" s="634"/>
      <c r="J591" s="634"/>
      <c r="K591" s="635">
        <f t="shared" si="243"/>
        <v>0</v>
      </c>
      <c r="L591" s="636"/>
      <c r="M591" s="636"/>
      <c r="N591" s="637">
        <f t="shared" si="244"/>
        <v>0</v>
      </c>
      <c r="O591" s="638"/>
      <c r="P591" s="638"/>
      <c r="Q591" s="635">
        <f t="shared" si="245"/>
        <v>0</v>
      </c>
      <c r="R591" s="636"/>
      <c r="S591" s="636"/>
      <c r="T591" s="637">
        <f t="shared" si="246"/>
        <v>0</v>
      </c>
      <c r="U591" s="638"/>
      <c r="V591" s="638"/>
      <c r="W591" s="635">
        <f t="shared" si="247"/>
        <v>0</v>
      </c>
      <c r="X591" s="636"/>
      <c r="Y591" s="636"/>
      <c r="Z591" s="637">
        <f t="shared" si="248"/>
        <v>0</v>
      </c>
      <c r="AA591" s="638"/>
      <c r="AB591" s="638"/>
      <c r="AC591" s="635">
        <f t="shared" si="249"/>
        <v>0</v>
      </c>
      <c r="AD591" s="636"/>
      <c r="AE591" s="636"/>
      <c r="AF591" s="637">
        <f t="shared" si="250"/>
        <v>0</v>
      </c>
      <c r="AG591" s="638"/>
      <c r="AH591" s="638"/>
      <c r="AI591" s="635">
        <f t="shared" si="251"/>
        <v>0</v>
      </c>
      <c r="AJ591" s="636">
        <v>73</v>
      </c>
      <c r="AK591" s="636">
        <v>42189.424657534248</v>
      </c>
      <c r="AL591" s="637">
        <f t="shared" si="252"/>
        <v>3079828</v>
      </c>
      <c r="AM591" s="638">
        <v>73</v>
      </c>
      <c r="AN591" s="638">
        <v>41612.849315068495</v>
      </c>
      <c r="AO591" s="640">
        <f t="shared" si="253"/>
        <v>3037738</v>
      </c>
      <c r="AP591" s="636"/>
      <c r="AQ591" s="636"/>
      <c r="AR591" s="637">
        <f t="shared" si="254"/>
        <v>0</v>
      </c>
      <c r="AS591" s="638"/>
      <c r="AT591" s="638"/>
      <c r="AU591" s="635">
        <f t="shared" si="255"/>
        <v>0</v>
      </c>
      <c r="AV591" s="636"/>
      <c r="AW591" s="636"/>
      <c r="AX591" s="637">
        <f t="shared" si="256"/>
        <v>0</v>
      </c>
      <c r="AY591" s="638"/>
      <c r="AZ591" s="638"/>
      <c r="BA591" s="635">
        <f t="shared" si="257"/>
        <v>0</v>
      </c>
      <c r="BB591" s="636"/>
      <c r="BC591" s="636"/>
      <c r="BD591" s="637">
        <f t="shared" si="258"/>
        <v>0</v>
      </c>
      <c r="BE591" s="638"/>
      <c r="BF591" s="638"/>
      <c r="BG591" s="635">
        <f t="shared" si="259"/>
        <v>0</v>
      </c>
      <c r="BH591" s="636"/>
      <c r="BI591" s="636"/>
      <c r="BJ591" s="637">
        <f t="shared" si="260"/>
        <v>0</v>
      </c>
      <c r="BK591" s="638"/>
      <c r="BL591" s="638"/>
      <c r="BM591" s="635">
        <f t="shared" si="261"/>
        <v>0</v>
      </c>
      <c r="BN591" s="636"/>
      <c r="BO591" s="636"/>
      <c r="BP591" s="637">
        <f t="shared" si="262"/>
        <v>0</v>
      </c>
      <c r="BQ591" s="638"/>
      <c r="BR591" s="638"/>
      <c r="BS591" s="635">
        <f t="shared" si="263"/>
        <v>0</v>
      </c>
      <c r="BT591" s="636">
        <v>18</v>
      </c>
      <c r="BU591" s="636">
        <v>52469</v>
      </c>
      <c r="BV591" s="637">
        <f t="shared" si="264"/>
        <v>772742.44440000004</v>
      </c>
      <c r="BW591" s="638">
        <v>12</v>
      </c>
      <c r="BX591" s="638">
        <v>52702</v>
      </c>
      <c r="BY591" s="641">
        <f t="shared" si="265"/>
        <v>517449.31680000003</v>
      </c>
    </row>
    <row r="592" spans="1:77" x14ac:dyDescent="0.2">
      <c r="A592" s="384" t="s">
        <v>77</v>
      </c>
      <c r="B592" s="348" t="s">
        <v>774</v>
      </c>
      <c r="C592" s="349"/>
      <c r="D592" s="351">
        <v>225520</v>
      </c>
      <c r="E592" s="260">
        <v>9</v>
      </c>
      <c r="F592" s="631">
        <v>5</v>
      </c>
      <c r="G592" s="632">
        <v>54275</v>
      </c>
      <c r="H592" s="633">
        <f t="shared" si="242"/>
        <v>271375</v>
      </c>
      <c r="I592" s="634">
        <v>7</v>
      </c>
      <c r="J592" s="634">
        <v>50987.571428571428</v>
      </c>
      <c r="K592" s="635">
        <f t="shared" si="243"/>
        <v>356913</v>
      </c>
      <c r="L592" s="636">
        <v>19</v>
      </c>
      <c r="M592" s="636">
        <v>41276.210526315786</v>
      </c>
      <c r="N592" s="637">
        <f t="shared" si="244"/>
        <v>784248</v>
      </c>
      <c r="O592" s="638">
        <v>18</v>
      </c>
      <c r="P592" s="638">
        <v>44768</v>
      </c>
      <c r="Q592" s="635">
        <f t="shared" si="245"/>
        <v>805824</v>
      </c>
      <c r="R592" s="636">
        <v>28</v>
      </c>
      <c r="S592" s="636">
        <v>42710.964285714283</v>
      </c>
      <c r="T592" s="637">
        <f t="shared" si="246"/>
        <v>1195907</v>
      </c>
      <c r="U592" s="638">
        <v>24</v>
      </c>
      <c r="V592" s="638">
        <v>40052.916666666664</v>
      </c>
      <c r="W592" s="635">
        <f t="shared" si="247"/>
        <v>961270</v>
      </c>
      <c r="X592" s="636">
        <v>31</v>
      </c>
      <c r="Y592" s="636">
        <v>39946.580645161288</v>
      </c>
      <c r="Z592" s="637">
        <f t="shared" si="248"/>
        <v>1238344</v>
      </c>
      <c r="AA592" s="638">
        <v>29</v>
      </c>
      <c r="AB592" s="638">
        <v>37728.172413793101</v>
      </c>
      <c r="AC592" s="635">
        <f t="shared" si="249"/>
        <v>1094117</v>
      </c>
      <c r="AD592" s="636"/>
      <c r="AE592" s="636"/>
      <c r="AF592" s="637">
        <f t="shared" si="250"/>
        <v>0</v>
      </c>
      <c r="AG592" s="638"/>
      <c r="AH592" s="638"/>
      <c r="AI592" s="635">
        <f t="shared" si="251"/>
        <v>0</v>
      </c>
      <c r="AJ592" s="636"/>
      <c r="AK592" s="636"/>
      <c r="AL592" s="637">
        <f t="shared" si="252"/>
        <v>0</v>
      </c>
      <c r="AM592" s="638"/>
      <c r="AN592" s="638"/>
      <c r="AO592" s="640">
        <f t="shared" si="253"/>
        <v>0</v>
      </c>
      <c r="AP592" s="636">
        <v>2</v>
      </c>
      <c r="AQ592" s="636">
        <v>66340.5</v>
      </c>
      <c r="AR592" s="637">
        <f t="shared" si="254"/>
        <v>108559.59420000001</v>
      </c>
      <c r="AS592" s="638">
        <v>2</v>
      </c>
      <c r="AT592" s="638">
        <v>66340.5</v>
      </c>
      <c r="AU592" s="635">
        <f t="shared" si="255"/>
        <v>108559.59420000001</v>
      </c>
      <c r="AV592" s="636">
        <v>7</v>
      </c>
      <c r="AW592" s="636">
        <v>57392.428571428572</v>
      </c>
      <c r="AX592" s="637">
        <f t="shared" si="256"/>
        <v>328709.39540000004</v>
      </c>
      <c r="AY592" s="638">
        <v>5</v>
      </c>
      <c r="AZ592" s="638">
        <v>55967.8</v>
      </c>
      <c r="BA592" s="635">
        <f t="shared" si="257"/>
        <v>228964.26980000001</v>
      </c>
      <c r="BB592" s="636">
        <v>11</v>
      </c>
      <c r="BC592" s="636">
        <v>54532.63636363636</v>
      </c>
      <c r="BD592" s="637">
        <f t="shared" si="258"/>
        <v>490804.63380000001</v>
      </c>
      <c r="BE592" s="638">
        <v>15</v>
      </c>
      <c r="BF592" s="638">
        <v>52825.333333333336</v>
      </c>
      <c r="BG592" s="635">
        <f t="shared" si="259"/>
        <v>648325.31599999999</v>
      </c>
      <c r="BH592" s="636">
        <v>40</v>
      </c>
      <c r="BI592" s="636">
        <v>46662.025000000001</v>
      </c>
      <c r="BJ592" s="637">
        <f t="shared" si="260"/>
        <v>1527154.7542000001</v>
      </c>
      <c r="BK592" s="638">
        <v>38</v>
      </c>
      <c r="BL592" s="638">
        <v>46434.76315789474</v>
      </c>
      <c r="BM592" s="635">
        <f t="shared" si="261"/>
        <v>1443731.0822000003</v>
      </c>
      <c r="BN592" s="636"/>
      <c r="BO592" s="636"/>
      <c r="BP592" s="637">
        <f t="shared" si="262"/>
        <v>0</v>
      </c>
      <c r="BQ592" s="638"/>
      <c r="BR592" s="638"/>
      <c r="BS592" s="635">
        <f t="shared" si="263"/>
        <v>0</v>
      </c>
      <c r="BT592" s="636"/>
      <c r="BU592" s="636"/>
      <c r="BV592" s="637">
        <f t="shared" si="264"/>
        <v>0</v>
      </c>
      <c r="BW592" s="638"/>
      <c r="BX592" s="638"/>
      <c r="BY592" s="641">
        <f t="shared" si="265"/>
        <v>0</v>
      </c>
    </row>
    <row r="593" spans="1:77" x14ac:dyDescent="0.2">
      <c r="A593" s="391" t="s">
        <v>77</v>
      </c>
      <c r="B593" s="394" t="s">
        <v>776</v>
      </c>
      <c r="C593" s="395"/>
      <c r="D593" s="392">
        <v>441760</v>
      </c>
      <c r="E593" s="393">
        <v>9</v>
      </c>
      <c r="F593" s="631"/>
      <c r="G593" s="632"/>
      <c r="H593" s="633">
        <f t="shared" si="242"/>
        <v>0</v>
      </c>
      <c r="I593" s="634"/>
      <c r="J593" s="634"/>
      <c r="K593" s="635">
        <f t="shared" si="243"/>
        <v>0</v>
      </c>
      <c r="L593" s="636"/>
      <c r="M593" s="636"/>
      <c r="N593" s="637">
        <f t="shared" si="244"/>
        <v>0</v>
      </c>
      <c r="O593" s="638"/>
      <c r="P593" s="638"/>
      <c r="Q593" s="635">
        <f t="shared" si="245"/>
        <v>0</v>
      </c>
      <c r="R593" s="636"/>
      <c r="S593" s="636"/>
      <c r="T593" s="637">
        <f t="shared" si="246"/>
        <v>0</v>
      </c>
      <c r="U593" s="638"/>
      <c r="V593" s="638"/>
      <c r="W593" s="635">
        <f t="shared" si="247"/>
        <v>0</v>
      </c>
      <c r="X593" s="636">
        <v>81</v>
      </c>
      <c r="Y593" s="636">
        <v>41452.765432098764</v>
      </c>
      <c r="Z593" s="637">
        <f t="shared" si="248"/>
        <v>3357674</v>
      </c>
      <c r="AA593" s="638">
        <v>76</v>
      </c>
      <c r="AB593" s="638">
        <v>49356.26315789474</v>
      </c>
      <c r="AC593" s="635">
        <f t="shared" si="249"/>
        <v>3751076.0000000005</v>
      </c>
      <c r="AD593" s="636"/>
      <c r="AE593" s="636"/>
      <c r="AF593" s="637">
        <f t="shared" si="250"/>
        <v>0</v>
      </c>
      <c r="AG593" s="638"/>
      <c r="AH593" s="638"/>
      <c r="AI593" s="635">
        <f t="shared" si="251"/>
        <v>0</v>
      </c>
      <c r="AJ593" s="636"/>
      <c r="AK593" s="636"/>
      <c r="AL593" s="637">
        <f t="shared" si="252"/>
        <v>0</v>
      </c>
      <c r="AM593" s="638"/>
      <c r="AN593" s="638"/>
      <c r="AO593" s="640">
        <f t="shared" si="253"/>
        <v>0</v>
      </c>
      <c r="AP593" s="636"/>
      <c r="AQ593" s="636"/>
      <c r="AR593" s="637">
        <f t="shared" si="254"/>
        <v>0</v>
      </c>
      <c r="AS593" s="638"/>
      <c r="AT593" s="638"/>
      <c r="AU593" s="635">
        <f t="shared" si="255"/>
        <v>0</v>
      </c>
      <c r="AV593" s="636"/>
      <c r="AW593" s="636"/>
      <c r="AX593" s="637">
        <f t="shared" si="256"/>
        <v>0</v>
      </c>
      <c r="AY593" s="638"/>
      <c r="AZ593" s="638"/>
      <c r="BA593" s="635">
        <f t="shared" si="257"/>
        <v>0</v>
      </c>
      <c r="BB593" s="636"/>
      <c r="BC593" s="636"/>
      <c r="BD593" s="637">
        <f t="shared" si="258"/>
        <v>0</v>
      </c>
      <c r="BE593" s="638"/>
      <c r="BF593" s="638"/>
      <c r="BG593" s="635">
        <f t="shared" si="259"/>
        <v>0</v>
      </c>
      <c r="BH593" s="636"/>
      <c r="BI593" s="636"/>
      <c r="BJ593" s="637">
        <f t="shared" si="260"/>
        <v>0</v>
      </c>
      <c r="BK593" s="638"/>
      <c r="BL593" s="638"/>
      <c r="BM593" s="635">
        <f t="shared" si="261"/>
        <v>0</v>
      </c>
      <c r="BN593" s="636"/>
      <c r="BO593" s="636"/>
      <c r="BP593" s="637">
        <f t="shared" si="262"/>
        <v>0</v>
      </c>
      <c r="BQ593" s="638"/>
      <c r="BR593" s="638"/>
      <c r="BS593" s="635">
        <f t="shared" si="263"/>
        <v>0</v>
      </c>
      <c r="BT593" s="636"/>
      <c r="BU593" s="636"/>
      <c r="BV593" s="637">
        <f t="shared" si="264"/>
        <v>0</v>
      </c>
      <c r="BW593" s="638"/>
      <c r="BX593" s="638"/>
      <c r="BY593" s="641">
        <f t="shared" si="265"/>
        <v>0</v>
      </c>
    </row>
    <row r="594" spans="1:77" x14ac:dyDescent="0.2">
      <c r="A594" s="384" t="s">
        <v>77</v>
      </c>
      <c r="B594" s="348" t="s">
        <v>777</v>
      </c>
      <c r="C594" s="349"/>
      <c r="D594" s="351">
        <v>226204</v>
      </c>
      <c r="E594" s="260">
        <v>9</v>
      </c>
      <c r="F594" s="631"/>
      <c r="G594" s="632"/>
      <c r="H594" s="633">
        <f t="shared" si="242"/>
        <v>0</v>
      </c>
      <c r="I594" s="634"/>
      <c r="J594" s="634"/>
      <c r="K594" s="635">
        <f t="shared" si="243"/>
        <v>0</v>
      </c>
      <c r="L594" s="636"/>
      <c r="M594" s="636"/>
      <c r="N594" s="637">
        <f t="shared" si="244"/>
        <v>0</v>
      </c>
      <c r="O594" s="638"/>
      <c r="P594" s="638"/>
      <c r="Q594" s="635">
        <f t="shared" si="245"/>
        <v>0</v>
      </c>
      <c r="R594" s="636"/>
      <c r="S594" s="636"/>
      <c r="T594" s="637">
        <f t="shared" si="246"/>
        <v>0</v>
      </c>
      <c r="U594" s="638"/>
      <c r="V594" s="638"/>
      <c r="W594" s="635">
        <f t="shared" si="247"/>
        <v>0</v>
      </c>
      <c r="X594" s="636"/>
      <c r="Y594" s="636"/>
      <c r="Z594" s="637">
        <f t="shared" si="248"/>
        <v>0</v>
      </c>
      <c r="AA594" s="638">
        <v>139</v>
      </c>
      <c r="AB594" s="638">
        <v>51745.266187050358</v>
      </c>
      <c r="AC594" s="635">
        <f t="shared" si="249"/>
        <v>7192592</v>
      </c>
      <c r="AD594" s="636"/>
      <c r="AE594" s="636"/>
      <c r="AF594" s="637">
        <f t="shared" si="250"/>
        <v>0</v>
      </c>
      <c r="AG594" s="638"/>
      <c r="AH594" s="638"/>
      <c r="AI594" s="635">
        <f t="shared" si="251"/>
        <v>0</v>
      </c>
      <c r="AJ594" s="636">
        <v>145</v>
      </c>
      <c r="AK594" s="636">
        <v>50695.896551724138</v>
      </c>
      <c r="AL594" s="637">
        <f t="shared" si="252"/>
        <v>7350905</v>
      </c>
      <c r="AM594" s="638"/>
      <c r="AN594" s="638"/>
      <c r="AO594" s="640">
        <f t="shared" si="253"/>
        <v>0</v>
      </c>
      <c r="AP594" s="636"/>
      <c r="AQ594" s="636"/>
      <c r="AR594" s="637">
        <f t="shared" si="254"/>
        <v>0</v>
      </c>
      <c r="AS594" s="638"/>
      <c r="AT594" s="638"/>
      <c r="AU594" s="635">
        <f t="shared" si="255"/>
        <v>0</v>
      </c>
      <c r="AV594" s="636"/>
      <c r="AW594" s="636"/>
      <c r="AX594" s="637">
        <f t="shared" si="256"/>
        <v>0</v>
      </c>
      <c r="AY594" s="638"/>
      <c r="AZ594" s="638"/>
      <c r="BA594" s="635">
        <f t="shared" si="257"/>
        <v>0</v>
      </c>
      <c r="BB594" s="636"/>
      <c r="BC594" s="636"/>
      <c r="BD594" s="637">
        <f t="shared" si="258"/>
        <v>0</v>
      </c>
      <c r="BE594" s="638"/>
      <c r="BF594" s="638"/>
      <c r="BG594" s="635">
        <f t="shared" si="259"/>
        <v>0</v>
      </c>
      <c r="BH594" s="636"/>
      <c r="BI594" s="636"/>
      <c r="BJ594" s="637">
        <f t="shared" si="260"/>
        <v>0</v>
      </c>
      <c r="BK594" s="638">
        <v>16</v>
      </c>
      <c r="BL594" s="638">
        <v>60524.375</v>
      </c>
      <c r="BM594" s="635">
        <f t="shared" si="261"/>
        <v>792336.69800000009</v>
      </c>
      <c r="BN594" s="636"/>
      <c r="BO594" s="636"/>
      <c r="BP594" s="637">
        <f t="shared" si="262"/>
        <v>0</v>
      </c>
      <c r="BQ594" s="638"/>
      <c r="BR594" s="638"/>
      <c r="BS594" s="635">
        <f t="shared" si="263"/>
        <v>0</v>
      </c>
      <c r="BT594" s="636">
        <v>16</v>
      </c>
      <c r="BU594" s="636">
        <v>59715.75</v>
      </c>
      <c r="BV594" s="637">
        <f t="shared" si="264"/>
        <v>781750.82640000002</v>
      </c>
      <c r="BW594" s="638"/>
      <c r="BX594" s="638"/>
      <c r="BY594" s="641">
        <f t="shared" si="265"/>
        <v>0</v>
      </c>
    </row>
    <row r="595" spans="1:77" x14ac:dyDescent="0.2">
      <c r="A595" s="384" t="s">
        <v>77</v>
      </c>
      <c r="B595" s="389" t="s">
        <v>778</v>
      </c>
      <c r="C595" s="390" t="s">
        <v>879</v>
      </c>
      <c r="D595" s="351">
        <v>226930</v>
      </c>
      <c r="E595" s="260">
        <v>9</v>
      </c>
      <c r="F595" s="631"/>
      <c r="G595" s="632"/>
      <c r="H595" s="633">
        <f t="shared" si="242"/>
        <v>0</v>
      </c>
      <c r="I595" s="634"/>
      <c r="J595" s="634"/>
      <c r="K595" s="635">
        <f t="shared" si="243"/>
        <v>0</v>
      </c>
      <c r="L595" s="636"/>
      <c r="M595" s="636"/>
      <c r="N595" s="637">
        <f t="shared" si="244"/>
        <v>0</v>
      </c>
      <c r="O595" s="638"/>
      <c r="P595" s="638"/>
      <c r="Q595" s="635">
        <f t="shared" si="245"/>
        <v>0</v>
      </c>
      <c r="R595" s="636"/>
      <c r="S595" s="636"/>
      <c r="T595" s="637">
        <f t="shared" si="246"/>
        <v>0</v>
      </c>
      <c r="U595" s="638"/>
      <c r="V595" s="638"/>
      <c r="W595" s="635">
        <f t="shared" si="247"/>
        <v>0</v>
      </c>
      <c r="X595" s="636"/>
      <c r="Y595" s="636"/>
      <c r="Z595" s="637">
        <f t="shared" si="248"/>
        <v>0</v>
      </c>
      <c r="AA595" s="638"/>
      <c r="AB595" s="638"/>
      <c r="AC595" s="635">
        <f t="shared" si="249"/>
        <v>0</v>
      </c>
      <c r="AD595" s="636"/>
      <c r="AE595" s="636"/>
      <c r="AF595" s="637">
        <f t="shared" si="250"/>
        <v>0</v>
      </c>
      <c r="AG595" s="638"/>
      <c r="AH595" s="638"/>
      <c r="AI595" s="635">
        <f t="shared" si="251"/>
        <v>0</v>
      </c>
      <c r="AJ595" s="636">
        <v>77</v>
      </c>
      <c r="AK595" s="636">
        <v>60219.805194805194</v>
      </c>
      <c r="AL595" s="637">
        <f t="shared" si="252"/>
        <v>4636925</v>
      </c>
      <c r="AM595" s="638">
        <v>70</v>
      </c>
      <c r="AN595" s="638">
        <v>58952.942857142858</v>
      </c>
      <c r="AO595" s="640">
        <f t="shared" si="253"/>
        <v>4126706</v>
      </c>
      <c r="AP595" s="636"/>
      <c r="AQ595" s="636"/>
      <c r="AR595" s="637">
        <f t="shared" si="254"/>
        <v>0</v>
      </c>
      <c r="AS595" s="638"/>
      <c r="AT595" s="638"/>
      <c r="AU595" s="635">
        <f t="shared" si="255"/>
        <v>0</v>
      </c>
      <c r="AV595" s="636"/>
      <c r="AW595" s="636"/>
      <c r="AX595" s="637">
        <f t="shared" si="256"/>
        <v>0</v>
      </c>
      <c r="AY595" s="638"/>
      <c r="AZ595" s="638"/>
      <c r="BA595" s="635">
        <f t="shared" si="257"/>
        <v>0</v>
      </c>
      <c r="BB595" s="636"/>
      <c r="BC595" s="636"/>
      <c r="BD595" s="637">
        <f t="shared" si="258"/>
        <v>0</v>
      </c>
      <c r="BE595" s="638"/>
      <c r="BF595" s="638"/>
      <c r="BG595" s="635">
        <f t="shared" si="259"/>
        <v>0</v>
      </c>
      <c r="BH595" s="636"/>
      <c r="BI595" s="636"/>
      <c r="BJ595" s="637">
        <f t="shared" si="260"/>
        <v>0</v>
      </c>
      <c r="BK595" s="638"/>
      <c r="BL595" s="638"/>
      <c r="BM595" s="635">
        <f t="shared" si="261"/>
        <v>0</v>
      </c>
      <c r="BN595" s="636"/>
      <c r="BO595" s="636"/>
      <c r="BP595" s="637">
        <f t="shared" si="262"/>
        <v>0</v>
      </c>
      <c r="BQ595" s="638"/>
      <c r="BR595" s="638"/>
      <c r="BS595" s="635">
        <f t="shared" si="263"/>
        <v>0</v>
      </c>
      <c r="BT595" s="636"/>
      <c r="BU595" s="636"/>
      <c r="BV595" s="637">
        <f t="shared" si="264"/>
        <v>0</v>
      </c>
      <c r="BW595" s="638"/>
      <c r="BX595" s="638"/>
      <c r="BY595" s="641">
        <f t="shared" si="265"/>
        <v>0</v>
      </c>
    </row>
    <row r="596" spans="1:77" x14ac:dyDescent="0.2">
      <c r="A596" s="384" t="s">
        <v>77</v>
      </c>
      <c r="B596" s="350" t="s">
        <v>798</v>
      </c>
      <c r="C596" s="421" t="s">
        <v>880</v>
      </c>
      <c r="D596" s="351">
        <v>227225</v>
      </c>
      <c r="E596" s="422">
        <v>9</v>
      </c>
      <c r="F596" s="631">
        <v>25</v>
      </c>
      <c r="G596" s="632">
        <v>58900.28</v>
      </c>
      <c r="H596" s="633">
        <f t="shared" si="242"/>
        <v>1472507</v>
      </c>
      <c r="I596" s="634">
        <v>25</v>
      </c>
      <c r="J596" s="634">
        <v>60194.32</v>
      </c>
      <c r="K596" s="635">
        <f t="shared" si="243"/>
        <v>1504858</v>
      </c>
      <c r="L596" s="636">
        <v>10</v>
      </c>
      <c r="M596" s="636">
        <v>50140.7</v>
      </c>
      <c r="N596" s="637">
        <f t="shared" si="244"/>
        <v>501407</v>
      </c>
      <c r="O596" s="638">
        <v>12</v>
      </c>
      <c r="P596" s="638">
        <v>50143.916666666664</v>
      </c>
      <c r="Q596" s="635">
        <f t="shared" si="245"/>
        <v>601727</v>
      </c>
      <c r="R596" s="636">
        <v>8</v>
      </c>
      <c r="S596" s="636">
        <v>45871.75</v>
      </c>
      <c r="T596" s="637">
        <f t="shared" si="246"/>
        <v>366974</v>
      </c>
      <c r="U596" s="638">
        <v>6</v>
      </c>
      <c r="V596" s="638">
        <v>46444.833333333336</v>
      </c>
      <c r="W596" s="635">
        <f t="shared" si="247"/>
        <v>278669</v>
      </c>
      <c r="X596" s="636">
        <v>8</v>
      </c>
      <c r="Y596" s="636">
        <v>41739.375</v>
      </c>
      <c r="Z596" s="637">
        <f t="shared" si="248"/>
        <v>333915</v>
      </c>
      <c r="AA596" s="638">
        <v>8</v>
      </c>
      <c r="AB596" s="638">
        <v>42138.625</v>
      </c>
      <c r="AC596" s="635">
        <f t="shared" si="249"/>
        <v>337109</v>
      </c>
      <c r="AD596" s="636"/>
      <c r="AE596" s="636"/>
      <c r="AF596" s="637">
        <f t="shared" si="250"/>
        <v>0</v>
      </c>
      <c r="AG596" s="638"/>
      <c r="AH596" s="638"/>
      <c r="AI596" s="635">
        <f t="shared" si="251"/>
        <v>0</v>
      </c>
      <c r="AJ596" s="636"/>
      <c r="AK596" s="636"/>
      <c r="AL596" s="637">
        <f t="shared" si="252"/>
        <v>0</v>
      </c>
      <c r="AM596" s="638"/>
      <c r="AN596" s="638"/>
      <c r="AO596" s="640">
        <f t="shared" si="253"/>
        <v>0</v>
      </c>
      <c r="AP596" s="636">
        <v>6</v>
      </c>
      <c r="AQ596" s="636">
        <v>68531.833333333328</v>
      </c>
      <c r="AR596" s="637">
        <f t="shared" si="254"/>
        <v>336436.47620000003</v>
      </c>
      <c r="AS596" s="638">
        <v>6</v>
      </c>
      <c r="AT596" s="638">
        <v>66353.166666666672</v>
      </c>
      <c r="AU596" s="635">
        <f t="shared" si="255"/>
        <v>325740.96580000001</v>
      </c>
      <c r="AV596" s="636">
        <v>4</v>
      </c>
      <c r="AW596" s="636">
        <v>63325.25</v>
      </c>
      <c r="AX596" s="637">
        <f t="shared" si="256"/>
        <v>207250.87820000001</v>
      </c>
      <c r="AY596" s="638"/>
      <c r="AZ596" s="638"/>
      <c r="BA596" s="635">
        <f t="shared" si="257"/>
        <v>0</v>
      </c>
      <c r="BB596" s="636">
        <v>3</v>
      </c>
      <c r="BC596" s="636">
        <v>54953.666666666664</v>
      </c>
      <c r="BD596" s="637">
        <f t="shared" si="258"/>
        <v>134889.2702</v>
      </c>
      <c r="BE596" s="638">
        <v>5</v>
      </c>
      <c r="BF596" s="638">
        <v>57550.400000000001</v>
      </c>
      <c r="BG596" s="635">
        <f t="shared" si="259"/>
        <v>235438.68640000001</v>
      </c>
      <c r="BH596" s="636">
        <v>8</v>
      </c>
      <c r="BI596" s="636">
        <v>54836.375</v>
      </c>
      <c r="BJ596" s="637">
        <f t="shared" si="260"/>
        <v>358936.97620000003</v>
      </c>
      <c r="BK596" s="638">
        <v>7</v>
      </c>
      <c r="BL596" s="638">
        <v>56087.857142857145</v>
      </c>
      <c r="BM596" s="635">
        <f t="shared" si="261"/>
        <v>321237.59299999999</v>
      </c>
      <c r="BN596" s="636"/>
      <c r="BO596" s="636"/>
      <c r="BP596" s="637">
        <f t="shared" si="262"/>
        <v>0</v>
      </c>
      <c r="BQ596" s="638"/>
      <c r="BR596" s="638"/>
      <c r="BS596" s="635">
        <f t="shared" si="263"/>
        <v>0</v>
      </c>
      <c r="BT596" s="636"/>
      <c r="BU596" s="636"/>
      <c r="BV596" s="637">
        <f t="shared" si="264"/>
        <v>0</v>
      </c>
      <c r="BW596" s="638"/>
      <c r="BX596" s="638"/>
      <c r="BY596" s="641">
        <f t="shared" si="265"/>
        <v>0</v>
      </c>
    </row>
    <row r="597" spans="1:77" x14ac:dyDescent="0.2">
      <c r="A597" s="384" t="s">
        <v>77</v>
      </c>
      <c r="B597" s="348" t="s">
        <v>779</v>
      </c>
      <c r="C597" s="349"/>
      <c r="D597" s="351">
        <v>227304</v>
      </c>
      <c r="E597" s="260">
        <v>9</v>
      </c>
      <c r="F597" s="631">
        <v>15</v>
      </c>
      <c r="G597" s="632">
        <v>60638</v>
      </c>
      <c r="H597" s="633">
        <f t="shared" si="242"/>
        <v>909570</v>
      </c>
      <c r="I597" s="634">
        <v>15</v>
      </c>
      <c r="J597" s="634">
        <v>59823.26666666667</v>
      </c>
      <c r="K597" s="635">
        <f t="shared" si="243"/>
        <v>897349</v>
      </c>
      <c r="L597" s="636">
        <v>27</v>
      </c>
      <c r="M597" s="636">
        <v>44727.925925925927</v>
      </c>
      <c r="N597" s="637">
        <f t="shared" si="244"/>
        <v>1207654</v>
      </c>
      <c r="O597" s="638">
        <v>25</v>
      </c>
      <c r="P597" s="638">
        <v>48737.48</v>
      </c>
      <c r="Q597" s="635">
        <f t="shared" si="245"/>
        <v>1218437</v>
      </c>
      <c r="R597" s="636">
        <v>24</v>
      </c>
      <c r="S597" s="636">
        <v>52215.5</v>
      </c>
      <c r="T597" s="637">
        <f t="shared" si="246"/>
        <v>1253172</v>
      </c>
      <c r="U597" s="638">
        <v>24</v>
      </c>
      <c r="V597" s="638">
        <v>50393.166666666664</v>
      </c>
      <c r="W597" s="635">
        <f t="shared" si="247"/>
        <v>1209436</v>
      </c>
      <c r="X597" s="636">
        <v>42</v>
      </c>
      <c r="Y597" s="636">
        <v>45795.785714285717</v>
      </c>
      <c r="Z597" s="637">
        <f t="shared" si="248"/>
        <v>1923423.0000000002</v>
      </c>
      <c r="AA597" s="638">
        <v>40</v>
      </c>
      <c r="AB597" s="638">
        <v>45760.35</v>
      </c>
      <c r="AC597" s="635">
        <f t="shared" si="249"/>
        <v>1830414</v>
      </c>
      <c r="AD597" s="636"/>
      <c r="AE597" s="636"/>
      <c r="AF597" s="637">
        <f t="shared" si="250"/>
        <v>0</v>
      </c>
      <c r="AG597" s="638"/>
      <c r="AH597" s="638"/>
      <c r="AI597" s="635">
        <f t="shared" si="251"/>
        <v>0</v>
      </c>
      <c r="AJ597" s="636"/>
      <c r="AK597" s="636"/>
      <c r="AL597" s="637">
        <f t="shared" si="252"/>
        <v>0</v>
      </c>
      <c r="AM597" s="638"/>
      <c r="AN597" s="638"/>
      <c r="AO597" s="640">
        <f t="shared" si="253"/>
        <v>0</v>
      </c>
      <c r="AP597" s="636">
        <v>1</v>
      </c>
      <c r="AQ597" s="636">
        <v>75373</v>
      </c>
      <c r="AR597" s="637">
        <f t="shared" si="254"/>
        <v>61670.188600000001</v>
      </c>
      <c r="AS597" s="638">
        <v>2</v>
      </c>
      <c r="AT597" s="638">
        <v>67116.5</v>
      </c>
      <c r="AU597" s="635">
        <f t="shared" si="255"/>
        <v>109829.4406</v>
      </c>
      <c r="AV597" s="636">
        <v>7</v>
      </c>
      <c r="AW597" s="636">
        <v>68973.428571428565</v>
      </c>
      <c r="AX597" s="637">
        <f t="shared" si="256"/>
        <v>395038.41479999997</v>
      </c>
      <c r="AY597" s="638">
        <v>6</v>
      </c>
      <c r="AZ597" s="638">
        <v>63711.666666666664</v>
      </c>
      <c r="BA597" s="635">
        <f t="shared" si="257"/>
        <v>312773.31400000001</v>
      </c>
      <c r="BB597" s="636">
        <v>5</v>
      </c>
      <c r="BC597" s="636">
        <v>62089.4</v>
      </c>
      <c r="BD597" s="637">
        <f t="shared" si="258"/>
        <v>254007.73540000001</v>
      </c>
      <c r="BE597" s="638">
        <v>5</v>
      </c>
      <c r="BF597" s="638">
        <v>61313.8</v>
      </c>
      <c r="BG597" s="635">
        <f t="shared" si="259"/>
        <v>250834.75580000001</v>
      </c>
      <c r="BH597" s="636">
        <v>5</v>
      </c>
      <c r="BI597" s="636">
        <v>56600</v>
      </c>
      <c r="BJ597" s="637">
        <f t="shared" si="260"/>
        <v>231550.6</v>
      </c>
      <c r="BK597" s="638">
        <v>7</v>
      </c>
      <c r="BL597" s="638">
        <v>59933.857142857145</v>
      </c>
      <c r="BM597" s="635">
        <f t="shared" si="261"/>
        <v>343265.17340000003</v>
      </c>
      <c r="BN597" s="636"/>
      <c r="BO597" s="636"/>
      <c r="BP597" s="637">
        <f t="shared" si="262"/>
        <v>0</v>
      </c>
      <c r="BQ597" s="638"/>
      <c r="BR597" s="638"/>
      <c r="BS597" s="635">
        <f t="shared" si="263"/>
        <v>0</v>
      </c>
      <c r="BT597" s="636"/>
      <c r="BU597" s="636"/>
      <c r="BV597" s="637">
        <f t="shared" si="264"/>
        <v>0</v>
      </c>
      <c r="BW597" s="638"/>
      <c r="BX597" s="638"/>
      <c r="BY597" s="641">
        <f t="shared" si="265"/>
        <v>0</v>
      </c>
    </row>
    <row r="598" spans="1:77" x14ac:dyDescent="0.2">
      <c r="A598" s="384" t="s">
        <v>77</v>
      </c>
      <c r="B598" s="348" t="s">
        <v>780</v>
      </c>
      <c r="C598" s="349"/>
      <c r="D598" s="351">
        <v>227401</v>
      </c>
      <c r="E598" s="260">
        <v>9</v>
      </c>
      <c r="F598" s="631"/>
      <c r="G598" s="632"/>
      <c r="H598" s="633">
        <f t="shared" si="242"/>
        <v>0</v>
      </c>
      <c r="I598" s="634"/>
      <c r="J598" s="634"/>
      <c r="K598" s="635">
        <f t="shared" si="243"/>
        <v>0</v>
      </c>
      <c r="L598" s="636"/>
      <c r="M598" s="636"/>
      <c r="N598" s="637">
        <f t="shared" si="244"/>
        <v>0</v>
      </c>
      <c r="O598" s="638"/>
      <c r="P598" s="638"/>
      <c r="Q598" s="635">
        <f t="shared" si="245"/>
        <v>0</v>
      </c>
      <c r="R598" s="636"/>
      <c r="S598" s="636"/>
      <c r="T598" s="637">
        <f t="shared" si="246"/>
        <v>0</v>
      </c>
      <c r="U598" s="638"/>
      <c r="V598" s="638"/>
      <c r="W598" s="635">
        <f t="shared" si="247"/>
        <v>0</v>
      </c>
      <c r="X598" s="636"/>
      <c r="Y598" s="636"/>
      <c r="Z598" s="637">
        <f t="shared" si="248"/>
        <v>0</v>
      </c>
      <c r="AA598" s="638"/>
      <c r="AB598" s="638"/>
      <c r="AC598" s="635">
        <f t="shared" si="249"/>
        <v>0</v>
      </c>
      <c r="AD598" s="636"/>
      <c r="AE598" s="636"/>
      <c r="AF598" s="637">
        <f t="shared" si="250"/>
        <v>0</v>
      </c>
      <c r="AG598" s="638"/>
      <c r="AH598" s="638"/>
      <c r="AI598" s="635">
        <f t="shared" si="251"/>
        <v>0</v>
      </c>
      <c r="AJ598" s="636">
        <v>75</v>
      </c>
      <c r="AK598" s="636">
        <v>54048.306666666664</v>
      </c>
      <c r="AL598" s="637">
        <f t="shared" si="252"/>
        <v>4053623</v>
      </c>
      <c r="AM598" s="638">
        <v>69</v>
      </c>
      <c r="AN598" s="638">
        <v>54492.927536231888</v>
      </c>
      <c r="AO598" s="640">
        <f t="shared" si="253"/>
        <v>3760012.0000000005</v>
      </c>
      <c r="AP598" s="636"/>
      <c r="AQ598" s="636"/>
      <c r="AR598" s="637">
        <f t="shared" si="254"/>
        <v>0</v>
      </c>
      <c r="AS598" s="638"/>
      <c r="AT598" s="638"/>
      <c r="AU598" s="635">
        <f t="shared" si="255"/>
        <v>0</v>
      </c>
      <c r="AV598" s="636"/>
      <c r="AW598" s="636"/>
      <c r="AX598" s="637">
        <f t="shared" si="256"/>
        <v>0</v>
      </c>
      <c r="AY598" s="638"/>
      <c r="AZ598" s="638"/>
      <c r="BA598" s="635">
        <f t="shared" si="257"/>
        <v>0</v>
      </c>
      <c r="BB598" s="636"/>
      <c r="BC598" s="636"/>
      <c r="BD598" s="637">
        <f t="shared" si="258"/>
        <v>0</v>
      </c>
      <c r="BE598" s="638"/>
      <c r="BF598" s="638"/>
      <c r="BG598" s="635">
        <f t="shared" si="259"/>
        <v>0</v>
      </c>
      <c r="BH598" s="636"/>
      <c r="BI598" s="636"/>
      <c r="BJ598" s="637">
        <f t="shared" si="260"/>
        <v>0</v>
      </c>
      <c r="BK598" s="638"/>
      <c r="BL598" s="638"/>
      <c r="BM598" s="635">
        <f t="shared" si="261"/>
        <v>0</v>
      </c>
      <c r="BN598" s="636"/>
      <c r="BO598" s="636"/>
      <c r="BP598" s="637">
        <f t="shared" si="262"/>
        <v>0</v>
      </c>
      <c r="BQ598" s="638"/>
      <c r="BR598" s="638"/>
      <c r="BS598" s="635">
        <f t="shared" si="263"/>
        <v>0</v>
      </c>
      <c r="BT598" s="636">
        <v>24</v>
      </c>
      <c r="BU598" s="636">
        <v>74928.041666666672</v>
      </c>
      <c r="BV598" s="637">
        <f t="shared" si="264"/>
        <v>1471346.9686</v>
      </c>
      <c r="BW598" s="638">
        <v>22</v>
      </c>
      <c r="BX598" s="638">
        <v>66220.5</v>
      </c>
      <c r="BY598" s="641">
        <f t="shared" si="265"/>
        <v>1191995.4882</v>
      </c>
    </row>
    <row r="599" spans="1:77" x14ac:dyDescent="0.2">
      <c r="A599" s="384" t="s">
        <v>77</v>
      </c>
      <c r="B599" s="348" t="s">
        <v>781</v>
      </c>
      <c r="C599" s="349"/>
      <c r="D599" s="351">
        <v>228316</v>
      </c>
      <c r="E599" s="260">
        <v>9</v>
      </c>
      <c r="F599" s="631"/>
      <c r="G599" s="632"/>
      <c r="H599" s="633">
        <f t="shared" si="242"/>
        <v>0</v>
      </c>
      <c r="I599" s="634"/>
      <c r="J599" s="634"/>
      <c r="K599" s="635">
        <f t="shared" si="243"/>
        <v>0</v>
      </c>
      <c r="L599" s="636"/>
      <c r="M599" s="636"/>
      <c r="N599" s="637">
        <f t="shared" si="244"/>
        <v>0</v>
      </c>
      <c r="O599" s="638"/>
      <c r="P599" s="638"/>
      <c r="Q599" s="635">
        <f t="shared" si="245"/>
        <v>0</v>
      </c>
      <c r="R599" s="636"/>
      <c r="S599" s="636"/>
      <c r="T599" s="637">
        <f t="shared" si="246"/>
        <v>0</v>
      </c>
      <c r="U599" s="638"/>
      <c r="V599" s="638"/>
      <c r="W599" s="635">
        <f t="shared" si="247"/>
        <v>0</v>
      </c>
      <c r="X599" s="636">
        <v>105</v>
      </c>
      <c r="Y599" s="636">
        <v>48019.304761904765</v>
      </c>
      <c r="Z599" s="637">
        <f t="shared" si="248"/>
        <v>5042027</v>
      </c>
      <c r="AA599" s="638">
        <v>110</v>
      </c>
      <c r="AB599" s="638">
        <v>51245.354545454546</v>
      </c>
      <c r="AC599" s="635">
        <f t="shared" si="249"/>
        <v>5636989</v>
      </c>
      <c r="AD599" s="636"/>
      <c r="AE599" s="636"/>
      <c r="AF599" s="637">
        <f t="shared" si="250"/>
        <v>0</v>
      </c>
      <c r="AG599" s="638"/>
      <c r="AH599" s="638"/>
      <c r="AI599" s="635">
        <f t="shared" si="251"/>
        <v>0</v>
      </c>
      <c r="AJ599" s="636"/>
      <c r="AK599" s="636"/>
      <c r="AL599" s="637">
        <f t="shared" si="252"/>
        <v>0</v>
      </c>
      <c r="AM599" s="638"/>
      <c r="AN599" s="638"/>
      <c r="AO599" s="640">
        <f t="shared" si="253"/>
        <v>0</v>
      </c>
      <c r="AP599" s="636"/>
      <c r="AQ599" s="636"/>
      <c r="AR599" s="637">
        <f t="shared" si="254"/>
        <v>0</v>
      </c>
      <c r="AS599" s="638"/>
      <c r="AT599" s="638"/>
      <c r="AU599" s="635">
        <f t="shared" si="255"/>
        <v>0</v>
      </c>
      <c r="AV599" s="636"/>
      <c r="AW599" s="636"/>
      <c r="AX599" s="637">
        <f t="shared" si="256"/>
        <v>0</v>
      </c>
      <c r="AY599" s="638"/>
      <c r="AZ599" s="638"/>
      <c r="BA599" s="635">
        <f t="shared" si="257"/>
        <v>0</v>
      </c>
      <c r="BB599" s="636"/>
      <c r="BC599" s="636"/>
      <c r="BD599" s="637">
        <f t="shared" si="258"/>
        <v>0</v>
      </c>
      <c r="BE599" s="638"/>
      <c r="BF599" s="638"/>
      <c r="BG599" s="635">
        <f t="shared" si="259"/>
        <v>0</v>
      </c>
      <c r="BH599" s="636">
        <v>10</v>
      </c>
      <c r="BI599" s="636">
        <v>66873.8</v>
      </c>
      <c r="BJ599" s="637">
        <f t="shared" si="260"/>
        <v>547161.43160000001</v>
      </c>
      <c r="BK599" s="638">
        <v>8</v>
      </c>
      <c r="BL599" s="638">
        <v>65580.875</v>
      </c>
      <c r="BM599" s="635">
        <f t="shared" si="261"/>
        <v>429266.17540000001</v>
      </c>
      <c r="BN599" s="636"/>
      <c r="BO599" s="636"/>
      <c r="BP599" s="637">
        <f t="shared" si="262"/>
        <v>0</v>
      </c>
      <c r="BQ599" s="638"/>
      <c r="BR599" s="638"/>
      <c r="BS599" s="635">
        <f t="shared" si="263"/>
        <v>0</v>
      </c>
      <c r="BT599" s="636"/>
      <c r="BU599" s="636"/>
      <c r="BV599" s="637">
        <f t="shared" si="264"/>
        <v>0</v>
      </c>
      <c r="BW599" s="638"/>
      <c r="BX599" s="638"/>
      <c r="BY599" s="641">
        <f t="shared" si="265"/>
        <v>0</v>
      </c>
    </row>
    <row r="600" spans="1:77" x14ac:dyDescent="0.2">
      <c r="A600" s="384" t="s">
        <v>77</v>
      </c>
      <c r="B600" s="348" t="s">
        <v>782</v>
      </c>
      <c r="C600" s="349"/>
      <c r="D600" s="351">
        <v>228608</v>
      </c>
      <c r="E600" s="260">
        <v>9</v>
      </c>
      <c r="F600" s="631"/>
      <c r="G600" s="632"/>
      <c r="H600" s="633">
        <f t="shared" si="242"/>
        <v>0</v>
      </c>
      <c r="I600" s="634"/>
      <c r="J600" s="634"/>
      <c r="K600" s="635">
        <f t="shared" si="243"/>
        <v>0</v>
      </c>
      <c r="L600" s="636"/>
      <c r="M600" s="636"/>
      <c r="N600" s="637">
        <f t="shared" si="244"/>
        <v>0</v>
      </c>
      <c r="O600" s="638"/>
      <c r="P600" s="638"/>
      <c r="Q600" s="635">
        <f t="shared" si="245"/>
        <v>0</v>
      </c>
      <c r="R600" s="636"/>
      <c r="S600" s="636"/>
      <c r="T600" s="637">
        <f t="shared" si="246"/>
        <v>0</v>
      </c>
      <c r="U600" s="638"/>
      <c r="V600" s="638"/>
      <c r="W600" s="635">
        <f t="shared" si="247"/>
        <v>0</v>
      </c>
      <c r="X600" s="636">
        <v>80</v>
      </c>
      <c r="Y600" s="636">
        <v>59986.037499999999</v>
      </c>
      <c r="Z600" s="637">
        <f t="shared" si="248"/>
        <v>4798883</v>
      </c>
      <c r="AA600" s="638">
        <v>83</v>
      </c>
      <c r="AB600" s="638">
        <v>58756.168674698798</v>
      </c>
      <c r="AC600" s="635">
        <f t="shared" si="249"/>
        <v>4876762</v>
      </c>
      <c r="AD600" s="636"/>
      <c r="AE600" s="636"/>
      <c r="AF600" s="637">
        <f t="shared" si="250"/>
        <v>0</v>
      </c>
      <c r="AG600" s="638"/>
      <c r="AH600" s="638"/>
      <c r="AI600" s="635">
        <f t="shared" si="251"/>
        <v>0</v>
      </c>
      <c r="AJ600" s="636"/>
      <c r="AK600" s="636"/>
      <c r="AL600" s="637">
        <f t="shared" si="252"/>
        <v>0</v>
      </c>
      <c r="AM600" s="638"/>
      <c r="AN600" s="638"/>
      <c r="AO600" s="640">
        <f t="shared" si="253"/>
        <v>0</v>
      </c>
      <c r="AP600" s="636"/>
      <c r="AQ600" s="636"/>
      <c r="AR600" s="637">
        <f t="shared" si="254"/>
        <v>0</v>
      </c>
      <c r="AS600" s="638"/>
      <c r="AT600" s="638"/>
      <c r="AU600" s="635">
        <f t="shared" si="255"/>
        <v>0</v>
      </c>
      <c r="AV600" s="636"/>
      <c r="AW600" s="636"/>
      <c r="AX600" s="637">
        <f t="shared" si="256"/>
        <v>0</v>
      </c>
      <c r="AY600" s="638"/>
      <c r="AZ600" s="638"/>
      <c r="BA600" s="635">
        <f t="shared" si="257"/>
        <v>0</v>
      </c>
      <c r="BB600" s="636"/>
      <c r="BC600" s="636"/>
      <c r="BD600" s="637">
        <f t="shared" si="258"/>
        <v>0</v>
      </c>
      <c r="BE600" s="638"/>
      <c r="BF600" s="638"/>
      <c r="BG600" s="635">
        <f t="shared" si="259"/>
        <v>0</v>
      </c>
      <c r="BH600" s="636">
        <v>37</v>
      </c>
      <c r="BI600" s="636">
        <v>61953.648648648646</v>
      </c>
      <c r="BJ600" s="637">
        <f t="shared" si="260"/>
        <v>1875547.5870000001</v>
      </c>
      <c r="BK600" s="638">
        <v>36</v>
      </c>
      <c r="BL600" s="638">
        <v>61098.138888888891</v>
      </c>
      <c r="BM600" s="635">
        <f t="shared" si="261"/>
        <v>1799657.9006000001</v>
      </c>
      <c r="BN600" s="636"/>
      <c r="BO600" s="636"/>
      <c r="BP600" s="637">
        <f t="shared" si="262"/>
        <v>0</v>
      </c>
      <c r="BQ600" s="638"/>
      <c r="BR600" s="638"/>
      <c r="BS600" s="635">
        <f t="shared" si="263"/>
        <v>0</v>
      </c>
      <c r="BT600" s="636"/>
      <c r="BU600" s="636"/>
      <c r="BV600" s="637">
        <f t="shared" si="264"/>
        <v>0</v>
      </c>
      <c r="BW600" s="638"/>
      <c r="BX600" s="638"/>
      <c r="BY600" s="641">
        <f t="shared" si="265"/>
        <v>0</v>
      </c>
    </row>
    <row r="601" spans="1:77" x14ac:dyDescent="0.2">
      <c r="A601" s="384" t="s">
        <v>77</v>
      </c>
      <c r="B601" s="348" t="s">
        <v>783</v>
      </c>
      <c r="C601" s="349"/>
      <c r="D601" s="351">
        <v>228699</v>
      </c>
      <c r="E601" s="260">
        <v>9</v>
      </c>
      <c r="F601" s="631">
        <v>27</v>
      </c>
      <c r="G601" s="632">
        <v>61153.592592592591</v>
      </c>
      <c r="H601" s="633">
        <f t="shared" si="242"/>
        <v>1651147</v>
      </c>
      <c r="I601" s="634">
        <v>28</v>
      </c>
      <c r="J601" s="634">
        <v>62089.107142857145</v>
      </c>
      <c r="K601" s="635">
        <f t="shared" si="243"/>
        <v>1738495</v>
      </c>
      <c r="L601" s="636">
        <v>27</v>
      </c>
      <c r="M601" s="636">
        <v>52626.185185185182</v>
      </c>
      <c r="N601" s="637">
        <f t="shared" si="244"/>
        <v>1420907</v>
      </c>
      <c r="O601" s="638">
        <v>23</v>
      </c>
      <c r="P601" s="638">
        <v>53045.17391304348</v>
      </c>
      <c r="Q601" s="635">
        <f t="shared" si="245"/>
        <v>1220039</v>
      </c>
      <c r="R601" s="636">
        <v>8</v>
      </c>
      <c r="S601" s="636">
        <v>47379.125</v>
      </c>
      <c r="T601" s="637">
        <f t="shared" si="246"/>
        <v>379033</v>
      </c>
      <c r="U601" s="638">
        <v>16</v>
      </c>
      <c r="V601" s="638">
        <v>48922.3125</v>
      </c>
      <c r="W601" s="635">
        <f t="shared" si="247"/>
        <v>782757</v>
      </c>
      <c r="X601" s="636">
        <v>5</v>
      </c>
      <c r="Y601" s="636">
        <v>47412.2</v>
      </c>
      <c r="Z601" s="637">
        <f t="shared" si="248"/>
        <v>237061</v>
      </c>
      <c r="AA601" s="638">
        <v>4</v>
      </c>
      <c r="AB601" s="638">
        <v>48162</v>
      </c>
      <c r="AC601" s="635">
        <f t="shared" si="249"/>
        <v>192648</v>
      </c>
      <c r="AD601" s="636"/>
      <c r="AE601" s="636"/>
      <c r="AF601" s="637">
        <f t="shared" si="250"/>
        <v>0</v>
      </c>
      <c r="AG601" s="638"/>
      <c r="AH601" s="638"/>
      <c r="AI601" s="635">
        <f t="shared" si="251"/>
        <v>0</v>
      </c>
      <c r="AJ601" s="636"/>
      <c r="AK601" s="636"/>
      <c r="AL601" s="637">
        <f t="shared" si="252"/>
        <v>0</v>
      </c>
      <c r="AM601" s="638"/>
      <c r="AN601" s="638"/>
      <c r="AO601" s="640">
        <f t="shared" si="253"/>
        <v>0</v>
      </c>
      <c r="AP601" s="636">
        <v>5</v>
      </c>
      <c r="AQ601" s="636">
        <v>82267</v>
      </c>
      <c r="AR601" s="637">
        <f t="shared" si="254"/>
        <v>336554.29700000002</v>
      </c>
      <c r="AS601" s="638">
        <v>2</v>
      </c>
      <c r="AT601" s="638">
        <v>84694</v>
      </c>
      <c r="AU601" s="635">
        <f t="shared" si="255"/>
        <v>138593.2616</v>
      </c>
      <c r="AV601" s="636">
        <v>4</v>
      </c>
      <c r="AW601" s="636">
        <v>71050</v>
      </c>
      <c r="AX601" s="637">
        <f t="shared" si="256"/>
        <v>232532.44</v>
      </c>
      <c r="AY601" s="638">
        <v>2</v>
      </c>
      <c r="AZ601" s="638">
        <v>68861</v>
      </c>
      <c r="BA601" s="635">
        <f t="shared" si="257"/>
        <v>112684.1404</v>
      </c>
      <c r="BB601" s="636">
        <v>4</v>
      </c>
      <c r="BC601" s="636">
        <v>61683.25</v>
      </c>
      <c r="BD601" s="637">
        <f t="shared" si="258"/>
        <v>201876.9406</v>
      </c>
      <c r="BE601" s="638">
        <v>3</v>
      </c>
      <c r="BF601" s="638">
        <v>63342</v>
      </c>
      <c r="BG601" s="635">
        <f t="shared" si="259"/>
        <v>155479.2732</v>
      </c>
      <c r="BH601" s="636">
        <v>22</v>
      </c>
      <c r="BI601" s="636">
        <v>60763.63636363636</v>
      </c>
      <c r="BJ601" s="637">
        <f t="shared" si="260"/>
        <v>1093769.76</v>
      </c>
      <c r="BK601" s="638">
        <v>22</v>
      </c>
      <c r="BL601" s="638">
        <v>58990.13636363636</v>
      </c>
      <c r="BM601" s="635">
        <f t="shared" si="261"/>
        <v>1061846.0506</v>
      </c>
      <c r="BN601" s="636"/>
      <c r="BO601" s="636"/>
      <c r="BP601" s="637">
        <f t="shared" si="262"/>
        <v>0</v>
      </c>
      <c r="BQ601" s="638"/>
      <c r="BR601" s="638"/>
      <c r="BS601" s="635">
        <f t="shared" si="263"/>
        <v>0</v>
      </c>
      <c r="BT601" s="636"/>
      <c r="BU601" s="636"/>
      <c r="BV601" s="637">
        <f t="shared" si="264"/>
        <v>0</v>
      </c>
      <c r="BW601" s="638"/>
      <c r="BX601" s="638"/>
      <c r="BY601" s="641">
        <f t="shared" si="265"/>
        <v>0</v>
      </c>
    </row>
    <row r="602" spans="1:77" x14ac:dyDescent="0.2">
      <c r="A602" s="384" t="s">
        <v>77</v>
      </c>
      <c r="B602" s="348" t="s">
        <v>784</v>
      </c>
      <c r="C602" s="349"/>
      <c r="D602" s="351">
        <v>229319</v>
      </c>
      <c r="E602" s="260">
        <v>9</v>
      </c>
      <c r="F602" s="631"/>
      <c r="G602" s="632"/>
      <c r="H602" s="633">
        <f t="shared" si="242"/>
        <v>0</v>
      </c>
      <c r="I602" s="634"/>
      <c r="J602" s="634"/>
      <c r="K602" s="635">
        <f t="shared" si="243"/>
        <v>0</v>
      </c>
      <c r="L602" s="636">
        <v>1</v>
      </c>
      <c r="M602" s="636">
        <v>64020</v>
      </c>
      <c r="N602" s="637">
        <f t="shared" si="244"/>
        <v>64020</v>
      </c>
      <c r="O602" s="638">
        <v>1</v>
      </c>
      <c r="P602" s="638">
        <v>61692</v>
      </c>
      <c r="Q602" s="635">
        <f t="shared" si="245"/>
        <v>61692</v>
      </c>
      <c r="R602" s="636"/>
      <c r="S602" s="636"/>
      <c r="T602" s="637">
        <f t="shared" si="246"/>
        <v>0</v>
      </c>
      <c r="U602" s="638"/>
      <c r="V602" s="638"/>
      <c r="W602" s="635">
        <f t="shared" si="247"/>
        <v>0</v>
      </c>
      <c r="X602" s="636">
        <v>31</v>
      </c>
      <c r="Y602" s="636">
        <v>38832.387096774197</v>
      </c>
      <c r="Z602" s="637">
        <f t="shared" si="248"/>
        <v>1203804</v>
      </c>
      <c r="AA602" s="638">
        <v>27</v>
      </c>
      <c r="AB602" s="638">
        <v>38295.555555555555</v>
      </c>
      <c r="AC602" s="635">
        <f t="shared" si="249"/>
        <v>1033980</v>
      </c>
      <c r="AD602" s="636"/>
      <c r="AE602" s="636"/>
      <c r="AF602" s="637">
        <f t="shared" si="250"/>
        <v>0</v>
      </c>
      <c r="AG602" s="638"/>
      <c r="AH602" s="638"/>
      <c r="AI602" s="635">
        <f t="shared" si="251"/>
        <v>0</v>
      </c>
      <c r="AJ602" s="636"/>
      <c r="AK602" s="636"/>
      <c r="AL602" s="637">
        <f t="shared" si="252"/>
        <v>0</v>
      </c>
      <c r="AM602" s="638"/>
      <c r="AN602" s="638"/>
      <c r="AO602" s="640">
        <f t="shared" si="253"/>
        <v>0</v>
      </c>
      <c r="AP602" s="636">
        <v>8</v>
      </c>
      <c r="AQ602" s="636">
        <v>64216.5</v>
      </c>
      <c r="AR602" s="637">
        <f t="shared" si="254"/>
        <v>420335.52240000002</v>
      </c>
      <c r="AS602" s="638">
        <v>5</v>
      </c>
      <c r="AT602" s="638">
        <v>65342.400000000001</v>
      </c>
      <c r="AU602" s="635">
        <f t="shared" si="255"/>
        <v>267315.75839999999</v>
      </c>
      <c r="AV602" s="636">
        <v>17</v>
      </c>
      <c r="AW602" s="636">
        <v>52280.470588235294</v>
      </c>
      <c r="AX602" s="637">
        <f t="shared" si="256"/>
        <v>727189.97759999998</v>
      </c>
      <c r="AY602" s="638">
        <v>15</v>
      </c>
      <c r="AZ602" s="638">
        <v>52486.400000000001</v>
      </c>
      <c r="BA602" s="635">
        <f t="shared" si="257"/>
        <v>644165.58720000007</v>
      </c>
      <c r="BB602" s="636"/>
      <c r="BC602" s="636"/>
      <c r="BD602" s="637">
        <f t="shared" si="258"/>
        <v>0</v>
      </c>
      <c r="BE602" s="638"/>
      <c r="BF602" s="638"/>
      <c r="BG602" s="635">
        <f t="shared" si="259"/>
        <v>0</v>
      </c>
      <c r="BH602" s="636">
        <v>100</v>
      </c>
      <c r="BI602" s="636">
        <v>46221.65</v>
      </c>
      <c r="BJ602" s="637">
        <f t="shared" si="260"/>
        <v>3781855.4030000004</v>
      </c>
      <c r="BK602" s="638">
        <v>100</v>
      </c>
      <c r="BL602" s="638">
        <v>46921.32</v>
      </c>
      <c r="BM602" s="635">
        <f t="shared" si="261"/>
        <v>3839102.4024</v>
      </c>
      <c r="BN602" s="636"/>
      <c r="BO602" s="636"/>
      <c r="BP602" s="637">
        <f t="shared" si="262"/>
        <v>0</v>
      </c>
      <c r="BQ602" s="638"/>
      <c r="BR602" s="638"/>
      <c r="BS602" s="635">
        <f t="shared" si="263"/>
        <v>0</v>
      </c>
      <c r="BT602" s="636"/>
      <c r="BU602" s="636"/>
      <c r="BV602" s="637">
        <f t="shared" si="264"/>
        <v>0</v>
      </c>
      <c r="BW602" s="638"/>
      <c r="BX602" s="638"/>
      <c r="BY602" s="641">
        <f t="shared" si="265"/>
        <v>0</v>
      </c>
    </row>
    <row r="603" spans="1:77" x14ac:dyDescent="0.2">
      <c r="A603" s="391" t="s">
        <v>77</v>
      </c>
      <c r="B603" s="394" t="s">
        <v>787</v>
      </c>
      <c r="C603" s="395"/>
      <c r="D603" s="392">
        <v>229504</v>
      </c>
      <c r="E603" s="393">
        <v>9</v>
      </c>
      <c r="F603" s="631"/>
      <c r="G603" s="632"/>
      <c r="H603" s="633">
        <f t="shared" si="242"/>
        <v>0</v>
      </c>
      <c r="I603" s="634"/>
      <c r="J603" s="634"/>
      <c r="K603" s="635">
        <f t="shared" si="243"/>
        <v>0</v>
      </c>
      <c r="L603" s="636"/>
      <c r="M603" s="636"/>
      <c r="N603" s="637">
        <f t="shared" si="244"/>
        <v>0</v>
      </c>
      <c r="O603" s="638"/>
      <c r="P603" s="638"/>
      <c r="Q603" s="635">
        <f t="shared" si="245"/>
        <v>0</v>
      </c>
      <c r="R603" s="636"/>
      <c r="S603" s="636"/>
      <c r="T603" s="637">
        <f t="shared" si="246"/>
        <v>0</v>
      </c>
      <c r="U603" s="638"/>
      <c r="V603" s="638"/>
      <c r="W603" s="635">
        <f t="shared" si="247"/>
        <v>0</v>
      </c>
      <c r="X603" s="636">
        <v>51</v>
      </c>
      <c r="Y603" s="636">
        <v>43230.627450980392</v>
      </c>
      <c r="Z603" s="637">
        <f t="shared" si="248"/>
        <v>2204762</v>
      </c>
      <c r="AA603" s="638">
        <v>51</v>
      </c>
      <c r="AB603" s="638">
        <v>42818.01960784314</v>
      </c>
      <c r="AC603" s="635">
        <f t="shared" si="249"/>
        <v>2183719</v>
      </c>
      <c r="AD603" s="636"/>
      <c r="AE603" s="636"/>
      <c r="AF603" s="637">
        <f t="shared" si="250"/>
        <v>0</v>
      </c>
      <c r="AG603" s="638"/>
      <c r="AH603" s="638"/>
      <c r="AI603" s="635">
        <f t="shared" si="251"/>
        <v>0</v>
      </c>
      <c r="AJ603" s="636"/>
      <c r="AK603" s="636"/>
      <c r="AL603" s="637">
        <f t="shared" si="252"/>
        <v>0</v>
      </c>
      <c r="AM603" s="638"/>
      <c r="AN603" s="638"/>
      <c r="AO603" s="640">
        <f t="shared" si="253"/>
        <v>0</v>
      </c>
      <c r="AP603" s="636"/>
      <c r="AQ603" s="636"/>
      <c r="AR603" s="637">
        <f t="shared" si="254"/>
        <v>0</v>
      </c>
      <c r="AS603" s="638"/>
      <c r="AT603" s="638"/>
      <c r="AU603" s="635">
        <f t="shared" si="255"/>
        <v>0</v>
      </c>
      <c r="AV603" s="636"/>
      <c r="AW603" s="636"/>
      <c r="AX603" s="637">
        <f t="shared" si="256"/>
        <v>0</v>
      </c>
      <c r="AY603" s="638"/>
      <c r="AZ603" s="638"/>
      <c r="BA603" s="635">
        <f t="shared" si="257"/>
        <v>0</v>
      </c>
      <c r="BB603" s="636"/>
      <c r="BC603" s="636"/>
      <c r="BD603" s="637">
        <f t="shared" si="258"/>
        <v>0</v>
      </c>
      <c r="BE603" s="638"/>
      <c r="BF603" s="638"/>
      <c r="BG603" s="635">
        <f t="shared" si="259"/>
        <v>0</v>
      </c>
      <c r="BH603" s="636">
        <v>30</v>
      </c>
      <c r="BI603" s="636">
        <v>53004</v>
      </c>
      <c r="BJ603" s="637">
        <f t="shared" si="260"/>
        <v>1301036.1840000001</v>
      </c>
      <c r="BK603" s="638">
        <v>30</v>
      </c>
      <c r="BL603" s="638">
        <v>54190.866666666669</v>
      </c>
      <c r="BM603" s="635">
        <f t="shared" si="261"/>
        <v>1330169.0132000002</v>
      </c>
      <c r="BN603" s="636"/>
      <c r="BO603" s="636"/>
      <c r="BP603" s="637">
        <f t="shared" si="262"/>
        <v>0</v>
      </c>
      <c r="BQ603" s="638"/>
      <c r="BR603" s="638"/>
      <c r="BS603" s="635">
        <f t="shared" si="263"/>
        <v>0</v>
      </c>
      <c r="BT603" s="636"/>
      <c r="BU603" s="636"/>
      <c r="BV603" s="637">
        <f t="shared" si="264"/>
        <v>0</v>
      </c>
      <c r="BW603" s="638"/>
      <c r="BX603" s="638"/>
      <c r="BY603" s="641">
        <f t="shared" si="265"/>
        <v>0</v>
      </c>
    </row>
    <row r="604" spans="1:77" x14ac:dyDescent="0.2">
      <c r="A604" s="384" t="s">
        <v>77</v>
      </c>
      <c r="B604" s="348" t="s">
        <v>788</v>
      </c>
      <c r="C604" s="349"/>
      <c r="D604" s="351">
        <v>229540</v>
      </c>
      <c r="E604" s="260">
        <v>9</v>
      </c>
      <c r="F604" s="631">
        <v>76</v>
      </c>
      <c r="G604" s="632">
        <v>51981.815789473687</v>
      </c>
      <c r="H604" s="633">
        <f t="shared" si="242"/>
        <v>3950618</v>
      </c>
      <c r="I604" s="634">
        <v>70</v>
      </c>
      <c r="J604" s="634">
        <v>53320.171428571426</v>
      </c>
      <c r="K604" s="635">
        <f t="shared" si="243"/>
        <v>3732412</v>
      </c>
      <c r="L604" s="636"/>
      <c r="M604" s="636"/>
      <c r="N604" s="637">
        <f t="shared" si="244"/>
        <v>0</v>
      </c>
      <c r="O604" s="638"/>
      <c r="P604" s="638"/>
      <c r="Q604" s="635">
        <f t="shared" si="245"/>
        <v>0</v>
      </c>
      <c r="R604" s="636"/>
      <c r="S604" s="636"/>
      <c r="T604" s="637">
        <f t="shared" si="246"/>
        <v>0</v>
      </c>
      <c r="U604" s="638"/>
      <c r="V604" s="638"/>
      <c r="W604" s="635">
        <f t="shared" si="247"/>
        <v>0</v>
      </c>
      <c r="X604" s="636"/>
      <c r="Y604" s="636"/>
      <c r="Z604" s="637">
        <f t="shared" si="248"/>
        <v>0</v>
      </c>
      <c r="AA604" s="638"/>
      <c r="AB604" s="638"/>
      <c r="AC604" s="635">
        <f t="shared" si="249"/>
        <v>0</v>
      </c>
      <c r="AD604" s="636"/>
      <c r="AE604" s="636"/>
      <c r="AF604" s="637">
        <f t="shared" si="250"/>
        <v>0</v>
      </c>
      <c r="AG604" s="638"/>
      <c r="AH604" s="638"/>
      <c r="AI604" s="635">
        <f t="shared" si="251"/>
        <v>0</v>
      </c>
      <c r="AJ604" s="636"/>
      <c r="AK604" s="636"/>
      <c r="AL604" s="637">
        <f t="shared" si="252"/>
        <v>0</v>
      </c>
      <c r="AM604" s="638"/>
      <c r="AN604" s="638"/>
      <c r="AO604" s="640">
        <f t="shared" si="253"/>
        <v>0</v>
      </c>
      <c r="AP604" s="636">
        <v>29</v>
      </c>
      <c r="AQ604" s="636">
        <v>63838.172413793101</v>
      </c>
      <c r="AR604" s="637">
        <f t="shared" si="254"/>
        <v>1514739.3874000001</v>
      </c>
      <c r="AS604" s="638">
        <v>26</v>
      </c>
      <c r="AT604" s="638">
        <v>62213.884615384617</v>
      </c>
      <c r="AU604" s="635">
        <f t="shared" si="255"/>
        <v>1323488.4102</v>
      </c>
      <c r="AV604" s="636"/>
      <c r="AW604" s="636"/>
      <c r="AX604" s="637">
        <f t="shared" si="256"/>
        <v>0</v>
      </c>
      <c r="AY604" s="638"/>
      <c r="AZ604" s="638"/>
      <c r="BA604" s="635">
        <f t="shared" si="257"/>
        <v>0</v>
      </c>
      <c r="BB604" s="636"/>
      <c r="BC604" s="636"/>
      <c r="BD604" s="637">
        <f t="shared" si="258"/>
        <v>0</v>
      </c>
      <c r="BE604" s="638"/>
      <c r="BF604" s="638"/>
      <c r="BG604" s="635">
        <f t="shared" si="259"/>
        <v>0</v>
      </c>
      <c r="BH604" s="636"/>
      <c r="BI604" s="636"/>
      <c r="BJ604" s="637">
        <f t="shared" si="260"/>
        <v>0</v>
      </c>
      <c r="BK604" s="638"/>
      <c r="BL604" s="638"/>
      <c r="BM604" s="635">
        <f t="shared" si="261"/>
        <v>0</v>
      </c>
      <c r="BN604" s="636"/>
      <c r="BO604" s="636"/>
      <c r="BP604" s="637">
        <f t="shared" si="262"/>
        <v>0</v>
      </c>
      <c r="BQ604" s="638"/>
      <c r="BR604" s="638"/>
      <c r="BS604" s="635">
        <f t="shared" si="263"/>
        <v>0</v>
      </c>
      <c r="BT604" s="636"/>
      <c r="BU604" s="636"/>
      <c r="BV604" s="637">
        <f t="shared" si="264"/>
        <v>0</v>
      </c>
      <c r="BW604" s="638"/>
      <c r="BX604" s="638"/>
      <c r="BY604" s="641">
        <f t="shared" si="265"/>
        <v>0</v>
      </c>
    </row>
    <row r="605" spans="1:77" x14ac:dyDescent="0.2">
      <c r="A605" s="384" t="s">
        <v>77</v>
      </c>
      <c r="B605" s="348" t="s">
        <v>789</v>
      </c>
      <c r="C605" s="349"/>
      <c r="D605" s="351">
        <v>229799</v>
      </c>
      <c r="E605" s="260">
        <v>9</v>
      </c>
      <c r="F605" s="631"/>
      <c r="G605" s="632"/>
      <c r="H605" s="633">
        <f t="shared" si="242"/>
        <v>0</v>
      </c>
      <c r="I605" s="634"/>
      <c r="J605" s="634"/>
      <c r="K605" s="635">
        <f t="shared" si="243"/>
        <v>0</v>
      </c>
      <c r="L605" s="636"/>
      <c r="M605" s="636"/>
      <c r="N605" s="637">
        <f t="shared" si="244"/>
        <v>0</v>
      </c>
      <c r="O605" s="638"/>
      <c r="P605" s="638"/>
      <c r="Q605" s="635">
        <f t="shared" si="245"/>
        <v>0</v>
      </c>
      <c r="R605" s="636"/>
      <c r="S605" s="636"/>
      <c r="T605" s="637">
        <f t="shared" si="246"/>
        <v>0</v>
      </c>
      <c r="U605" s="638"/>
      <c r="V605" s="638"/>
      <c r="W605" s="635">
        <f t="shared" si="247"/>
        <v>0</v>
      </c>
      <c r="X605" s="636">
        <v>92</v>
      </c>
      <c r="Y605" s="636">
        <v>50978.82608695652</v>
      </c>
      <c r="Z605" s="637">
        <f t="shared" si="248"/>
        <v>4690052</v>
      </c>
      <c r="AA605" s="638">
        <v>90</v>
      </c>
      <c r="AB605" s="638">
        <v>49692.73333333333</v>
      </c>
      <c r="AC605" s="635">
        <f t="shared" si="249"/>
        <v>4472346</v>
      </c>
      <c r="AD605" s="636"/>
      <c r="AE605" s="636"/>
      <c r="AF605" s="637">
        <f t="shared" si="250"/>
        <v>0</v>
      </c>
      <c r="AG605" s="638"/>
      <c r="AH605" s="638"/>
      <c r="AI605" s="635">
        <f t="shared" si="251"/>
        <v>0</v>
      </c>
      <c r="AJ605" s="636"/>
      <c r="AK605" s="636"/>
      <c r="AL605" s="637">
        <f t="shared" si="252"/>
        <v>0</v>
      </c>
      <c r="AM605" s="638"/>
      <c r="AN605" s="638"/>
      <c r="AO605" s="640">
        <f t="shared" si="253"/>
        <v>0</v>
      </c>
      <c r="AP605" s="636"/>
      <c r="AQ605" s="636"/>
      <c r="AR605" s="637">
        <f t="shared" si="254"/>
        <v>0</v>
      </c>
      <c r="AS605" s="638"/>
      <c r="AT605" s="638"/>
      <c r="AU605" s="635">
        <f t="shared" si="255"/>
        <v>0</v>
      </c>
      <c r="AV605" s="636"/>
      <c r="AW605" s="636"/>
      <c r="AX605" s="637">
        <f t="shared" si="256"/>
        <v>0</v>
      </c>
      <c r="AY605" s="638"/>
      <c r="AZ605" s="638"/>
      <c r="BA605" s="635">
        <f t="shared" si="257"/>
        <v>0</v>
      </c>
      <c r="BB605" s="636"/>
      <c r="BC605" s="636"/>
      <c r="BD605" s="637">
        <f t="shared" si="258"/>
        <v>0</v>
      </c>
      <c r="BE605" s="638"/>
      <c r="BF605" s="638"/>
      <c r="BG605" s="635">
        <f t="shared" si="259"/>
        <v>0</v>
      </c>
      <c r="BH605" s="636">
        <v>38</v>
      </c>
      <c r="BI605" s="636">
        <v>58437.73684210526</v>
      </c>
      <c r="BJ605" s="637">
        <f t="shared" si="260"/>
        <v>1816922.7388000002</v>
      </c>
      <c r="BK605" s="638">
        <v>41</v>
      </c>
      <c r="BL605" s="638">
        <v>57075.097560975613</v>
      </c>
      <c r="BM605" s="635">
        <f t="shared" si="261"/>
        <v>1914652.6378000001</v>
      </c>
      <c r="BN605" s="636"/>
      <c r="BO605" s="636"/>
      <c r="BP605" s="637">
        <f t="shared" si="262"/>
        <v>0</v>
      </c>
      <c r="BQ605" s="638"/>
      <c r="BR605" s="638"/>
      <c r="BS605" s="635">
        <f t="shared" si="263"/>
        <v>0</v>
      </c>
      <c r="BT605" s="636"/>
      <c r="BU605" s="636"/>
      <c r="BV605" s="637">
        <f t="shared" si="264"/>
        <v>0</v>
      </c>
      <c r="BW605" s="638"/>
      <c r="BX605" s="638"/>
      <c r="BY605" s="641">
        <f t="shared" si="265"/>
        <v>0</v>
      </c>
    </row>
    <row r="606" spans="1:77" x14ac:dyDescent="0.2">
      <c r="A606" s="384" t="s">
        <v>77</v>
      </c>
      <c r="B606" s="348" t="s">
        <v>790</v>
      </c>
      <c r="C606" s="349"/>
      <c r="D606" s="351">
        <v>229841</v>
      </c>
      <c r="E606" s="260">
        <v>9</v>
      </c>
      <c r="F606" s="631"/>
      <c r="G606" s="632"/>
      <c r="H606" s="633">
        <f t="shared" si="242"/>
        <v>0</v>
      </c>
      <c r="I606" s="634"/>
      <c r="J606" s="634"/>
      <c r="K606" s="635">
        <f t="shared" si="243"/>
        <v>0</v>
      </c>
      <c r="L606" s="636"/>
      <c r="M606" s="636"/>
      <c r="N606" s="637">
        <f t="shared" si="244"/>
        <v>0</v>
      </c>
      <c r="O606" s="638"/>
      <c r="P606" s="638"/>
      <c r="Q606" s="635">
        <f t="shared" si="245"/>
        <v>0</v>
      </c>
      <c r="R606" s="636"/>
      <c r="S606" s="636"/>
      <c r="T606" s="637">
        <f t="shared" si="246"/>
        <v>0</v>
      </c>
      <c r="U606" s="638"/>
      <c r="V606" s="638"/>
      <c r="W606" s="635">
        <f t="shared" si="247"/>
        <v>0</v>
      </c>
      <c r="X606" s="636"/>
      <c r="Y606" s="636"/>
      <c r="Z606" s="637">
        <f t="shared" si="248"/>
        <v>0</v>
      </c>
      <c r="AA606" s="638"/>
      <c r="AB606" s="638"/>
      <c r="AC606" s="635">
        <f t="shared" si="249"/>
        <v>0</v>
      </c>
      <c r="AD606" s="636"/>
      <c r="AE606" s="636"/>
      <c r="AF606" s="637">
        <f t="shared" si="250"/>
        <v>0</v>
      </c>
      <c r="AG606" s="638"/>
      <c r="AH606" s="638"/>
      <c r="AI606" s="635">
        <f t="shared" si="251"/>
        <v>0</v>
      </c>
      <c r="AJ606" s="636">
        <v>108</v>
      </c>
      <c r="AK606" s="636">
        <v>50298.518518518518</v>
      </c>
      <c r="AL606" s="637">
        <f t="shared" si="252"/>
        <v>5432240</v>
      </c>
      <c r="AM606" s="638">
        <v>110</v>
      </c>
      <c r="AN606" s="638">
        <v>51043.1</v>
      </c>
      <c r="AO606" s="640">
        <f t="shared" si="253"/>
        <v>5614741</v>
      </c>
      <c r="AP606" s="636"/>
      <c r="AQ606" s="636"/>
      <c r="AR606" s="637">
        <f t="shared" si="254"/>
        <v>0</v>
      </c>
      <c r="AS606" s="638"/>
      <c r="AT606" s="638"/>
      <c r="AU606" s="635">
        <f t="shared" si="255"/>
        <v>0</v>
      </c>
      <c r="AV606" s="636"/>
      <c r="AW606" s="636"/>
      <c r="AX606" s="637">
        <f t="shared" si="256"/>
        <v>0</v>
      </c>
      <c r="AY606" s="638"/>
      <c r="AZ606" s="638"/>
      <c r="BA606" s="635">
        <f t="shared" si="257"/>
        <v>0</v>
      </c>
      <c r="BB606" s="636"/>
      <c r="BC606" s="636"/>
      <c r="BD606" s="637">
        <f t="shared" si="258"/>
        <v>0</v>
      </c>
      <c r="BE606" s="638"/>
      <c r="BF606" s="638"/>
      <c r="BG606" s="635">
        <f t="shared" si="259"/>
        <v>0</v>
      </c>
      <c r="BH606" s="636"/>
      <c r="BI606" s="636"/>
      <c r="BJ606" s="637">
        <f t="shared" si="260"/>
        <v>0</v>
      </c>
      <c r="BK606" s="638"/>
      <c r="BL606" s="638"/>
      <c r="BM606" s="635">
        <f t="shared" si="261"/>
        <v>0</v>
      </c>
      <c r="BN606" s="636"/>
      <c r="BO606" s="636"/>
      <c r="BP606" s="637">
        <f t="shared" si="262"/>
        <v>0</v>
      </c>
      <c r="BQ606" s="638"/>
      <c r="BR606" s="638"/>
      <c r="BS606" s="635">
        <f t="shared" si="263"/>
        <v>0</v>
      </c>
      <c r="BT606" s="636">
        <v>54</v>
      </c>
      <c r="BU606" s="636">
        <v>61683.407407407409</v>
      </c>
      <c r="BV606" s="637">
        <f t="shared" si="264"/>
        <v>2725345.6528000003</v>
      </c>
      <c r="BW606" s="638">
        <v>52</v>
      </c>
      <c r="BX606" s="638">
        <v>61997.942307692305</v>
      </c>
      <c r="BY606" s="641">
        <f t="shared" si="265"/>
        <v>2637789.2526000002</v>
      </c>
    </row>
    <row r="607" spans="1:77" x14ac:dyDescent="0.2">
      <c r="A607" s="384" t="s">
        <v>77</v>
      </c>
      <c r="B607" s="348" t="s">
        <v>791</v>
      </c>
      <c r="C607" s="349"/>
      <c r="D607" s="351">
        <v>223922</v>
      </c>
      <c r="E607" s="260">
        <v>10</v>
      </c>
      <c r="F607" s="631">
        <v>3</v>
      </c>
      <c r="G607" s="632">
        <v>46055</v>
      </c>
      <c r="H607" s="633">
        <f t="shared" si="242"/>
        <v>138165</v>
      </c>
      <c r="I607" s="634">
        <v>3</v>
      </c>
      <c r="J607" s="634">
        <v>46055</v>
      </c>
      <c r="K607" s="635">
        <f t="shared" si="243"/>
        <v>138165</v>
      </c>
      <c r="L607" s="636">
        <v>6</v>
      </c>
      <c r="M607" s="636">
        <v>41229.666666666664</v>
      </c>
      <c r="N607" s="637">
        <f t="shared" si="244"/>
        <v>247378</v>
      </c>
      <c r="O607" s="638">
        <v>5</v>
      </c>
      <c r="P607" s="638">
        <v>42375.6</v>
      </c>
      <c r="Q607" s="635">
        <f t="shared" si="245"/>
        <v>211878</v>
      </c>
      <c r="R607" s="636">
        <v>8</v>
      </c>
      <c r="S607" s="636">
        <v>39525.625</v>
      </c>
      <c r="T607" s="637">
        <f t="shared" si="246"/>
        <v>316205</v>
      </c>
      <c r="U607" s="638">
        <v>6</v>
      </c>
      <c r="V607" s="638">
        <v>40778.5</v>
      </c>
      <c r="W607" s="635">
        <f t="shared" si="247"/>
        <v>244671</v>
      </c>
      <c r="X607" s="636">
        <v>11</v>
      </c>
      <c r="Y607" s="636">
        <v>35815</v>
      </c>
      <c r="Z607" s="637">
        <f t="shared" si="248"/>
        <v>393965</v>
      </c>
      <c r="AA607" s="638">
        <v>12</v>
      </c>
      <c r="AB607" s="638">
        <v>34829.583333333336</v>
      </c>
      <c r="AC607" s="635">
        <f t="shared" si="249"/>
        <v>417955</v>
      </c>
      <c r="AD607" s="636"/>
      <c r="AE607" s="636"/>
      <c r="AF607" s="637">
        <f t="shared" si="250"/>
        <v>0</v>
      </c>
      <c r="AG607" s="638"/>
      <c r="AH607" s="638"/>
      <c r="AI607" s="635">
        <f t="shared" si="251"/>
        <v>0</v>
      </c>
      <c r="AJ607" s="636"/>
      <c r="AK607" s="636"/>
      <c r="AL607" s="637">
        <f t="shared" si="252"/>
        <v>0</v>
      </c>
      <c r="AM607" s="638"/>
      <c r="AN607" s="638"/>
      <c r="AO607" s="640">
        <f t="shared" si="253"/>
        <v>0</v>
      </c>
      <c r="AP607" s="636"/>
      <c r="AQ607" s="636"/>
      <c r="AR607" s="637">
        <f t="shared" si="254"/>
        <v>0</v>
      </c>
      <c r="AS607" s="638"/>
      <c r="AT607" s="638"/>
      <c r="AU607" s="635">
        <f t="shared" si="255"/>
        <v>0</v>
      </c>
      <c r="AV607" s="636"/>
      <c r="AW607" s="636"/>
      <c r="AX607" s="637">
        <f t="shared" si="256"/>
        <v>0</v>
      </c>
      <c r="AY607" s="638"/>
      <c r="AZ607" s="638"/>
      <c r="BA607" s="635">
        <f t="shared" si="257"/>
        <v>0</v>
      </c>
      <c r="BB607" s="636">
        <v>1</v>
      </c>
      <c r="BC607" s="636">
        <v>47269</v>
      </c>
      <c r="BD607" s="637">
        <f t="shared" si="258"/>
        <v>38675.495800000004</v>
      </c>
      <c r="BE607" s="638">
        <v>1</v>
      </c>
      <c r="BF607" s="638">
        <v>47269</v>
      </c>
      <c r="BG607" s="635">
        <f t="shared" si="259"/>
        <v>38675.495800000004</v>
      </c>
      <c r="BH607" s="636">
        <v>8</v>
      </c>
      <c r="BI607" s="636">
        <v>49239.25</v>
      </c>
      <c r="BJ607" s="637">
        <f t="shared" si="260"/>
        <v>322300.43479999999</v>
      </c>
      <c r="BK607" s="638">
        <v>8</v>
      </c>
      <c r="BL607" s="638">
        <v>40754.875</v>
      </c>
      <c r="BM607" s="635">
        <f t="shared" si="261"/>
        <v>266765.10980000003</v>
      </c>
      <c r="BN607" s="636"/>
      <c r="BO607" s="636"/>
      <c r="BP607" s="637">
        <f t="shared" si="262"/>
        <v>0</v>
      </c>
      <c r="BQ607" s="638"/>
      <c r="BR607" s="638"/>
      <c r="BS607" s="635">
        <f t="shared" si="263"/>
        <v>0</v>
      </c>
      <c r="BT607" s="636"/>
      <c r="BU607" s="636"/>
      <c r="BV607" s="637">
        <f t="shared" si="264"/>
        <v>0</v>
      </c>
      <c r="BW607" s="638"/>
      <c r="BX607" s="638"/>
      <c r="BY607" s="641">
        <f t="shared" si="265"/>
        <v>0</v>
      </c>
    </row>
    <row r="608" spans="1:77" x14ac:dyDescent="0.2">
      <c r="A608" s="384" t="s">
        <v>77</v>
      </c>
      <c r="B608" s="348" t="s">
        <v>792</v>
      </c>
      <c r="C608" s="349"/>
      <c r="D608" s="351">
        <v>224891</v>
      </c>
      <c r="E608" s="260">
        <v>10</v>
      </c>
      <c r="F608" s="631"/>
      <c r="G608" s="632"/>
      <c r="H608" s="633">
        <f t="shared" si="242"/>
        <v>0</v>
      </c>
      <c r="I608" s="634"/>
      <c r="J608" s="634"/>
      <c r="K608" s="635">
        <f t="shared" si="243"/>
        <v>0</v>
      </c>
      <c r="L608" s="636"/>
      <c r="M608" s="636"/>
      <c r="N608" s="637">
        <f t="shared" si="244"/>
        <v>0</v>
      </c>
      <c r="O608" s="638"/>
      <c r="P608" s="638"/>
      <c r="Q608" s="635">
        <f t="shared" si="245"/>
        <v>0</v>
      </c>
      <c r="R608" s="636"/>
      <c r="S608" s="636"/>
      <c r="T608" s="637">
        <f t="shared" si="246"/>
        <v>0</v>
      </c>
      <c r="U608" s="638"/>
      <c r="V608" s="638"/>
      <c r="W608" s="635">
        <f t="shared" si="247"/>
        <v>0</v>
      </c>
      <c r="X608" s="636">
        <v>25</v>
      </c>
      <c r="Y608" s="636">
        <v>36380.76</v>
      </c>
      <c r="Z608" s="637">
        <f t="shared" si="248"/>
        <v>909519</v>
      </c>
      <c r="AA608" s="638">
        <v>23</v>
      </c>
      <c r="AB608" s="638">
        <v>38700</v>
      </c>
      <c r="AC608" s="635">
        <f t="shared" si="249"/>
        <v>890100</v>
      </c>
      <c r="AD608" s="636"/>
      <c r="AE608" s="636"/>
      <c r="AF608" s="637">
        <f t="shared" si="250"/>
        <v>0</v>
      </c>
      <c r="AG608" s="638"/>
      <c r="AH608" s="638"/>
      <c r="AI608" s="635">
        <f t="shared" si="251"/>
        <v>0</v>
      </c>
      <c r="AJ608" s="636"/>
      <c r="AK608" s="636"/>
      <c r="AL608" s="637">
        <f t="shared" si="252"/>
        <v>0</v>
      </c>
      <c r="AM608" s="638"/>
      <c r="AN608" s="638"/>
      <c r="AO608" s="640">
        <f t="shared" si="253"/>
        <v>0</v>
      </c>
      <c r="AP608" s="636"/>
      <c r="AQ608" s="636"/>
      <c r="AR608" s="637">
        <f t="shared" si="254"/>
        <v>0</v>
      </c>
      <c r="AS608" s="638"/>
      <c r="AT608" s="638"/>
      <c r="AU608" s="635">
        <f t="shared" si="255"/>
        <v>0</v>
      </c>
      <c r="AV608" s="636"/>
      <c r="AW608" s="636"/>
      <c r="AX608" s="637">
        <f t="shared" si="256"/>
        <v>0</v>
      </c>
      <c r="AY608" s="638"/>
      <c r="AZ608" s="638"/>
      <c r="BA608" s="635">
        <f t="shared" si="257"/>
        <v>0</v>
      </c>
      <c r="BB608" s="636"/>
      <c r="BC608" s="636"/>
      <c r="BD608" s="637">
        <f t="shared" si="258"/>
        <v>0</v>
      </c>
      <c r="BE608" s="638"/>
      <c r="BF608" s="638"/>
      <c r="BG608" s="635">
        <f t="shared" si="259"/>
        <v>0</v>
      </c>
      <c r="BH608" s="636">
        <v>6</v>
      </c>
      <c r="BI608" s="636">
        <v>37406.666666666664</v>
      </c>
      <c r="BJ608" s="637">
        <f t="shared" si="260"/>
        <v>183636.80800000002</v>
      </c>
      <c r="BK608" s="638">
        <v>8</v>
      </c>
      <c r="BL608" s="638">
        <v>37546</v>
      </c>
      <c r="BM608" s="635">
        <f t="shared" si="261"/>
        <v>245761.09760000001</v>
      </c>
      <c r="BN608" s="636"/>
      <c r="BO608" s="636"/>
      <c r="BP608" s="637">
        <f t="shared" si="262"/>
        <v>0</v>
      </c>
      <c r="BQ608" s="638"/>
      <c r="BR608" s="638"/>
      <c r="BS608" s="635">
        <f t="shared" si="263"/>
        <v>0</v>
      </c>
      <c r="BT608" s="636"/>
      <c r="BU608" s="636"/>
      <c r="BV608" s="637">
        <f t="shared" si="264"/>
        <v>0</v>
      </c>
      <c r="BW608" s="638"/>
      <c r="BX608" s="638"/>
      <c r="BY608" s="641">
        <f t="shared" si="265"/>
        <v>0</v>
      </c>
    </row>
    <row r="609" spans="1:77" x14ac:dyDescent="0.2">
      <c r="A609" s="384" t="s">
        <v>77</v>
      </c>
      <c r="B609" s="348" t="s">
        <v>793</v>
      </c>
      <c r="C609" s="349"/>
      <c r="D609" s="351">
        <v>224961</v>
      </c>
      <c r="E609" s="260">
        <v>10</v>
      </c>
      <c r="F609" s="631">
        <v>6</v>
      </c>
      <c r="G609" s="632">
        <v>77226.833333333328</v>
      </c>
      <c r="H609" s="633">
        <f t="shared" si="242"/>
        <v>463361</v>
      </c>
      <c r="I609" s="634">
        <v>6</v>
      </c>
      <c r="J609" s="634">
        <v>79268.833333333328</v>
      </c>
      <c r="K609" s="635">
        <f t="shared" si="243"/>
        <v>475613</v>
      </c>
      <c r="L609" s="636">
        <v>4</v>
      </c>
      <c r="M609" s="636">
        <v>72009.25</v>
      </c>
      <c r="N609" s="637">
        <f t="shared" si="244"/>
        <v>288037</v>
      </c>
      <c r="O609" s="638">
        <v>5</v>
      </c>
      <c r="P609" s="638">
        <v>71351.8</v>
      </c>
      <c r="Q609" s="635">
        <f t="shared" si="245"/>
        <v>356759</v>
      </c>
      <c r="R609" s="636">
        <v>6</v>
      </c>
      <c r="S609" s="636">
        <v>66662.166666666672</v>
      </c>
      <c r="T609" s="637">
        <f t="shared" si="246"/>
        <v>399973</v>
      </c>
      <c r="U609" s="638">
        <v>6</v>
      </c>
      <c r="V609" s="638">
        <v>65636.5</v>
      </c>
      <c r="W609" s="635">
        <f t="shared" si="247"/>
        <v>393819</v>
      </c>
      <c r="X609" s="636">
        <v>28</v>
      </c>
      <c r="Y609" s="636">
        <v>59305.535714285717</v>
      </c>
      <c r="Z609" s="637">
        <f t="shared" si="248"/>
        <v>1660555</v>
      </c>
      <c r="AA609" s="638">
        <v>23</v>
      </c>
      <c r="AB609" s="638">
        <v>60679.043478260872</v>
      </c>
      <c r="AC609" s="635">
        <f t="shared" si="249"/>
        <v>1395618</v>
      </c>
      <c r="AD609" s="636"/>
      <c r="AE609" s="636"/>
      <c r="AF609" s="637">
        <f t="shared" si="250"/>
        <v>0</v>
      </c>
      <c r="AG609" s="638"/>
      <c r="AH609" s="638"/>
      <c r="AI609" s="635">
        <f t="shared" si="251"/>
        <v>0</v>
      </c>
      <c r="AJ609" s="636"/>
      <c r="AK609" s="636"/>
      <c r="AL609" s="637">
        <f t="shared" si="252"/>
        <v>0</v>
      </c>
      <c r="AM609" s="638"/>
      <c r="AN609" s="638"/>
      <c r="AO609" s="640">
        <f t="shared" si="253"/>
        <v>0</v>
      </c>
      <c r="AP609" s="636"/>
      <c r="AQ609" s="636"/>
      <c r="AR609" s="637">
        <f t="shared" si="254"/>
        <v>0</v>
      </c>
      <c r="AS609" s="638"/>
      <c r="AT609" s="638"/>
      <c r="AU609" s="635">
        <f t="shared" si="255"/>
        <v>0</v>
      </c>
      <c r="AV609" s="636"/>
      <c r="AW609" s="636"/>
      <c r="AX609" s="637">
        <f t="shared" si="256"/>
        <v>0</v>
      </c>
      <c r="AY609" s="638"/>
      <c r="AZ609" s="638"/>
      <c r="BA609" s="635">
        <f t="shared" si="257"/>
        <v>0</v>
      </c>
      <c r="BB609" s="636"/>
      <c r="BC609" s="636"/>
      <c r="BD609" s="637">
        <f t="shared" si="258"/>
        <v>0</v>
      </c>
      <c r="BE609" s="638"/>
      <c r="BF609" s="638"/>
      <c r="BG609" s="635">
        <f t="shared" si="259"/>
        <v>0</v>
      </c>
      <c r="BH609" s="636">
        <v>9</v>
      </c>
      <c r="BI609" s="636">
        <v>74983.111111111109</v>
      </c>
      <c r="BJ609" s="637">
        <f t="shared" si="260"/>
        <v>552160.63360000006</v>
      </c>
      <c r="BK609" s="638">
        <v>7</v>
      </c>
      <c r="BL609" s="638">
        <v>77982.142857142855</v>
      </c>
      <c r="BM609" s="635">
        <f t="shared" si="261"/>
        <v>446634.92500000005</v>
      </c>
      <c r="BN609" s="636"/>
      <c r="BO609" s="636"/>
      <c r="BP609" s="637">
        <f t="shared" si="262"/>
        <v>0</v>
      </c>
      <c r="BQ609" s="638"/>
      <c r="BR609" s="638"/>
      <c r="BS609" s="635">
        <f t="shared" si="263"/>
        <v>0</v>
      </c>
      <c r="BT609" s="636"/>
      <c r="BU609" s="636"/>
      <c r="BV609" s="637">
        <f t="shared" si="264"/>
        <v>0</v>
      </c>
      <c r="BW609" s="638"/>
      <c r="BX609" s="638"/>
      <c r="BY609" s="641">
        <f t="shared" si="265"/>
        <v>0</v>
      </c>
    </row>
    <row r="610" spans="1:77" x14ac:dyDescent="0.2">
      <c r="A610" s="391" t="s">
        <v>77</v>
      </c>
      <c r="B610" s="394" t="s">
        <v>794</v>
      </c>
      <c r="C610" s="395"/>
      <c r="D610" s="392">
        <v>226107</v>
      </c>
      <c r="E610" s="393">
        <v>10</v>
      </c>
      <c r="F610" s="631">
        <v>2</v>
      </c>
      <c r="G610" s="632">
        <v>52524</v>
      </c>
      <c r="H610" s="633">
        <f t="shared" si="242"/>
        <v>105048</v>
      </c>
      <c r="I610" s="634">
        <v>2</v>
      </c>
      <c r="J610" s="634">
        <v>52524</v>
      </c>
      <c r="K610" s="635">
        <f t="shared" si="243"/>
        <v>105048</v>
      </c>
      <c r="L610" s="636">
        <v>2</v>
      </c>
      <c r="M610" s="636">
        <v>49063.5</v>
      </c>
      <c r="N610" s="637">
        <f t="shared" si="244"/>
        <v>98127</v>
      </c>
      <c r="O610" s="638">
        <v>2</v>
      </c>
      <c r="P610" s="638">
        <v>49063.5</v>
      </c>
      <c r="Q610" s="635">
        <f t="shared" si="245"/>
        <v>98127</v>
      </c>
      <c r="R610" s="636">
        <v>7</v>
      </c>
      <c r="S610" s="636">
        <v>52944.285714285717</v>
      </c>
      <c r="T610" s="637">
        <f t="shared" si="246"/>
        <v>370610</v>
      </c>
      <c r="U610" s="638">
        <v>8</v>
      </c>
      <c r="V610" s="638">
        <v>53407</v>
      </c>
      <c r="W610" s="635">
        <f t="shared" si="247"/>
        <v>427256</v>
      </c>
      <c r="X610" s="636">
        <v>32</v>
      </c>
      <c r="Y610" s="636">
        <v>39990.09375</v>
      </c>
      <c r="Z610" s="637">
        <f t="shared" si="248"/>
        <v>1279683</v>
      </c>
      <c r="AA610" s="638">
        <v>37</v>
      </c>
      <c r="AB610" s="638">
        <v>40305.2972972973</v>
      </c>
      <c r="AC610" s="635">
        <f t="shared" si="249"/>
        <v>1491296</v>
      </c>
      <c r="AD610" s="636"/>
      <c r="AE610" s="636"/>
      <c r="AF610" s="637">
        <f t="shared" si="250"/>
        <v>0</v>
      </c>
      <c r="AG610" s="638"/>
      <c r="AH610" s="638"/>
      <c r="AI610" s="635">
        <f t="shared" si="251"/>
        <v>0</v>
      </c>
      <c r="AJ610" s="636"/>
      <c r="AK610" s="636"/>
      <c r="AL610" s="637">
        <f t="shared" si="252"/>
        <v>0</v>
      </c>
      <c r="AM610" s="638"/>
      <c r="AN610" s="638"/>
      <c r="AO610" s="640">
        <f t="shared" si="253"/>
        <v>0</v>
      </c>
      <c r="AP610" s="636"/>
      <c r="AQ610" s="636"/>
      <c r="AR610" s="637">
        <f t="shared" si="254"/>
        <v>0</v>
      </c>
      <c r="AS610" s="638"/>
      <c r="AT610" s="638"/>
      <c r="AU610" s="635">
        <f t="shared" si="255"/>
        <v>0</v>
      </c>
      <c r="AV610" s="636"/>
      <c r="AW610" s="636"/>
      <c r="AX610" s="637">
        <f t="shared" si="256"/>
        <v>0</v>
      </c>
      <c r="AY610" s="638"/>
      <c r="AZ610" s="638"/>
      <c r="BA610" s="635">
        <f t="shared" si="257"/>
        <v>0</v>
      </c>
      <c r="BB610" s="636">
        <v>1</v>
      </c>
      <c r="BC610" s="636">
        <v>56646</v>
      </c>
      <c r="BD610" s="637">
        <f t="shared" si="258"/>
        <v>46347.7572</v>
      </c>
      <c r="BE610" s="638"/>
      <c r="BF610" s="638"/>
      <c r="BG610" s="635">
        <f t="shared" si="259"/>
        <v>0</v>
      </c>
      <c r="BH610" s="636">
        <v>7</v>
      </c>
      <c r="BI610" s="636">
        <v>41455.285714285717</v>
      </c>
      <c r="BJ610" s="637">
        <f t="shared" si="260"/>
        <v>237431.00340000002</v>
      </c>
      <c r="BK610" s="638"/>
      <c r="BL610" s="638"/>
      <c r="BM610" s="635">
        <f t="shared" si="261"/>
        <v>0</v>
      </c>
      <c r="BN610" s="636"/>
      <c r="BO610" s="636"/>
      <c r="BP610" s="637">
        <f t="shared" si="262"/>
        <v>0</v>
      </c>
      <c r="BQ610" s="638"/>
      <c r="BR610" s="638"/>
      <c r="BS610" s="635">
        <f t="shared" si="263"/>
        <v>0</v>
      </c>
      <c r="BT610" s="636"/>
      <c r="BU610" s="636"/>
      <c r="BV610" s="637">
        <f t="shared" si="264"/>
        <v>0</v>
      </c>
      <c r="BW610" s="638"/>
      <c r="BX610" s="638"/>
      <c r="BY610" s="641">
        <f t="shared" si="265"/>
        <v>0</v>
      </c>
    </row>
    <row r="611" spans="1:77" x14ac:dyDescent="0.2">
      <c r="A611" s="391" t="s">
        <v>77</v>
      </c>
      <c r="B611" s="394" t="s">
        <v>795</v>
      </c>
      <c r="C611" s="395" t="s">
        <v>328</v>
      </c>
      <c r="D611" s="392">
        <v>226116</v>
      </c>
      <c r="E611" s="393">
        <v>10</v>
      </c>
      <c r="F611" s="631">
        <v>1</v>
      </c>
      <c r="G611" s="632">
        <v>54875</v>
      </c>
      <c r="H611" s="633">
        <f t="shared" si="242"/>
        <v>54875</v>
      </c>
      <c r="I611" s="634">
        <v>3</v>
      </c>
      <c r="J611" s="634">
        <v>51670.333333333336</v>
      </c>
      <c r="K611" s="635">
        <f t="shared" si="243"/>
        <v>155011</v>
      </c>
      <c r="L611" s="636">
        <v>3</v>
      </c>
      <c r="M611" s="636">
        <v>49630.666666666664</v>
      </c>
      <c r="N611" s="637">
        <f t="shared" si="244"/>
        <v>148892</v>
      </c>
      <c r="O611" s="638">
        <v>1</v>
      </c>
      <c r="P611" s="638">
        <v>46321</v>
      </c>
      <c r="Q611" s="635">
        <f t="shared" si="245"/>
        <v>46321</v>
      </c>
      <c r="R611" s="636">
        <v>5</v>
      </c>
      <c r="S611" s="636">
        <v>45598</v>
      </c>
      <c r="T611" s="637">
        <f t="shared" si="246"/>
        <v>227990</v>
      </c>
      <c r="U611" s="638">
        <v>4</v>
      </c>
      <c r="V611" s="638">
        <v>45417.25</v>
      </c>
      <c r="W611" s="635">
        <f t="shared" si="247"/>
        <v>181669</v>
      </c>
      <c r="X611" s="636">
        <v>32</v>
      </c>
      <c r="Y611" s="636">
        <v>41089.0625</v>
      </c>
      <c r="Z611" s="637">
        <f t="shared" si="248"/>
        <v>1314850</v>
      </c>
      <c r="AA611" s="638">
        <v>32</v>
      </c>
      <c r="AB611" s="638">
        <v>39568.1875</v>
      </c>
      <c r="AC611" s="635">
        <f t="shared" si="249"/>
        <v>1266182</v>
      </c>
      <c r="AD611" s="636"/>
      <c r="AE611" s="636"/>
      <c r="AF611" s="637">
        <f t="shared" si="250"/>
        <v>0</v>
      </c>
      <c r="AG611" s="638"/>
      <c r="AH611" s="638"/>
      <c r="AI611" s="635">
        <f t="shared" si="251"/>
        <v>0</v>
      </c>
      <c r="AJ611" s="636"/>
      <c r="AK611" s="636"/>
      <c r="AL611" s="637">
        <f t="shared" si="252"/>
        <v>0</v>
      </c>
      <c r="AM611" s="638"/>
      <c r="AN611" s="638"/>
      <c r="AO611" s="640">
        <f t="shared" si="253"/>
        <v>0</v>
      </c>
      <c r="AP611" s="636"/>
      <c r="AQ611" s="636"/>
      <c r="AR611" s="637">
        <f t="shared" si="254"/>
        <v>0</v>
      </c>
      <c r="AS611" s="638"/>
      <c r="AT611" s="638"/>
      <c r="AU611" s="635">
        <f t="shared" si="255"/>
        <v>0</v>
      </c>
      <c r="AV611" s="636"/>
      <c r="AW611" s="636"/>
      <c r="AX611" s="637">
        <f t="shared" si="256"/>
        <v>0</v>
      </c>
      <c r="AY611" s="638"/>
      <c r="AZ611" s="638"/>
      <c r="BA611" s="635">
        <f t="shared" si="257"/>
        <v>0</v>
      </c>
      <c r="BB611" s="636">
        <v>1</v>
      </c>
      <c r="BC611" s="636">
        <v>73449</v>
      </c>
      <c r="BD611" s="637">
        <f t="shared" si="258"/>
        <v>60095.971799999999</v>
      </c>
      <c r="BE611" s="638">
        <v>1</v>
      </c>
      <c r="BF611" s="638">
        <v>73449</v>
      </c>
      <c r="BG611" s="635">
        <f t="shared" si="259"/>
        <v>60095.971799999999</v>
      </c>
      <c r="BH611" s="636">
        <v>33</v>
      </c>
      <c r="BI611" s="636">
        <v>45374.242424242424</v>
      </c>
      <c r="BJ611" s="637">
        <f t="shared" si="260"/>
        <v>1225131.77</v>
      </c>
      <c r="BK611" s="638">
        <v>29</v>
      </c>
      <c r="BL611" s="638">
        <v>44576.103448275862</v>
      </c>
      <c r="BM611" s="635">
        <f t="shared" si="261"/>
        <v>1057692.8674000001</v>
      </c>
      <c r="BN611" s="636"/>
      <c r="BO611" s="636"/>
      <c r="BP611" s="637">
        <f t="shared" si="262"/>
        <v>0</v>
      </c>
      <c r="BQ611" s="638"/>
      <c r="BR611" s="638"/>
      <c r="BS611" s="635">
        <f t="shared" si="263"/>
        <v>0</v>
      </c>
      <c r="BT611" s="636"/>
      <c r="BU611" s="636"/>
      <c r="BV611" s="637">
        <f t="shared" si="264"/>
        <v>0</v>
      </c>
      <c r="BW611" s="638"/>
      <c r="BX611" s="638"/>
      <c r="BY611" s="641">
        <f t="shared" si="265"/>
        <v>0</v>
      </c>
    </row>
    <row r="612" spans="1:77" x14ac:dyDescent="0.2">
      <c r="A612" s="391" t="s">
        <v>77</v>
      </c>
      <c r="B612" s="394" t="s">
        <v>796</v>
      </c>
      <c r="C612" s="395"/>
      <c r="D612" s="396" t="s">
        <v>797</v>
      </c>
      <c r="E612" s="393">
        <v>10</v>
      </c>
      <c r="F612" s="631"/>
      <c r="G612" s="632"/>
      <c r="H612" s="633">
        <f t="shared" si="242"/>
        <v>0</v>
      </c>
      <c r="I612" s="634"/>
      <c r="J612" s="634"/>
      <c r="K612" s="635">
        <f t="shared" si="243"/>
        <v>0</v>
      </c>
      <c r="L612" s="636"/>
      <c r="M612" s="636"/>
      <c r="N612" s="637">
        <f t="shared" si="244"/>
        <v>0</v>
      </c>
      <c r="O612" s="638"/>
      <c r="P612" s="638"/>
      <c r="Q612" s="635">
        <f t="shared" si="245"/>
        <v>0</v>
      </c>
      <c r="R612" s="636"/>
      <c r="S612" s="636"/>
      <c r="T612" s="637">
        <f t="shared" si="246"/>
        <v>0</v>
      </c>
      <c r="U612" s="638"/>
      <c r="V612" s="638"/>
      <c r="W612" s="635">
        <f t="shared" si="247"/>
        <v>0</v>
      </c>
      <c r="X612" s="636"/>
      <c r="Y612" s="636"/>
      <c r="Z612" s="637">
        <f t="shared" si="248"/>
        <v>0</v>
      </c>
      <c r="AA612" s="638"/>
      <c r="AB612" s="638"/>
      <c r="AC612" s="635">
        <f t="shared" si="249"/>
        <v>0</v>
      </c>
      <c r="AD612" s="636"/>
      <c r="AE612" s="636"/>
      <c r="AF612" s="637">
        <f t="shared" si="250"/>
        <v>0</v>
      </c>
      <c r="AG612" s="638"/>
      <c r="AH612" s="638"/>
      <c r="AI612" s="635">
        <f t="shared" si="251"/>
        <v>0</v>
      </c>
      <c r="AJ612" s="636"/>
      <c r="AK612" s="636"/>
      <c r="AL612" s="637">
        <f t="shared" si="252"/>
        <v>0</v>
      </c>
      <c r="AM612" s="638"/>
      <c r="AN612" s="638"/>
      <c r="AO612" s="640">
        <f t="shared" si="253"/>
        <v>0</v>
      </c>
      <c r="AP612" s="636"/>
      <c r="AQ612" s="636"/>
      <c r="AR612" s="637">
        <f t="shared" si="254"/>
        <v>0</v>
      </c>
      <c r="AS612" s="638"/>
      <c r="AT612" s="638"/>
      <c r="AU612" s="635">
        <f t="shared" si="255"/>
        <v>0</v>
      </c>
      <c r="AV612" s="636"/>
      <c r="AW612" s="636"/>
      <c r="AX612" s="637">
        <f t="shared" si="256"/>
        <v>0</v>
      </c>
      <c r="AY612" s="638"/>
      <c r="AZ612" s="638"/>
      <c r="BA612" s="635">
        <f t="shared" si="257"/>
        <v>0</v>
      </c>
      <c r="BB612" s="636"/>
      <c r="BC612" s="636"/>
      <c r="BD612" s="637">
        <f t="shared" si="258"/>
        <v>0</v>
      </c>
      <c r="BE612" s="638"/>
      <c r="BF612" s="638"/>
      <c r="BG612" s="635">
        <f t="shared" si="259"/>
        <v>0</v>
      </c>
      <c r="BH612" s="636"/>
      <c r="BI612" s="636"/>
      <c r="BJ612" s="637">
        <f t="shared" si="260"/>
        <v>0</v>
      </c>
      <c r="BK612" s="638"/>
      <c r="BL612" s="638"/>
      <c r="BM612" s="635">
        <f t="shared" si="261"/>
        <v>0</v>
      </c>
      <c r="BN612" s="636"/>
      <c r="BO612" s="636"/>
      <c r="BP612" s="637">
        <f t="shared" si="262"/>
        <v>0</v>
      </c>
      <c r="BQ612" s="638"/>
      <c r="BR612" s="638"/>
      <c r="BS612" s="635">
        <f t="shared" si="263"/>
        <v>0</v>
      </c>
      <c r="BT612" s="636"/>
      <c r="BU612" s="636"/>
      <c r="BV612" s="637">
        <f t="shared" si="264"/>
        <v>0</v>
      </c>
      <c r="BW612" s="638"/>
      <c r="BX612" s="638"/>
      <c r="BY612" s="641">
        <f t="shared" si="265"/>
        <v>0</v>
      </c>
    </row>
    <row r="613" spans="1:77" x14ac:dyDescent="0.2">
      <c r="A613" s="384" t="s">
        <v>77</v>
      </c>
      <c r="B613" s="348" t="s">
        <v>799</v>
      </c>
      <c r="C613" s="349"/>
      <c r="D613" s="351">
        <v>227386</v>
      </c>
      <c r="E613" s="260">
        <v>10</v>
      </c>
      <c r="F613" s="631">
        <v>38</v>
      </c>
      <c r="G613" s="632">
        <v>51694.526315789473</v>
      </c>
      <c r="H613" s="633">
        <f t="shared" si="242"/>
        <v>1964392</v>
      </c>
      <c r="I613" s="634">
        <v>39</v>
      </c>
      <c r="J613" s="634">
        <v>51011.769230769234</v>
      </c>
      <c r="K613" s="635">
        <f t="shared" si="243"/>
        <v>1989459.0000000002</v>
      </c>
      <c r="L613" s="636"/>
      <c r="M613" s="636"/>
      <c r="N613" s="637">
        <f t="shared" si="244"/>
        <v>0</v>
      </c>
      <c r="O613" s="638"/>
      <c r="P613" s="638"/>
      <c r="Q613" s="635">
        <f t="shared" si="245"/>
        <v>0</v>
      </c>
      <c r="R613" s="636"/>
      <c r="S613" s="636"/>
      <c r="T613" s="637">
        <f t="shared" si="246"/>
        <v>0</v>
      </c>
      <c r="U613" s="638"/>
      <c r="V613" s="638"/>
      <c r="W613" s="635">
        <f t="shared" si="247"/>
        <v>0</v>
      </c>
      <c r="X613" s="636">
        <v>11</v>
      </c>
      <c r="Y613" s="636">
        <v>42630.181818181816</v>
      </c>
      <c r="Z613" s="637">
        <f t="shared" si="248"/>
        <v>468932</v>
      </c>
      <c r="AA613" s="638">
        <v>12</v>
      </c>
      <c r="AB613" s="638">
        <v>45718.5</v>
      </c>
      <c r="AC613" s="635">
        <f t="shared" si="249"/>
        <v>548622</v>
      </c>
      <c r="AD613" s="636"/>
      <c r="AE613" s="636"/>
      <c r="AF613" s="637">
        <f t="shared" si="250"/>
        <v>0</v>
      </c>
      <c r="AG613" s="638"/>
      <c r="AH613" s="638"/>
      <c r="AI613" s="635">
        <f t="shared" si="251"/>
        <v>0</v>
      </c>
      <c r="AJ613" s="636"/>
      <c r="AK613" s="636"/>
      <c r="AL613" s="637">
        <f t="shared" si="252"/>
        <v>0</v>
      </c>
      <c r="AM613" s="652"/>
      <c r="AN613" s="652"/>
      <c r="AO613" s="640">
        <f t="shared" si="253"/>
        <v>0</v>
      </c>
      <c r="AP613" s="636">
        <v>5</v>
      </c>
      <c r="AQ613" s="636">
        <v>61327</v>
      </c>
      <c r="AR613" s="637">
        <f t="shared" si="254"/>
        <v>250888.75700000001</v>
      </c>
      <c r="AS613" s="652">
        <v>3</v>
      </c>
      <c r="AT613" s="652">
        <v>71418</v>
      </c>
      <c r="AU613" s="635">
        <f t="shared" si="255"/>
        <v>175302.62280000001</v>
      </c>
      <c r="AV613" s="636"/>
      <c r="AW613" s="636"/>
      <c r="AX613" s="637">
        <f t="shared" si="256"/>
        <v>0</v>
      </c>
      <c r="AY613" s="638"/>
      <c r="AZ613" s="638"/>
      <c r="BA613" s="635">
        <f t="shared" si="257"/>
        <v>0</v>
      </c>
      <c r="BB613" s="636"/>
      <c r="BC613" s="636"/>
      <c r="BD613" s="637">
        <f t="shared" si="258"/>
        <v>0</v>
      </c>
      <c r="BE613" s="638"/>
      <c r="BF613" s="638"/>
      <c r="BG613" s="635">
        <f t="shared" si="259"/>
        <v>0</v>
      </c>
      <c r="BH613" s="636">
        <v>8</v>
      </c>
      <c r="BI613" s="636">
        <v>54177.75</v>
      </c>
      <c r="BJ613" s="637">
        <f t="shared" si="260"/>
        <v>354625.88040000002</v>
      </c>
      <c r="BK613" s="638">
        <v>7</v>
      </c>
      <c r="BL613" s="638">
        <v>53775.142857142855</v>
      </c>
      <c r="BM613" s="635">
        <f t="shared" si="261"/>
        <v>307991.75320000004</v>
      </c>
      <c r="BN613" s="636"/>
      <c r="BO613" s="636"/>
      <c r="BP613" s="637">
        <f t="shared" si="262"/>
        <v>0</v>
      </c>
      <c r="BQ613" s="638"/>
      <c r="BR613" s="638"/>
      <c r="BS613" s="635">
        <f t="shared" si="263"/>
        <v>0</v>
      </c>
      <c r="BT613" s="636"/>
      <c r="BU613" s="636"/>
      <c r="BV613" s="637">
        <f t="shared" si="264"/>
        <v>0</v>
      </c>
      <c r="BW613" s="638"/>
      <c r="BX613" s="638"/>
      <c r="BY613" s="641">
        <f t="shared" si="265"/>
        <v>0</v>
      </c>
    </row>
    <row r="614" spans="1:77" x14ac:dyDescent="0.2">
      <c r="A614" s="384" t="s">
        <v>77</v>
      </c>
      <c r="B614" s="348" t="s">
        <v>800</v>
      </c>
      <c r="C614" s="349"/>
      <c r="D614" s="351">
        <v>227687</v>
      </c>
      <c r="E614" s="260">
        <v>10</v>
      </c>
      <c r="F614" s="631">
        <v>2</v>
      </c>
      <c r="G614" s="632">
        <v>41731</v>
      </c>
      <c r="H614" s="633">
        <f t="shared" si="242"/>
        <v>83462</v>
      </c>
      <c r="I614" s="634">
        <v>1</v>
      </c>
      <c r="J614" s="634">
        <v>39581</v>
      </c>
      <c r="K614" s="635">
        <f t="shared" si="243"/>
        <v>39581</v>
      </c>
      <c r="L614" s="636">
        <v>4</v>
      </c>
      <c r="M614" s="636">
        <v>35065</v>
      </c>
      <c r="N614" s="637">
        <f t="shared" si="244"/>
        <v>140260</v>
      </c>
      <c r="O614" s="638">
        <v>4</v>
      </c>
      <c r="P614" s="638">
        <v>35065</v>
      </c>
      <c r="Q614" s="635">
        <f t="shared" si="245"/>
        <v>140260</v>
      </c>
      <c r="R614" s="636">
        <v>3</v>
      </c>
      <c r="S614" s="636">
        <v>29203</v>
      </c>
      <c r="T614" s="637">
        <f t="shared" si="246"/>
        <v>87609</v>
      </c>
      <c r="U614" s="638">
        <v>1</v>
      </c>
      <c r="V614" s="638">
        <v>29988</v>
      </c>
      <c r="W614" s="635">
        <f t="shared" si="247"/>
        <v>29988</v>
      </c>
      <c r="X614" s="636">
        <v>6</v>
      </c>
      <c r="Y614" s="636">
        <v>19443.5</v>
      </c>
      <c r="Z614" s="637">
        <f t="shared" si="248"/>
        <v>116661</v>
      </c>
      <c r="AA614" s="638">
        <v>3</v>
      </c>
      <c r="AB614" s="638">
        <v>28708</v>
      </c>
      <c r="AC614" s="635">
        <f t="shared" si="249"/>
        <v>86124</v>
      </c>
      <c r="AD614" s="636"/>
      <c r="AE614" s="636"/>
      <c r="AF614" s="637">
        <f t="shared" si="250"/>
        <v>0</v>
      </c>
      <c r="AG614" s="638"/>
      <c r="AH614" s="638"/>
      <c r="AI614" s="635">
        <f t="shared" si="251"/>
        <v>0</v>
      </c>
      <c r="AJ614" s="636"/>
      <c r="AK614" s="636"/>
      <c r="AL614" s="637">
        <f t="shared" si="252"/>
        <v>0</v>
      </c>
      <c r="AM614" s="638">
        <v>13</v>
      </c>
      <c r="AN614" s="638">
        <v>26771.153846153848</v>
      </c>
      <c r="AO614" s="640">
        <f t="shared" si="253"/>
        <v>348025</v>
      </c>
      <c r="AP614" s="636"/>
      <c r="AQ614" s="636"/>
      <c r="AR614" s="637">
        <f t="shared" si="254"/>
        <v>0</v>
      </c>
      <c r="AS614" s="638"/>
      <c r="AT614" s="638"/>
      <c r="AU614" s="635">
        <f t="shared" si="255"/>
        <v>0</v>
      </c>
      <c r="AV614" s="636"/>
      <c r="AW614" s="636"/>
      <c r="AX614" s="637">
        <f t="shared" si="256"/>
        <v>0</v>
      </c>
      <c r="AY614" s="638"/>
      <c r="AZ614" s="638"/>
      <c r="BA614" s="635">
        <f t="shared" si="257"/>
        <v>0</v>
      </c>
      <c r="BB614" s="636">
        <v>5</v>
      </c>
      <c r="BC614" s="636">
        <v>34240</v>
      </c>
      <c r="BD614" s="637">
        <f t="shared" si="258"/>
        <v>140075.84</v>
      </c>
      <c r="BE614" s="638">
        <v>2</v>
      </c>
      <c r="BF614" s="638">
        <v>31800</v>
      </c>
      <c r="BG614" s="635">
        <f t="shared" si="259"/>
        <v>52037.520000000004</v>
      </c>
      <c r="BH614" s="636">
        <v>15</v>
      </c>
      <c r="BI614" s="636">
        <v>37586.666666666664</v>
      </c>
      <c r="BJ614" s="637">
        <f t="shared" si="260"/>
        <v>461301.16000000003</v>
      </c>
      <c r="BK614" s="638">
        <v>12</v>
      </c>
      <c r="BL614" s="638">
        <v>36050</v>
      </c>
      <c r="BM614" s="635">
        <f t="shared" si="261"/>
        <v>353953.32</v>
      </c>
      <c r="BN614" s="636"/>
      <c r="BO614" s="636"/>
      <c r="BP614" s="637">
        <f t="shared" si="262"/>
        <v>0</v>
      </c>
      <c r="BQ614" s="638"/>
      <c r="BR614" s="638"/>
      <c r="BS614" s="635">
        <f t="shared" si="263"/>
        <v>0</v>
      </c>
      <c r="BT614" s="636"/>
      <c r="BU614" s="636"/>
      <c r="BV614" s="637">
        <f t="shared" si="264"/>
        <v>0</v>
      </c>
      <c r="BW614" s="638">
        <v>2</v>
      </c>
      <c r="BX614" s="638">
        <v>40000</v>
      </c>
      <c r="BY614" s="641">
        <f t="shared" si="265"/>
        <v>65456</v>
      </c>
    </row>
    <row r="615" spans="1:77" x14ac:dyDescent="0.2">
      <c r="A615" s="384" t="s">
        <v>77</v>
      </c>
      <c r="B615" s="348" t="s">
        <v>801</v>
      </c>
      <c r="C615" s="349"/>
      <c r="D615" s="351">
        <v>382911</v>
      </c>
      <c r="E615" s="260">
        <v>10</v>
      </c>
      <c r="F615" s="631"/>
      <c r="G615" s="632"/>
      <c r="H615" s="633">
        <f t="shared" si="242"/>
        <v>0</v>
      </c>
      <c r="I615" s="634"/>
      <c r="J615" s="634"/>
      <c r="K615" s="635">
        <f t="shared" si="243"/>
        <v>0</v>
      </c>
      <c r="L615" s="636"/>
      <c r="M615" s="636"/>
      <c r="N615" s="637">
        <f t="shared" si="244"/>
        <v>0</v>
      </c>
      <c r="O615" s="638"/>
      <c r="P615" s="638"/>
      <c r="Q615" s="635">
        <f t="shared" si="245"/>
        <v>0</v>
      </c>
      <c r="R615" s="636"/>
      <c r="S615" s="636"/>
      <c r="T615" s="637">
        <f t="shared" si="246"/>
        <v>0</v>
      </c>
      <c r="U615" s="638"/>
      <c r="V615" s="638"/>
      <c r="W615" s="635">
        <f t="shared" si="247"/>
        <v>0</v>
      </c>
      <c r="X615" s="636"/>
      <c r="Y615" s="636"/>
      <c r="Z615" s="637">
        <f t="shared" si="248"/>
        <v>0</v>
      </c>
      <c r="AA615" s="638"/>
      <c r="AB615" s="638"/>
      <c r="AC615" s="635">
        <f t="shared" si="249"/>
        <v>0</v>
      </c>
      <c r="AD615" s="636"/>
      <c r="AE615" s="636"/>
      <c r="AF615" s="637">
        <f t="shared" si="250"/>
        <v>0</v>
      </c>
      <c r="AG615" s="638"/>
      <c r="AH615" s="638"/>
      <c r="AI615" s="635">
        <f t="shared" si="251"/>
        <v>0</v>
      </c>
      <c r="AJ615" s="636"/>
      <c r="AK615" s="636"/>
      <c r="AL615" s="637">
        <f t="shared" si="252"/>
        <v>0</v>
      </c>
      <c r="AM615" s="638"/>
      <c r="AN615" s="638"/>
      <c r="AO615" s="640">
        <f t="shared" si="253"/>
        <v>0</v>
      </c>
      <c r="AP615" s="636"/>
      <c r="AQ615" s="636"/>
      <c r="AR615" s="637">
        <f t="shared" si="254"/>
        <v>0</v>
      </c>
      <c r="AS615" s="638"/>
      <c r="AT615" s="638"/>
      <c r="AU615" s="635">
        <f t="shared" si="255"/>
        <v>0</v>
      </c>
      <c r="AV615" s="636"/>
      <c r="AW615" s="636"/>
      <c r="AX615" s="637">
        <f t="shared" si="256"/>
        <v>0</v>
      </c>
      <c r="AY615" s="638"/>
      <c r="AZ615" s="638"/>
      <c r="BA615" s="635">
        <f t="shared" si="257"/>
        <v>0</v>
      </c>
      <c r="BB615" s="636"/>
      <c r="BC615" s="636"/>
      <c r="BD615" s="637">
        <f t="shared" si="258"/>
        <v>0</v>
      </c>
      <c r="BE615" s="638"/>
      <c r="BF615" s="638"/>
      <c r="BG615" s="635">
        <f t="shared" si="259"/>
        <v>0</v>
      </c>
      <c r="BH615" s="636"/>
      <c r="BI615" s="636"/>
      <c r="BJ615" s="637">
        <f t="shared" si="260"/>
        <v>0</v>
      </c>
      <c r="BK615" s="638"/>
      <c r="BL615" s="638"/>
      <c r="BM615" s="635">
        <f t="shared" si="261"/>
        <v>0</v>
      </c>
      <c r="BN615" s="636"/>
      <c r="BO615" s="636"/>
      <c r="BP615" s="637">
        <f t="shared" si="262"/>
        <v>0</v>
      </c>
      <c r="BQ615" s="638"/>
      <c r="BR615" s="638"/>
      <c r="BS615" s="635">
        <f t="shared" si="263"/>
        <v>0</v>
      </c>
      <c r="BT615" s="636"/>
      <c r="BU615" s="636"/>
      <c r="BV615" s="637">
        <f t="shared" si="264"/>
        <v>0</v>
      </c>
      <c r="BW615" s="638"/>
      <c r="BX615" s="638"/>
      <c r="BY615" s="641">
        <f t="shared" si="265"/>
        <v>0</v>
      </c>
    </row>
    <row r="616" spans="1:77" x14ac:dyDescent="0.2">
      <c r="A616" s="384" t="s">
        <v>77</v>
      </c>
      <c r="B616" s="348" t="s">
        <v>802</v>
      </c>
      <c r="C616" s="349"/>
      <c r="D616" s="351">
        <v>408394</v>
      </c>
      <c r="E616" s="260">
        <v>10</v>
      </c>
      <c r="F616" s="631"/>
      <c r="G616" s="632"/>
      <c r="H616" s="633">
        <f t="shared" si="242"/>
        <v>0</v>
      </c>
      <c r="I616" s="634"/>
      <c r="J616" s="634"/>
      <c r="K616" s="635">
        <f t="shared" si="243"/>
        <v>0</v>
      </c>
      <c r="L616" s="636"/>
      <c r="M616" s="636"/>
      <c r="N616" s="637">
        <f t="shared" si="244"/>
        <v>0</v>
      </c>
      <c r="O616" s="638"/>
      <c r="P616" s="638"/>
      <c r="Q616" s="635">
        <f t="shared" si="245"/>
        <v>0</v>
      </c>
      <c r="R616" s="636"/>
      <c r="S616" s="636"/>
      <c r="T616" s="637">
        <f t="shared" si="246"/>
        <v>0</v>
      </c>
      <c r="U616" s="638"/>
      <c r="V616" s="638"/>
      <c r="W616" s="635">
        <f t="shared" si="247"/>
        <v>0</v>
      </c>
      <c r="X616" s="636"/>
      <c r="Y616" s="636"/>
      <c r="Z616" s="637">
        <f t="shared" si="248"/>
        <v>0</v>
      </c>
      <c r="AA616" s="638">
        <v>1</v>
      </c>
      <c r="AB616" s="638">
        <v>40008</v>
      </c>
      <c r="AC616" s="635">
        <f t="shared" si="249"/>
        <v>40008</v>
      </c>
      <c r="AD616" s="636"/>
      <c r="AE616" s="636"/>
      <c r="AF616" s="637">
        <f t="shared" si="250"/>
        <v>0</v>
      </c>
      <c r="AG616" s="638"/>
      <c r="AH616" s="638"/>
      <c r="AI616" s="635">
        <f t="shared" si="251"/>
        <v>0</v>
      </c>
      <c r="AJ616" s="636"/>
      <c r="AK616" s="636"/>
      <c r="AL616" s="637">
        <f t="shared" si="252"/>
        <v>0</v>
      </c>
      <c r="AM616" s="638"/>
      <c r="AN616" s="638"/>
      <c r="AO616" s="640">
        <f t="shared" si="253"/>
        <v>0</v>
      </c>
      <c r="AP616" s="636"/>
      <c r="AQ616" s="636"/>
      <c r="AR616" s="637">
        <f t="shared" si="254"/>
        <v>0</v>
      </c>
      <c r="AS616" s="638"/>
      <c r="AT616" s="638"/>
      <c r="AU616" s="635">
        <f t="shared" si="255"/>
        <v>0</v>
      </c>
      <c r="AV616" s="636">
        <v>1</v>
      </c>
      <c r="AW616" s="636">
        <v>55464</v>
      </c>
      <c r="AX616" s="637">
        <f t="shared" si="256"/>
        <v>45380.644800000002</v>
      </c>
      <c r="AY616" s="638">
        <v>1</v>
      </c>
      <c r="AZ616" s="638">
        <v>55464</v>
      </c>
      <c r="BA616" s="635">
        <f t="shared" si="257"/>
        <v>45380.644800000002</v>
      </c>
      <c r="BB616" s="636"/>
      <c r="BC616" s="636"/>
      <c r="BD616" s="637">
        <f t="shared" si="258"/>
        <v>0</v>
      </c>
      <c r="BE616" s="638"/>
      <c r="BF616" s="638"/>
      <c r="BG616" s="635">
        <f t="shared" si="259"/>
        <v>0</v>
      </c>
      <c r="BH616" s="636">
        <v>39</v>
      </c>
      <c r="BI616" s="636">
        <v>44653.538461538461</v>
      </c>
      <c r="BJ616" s="637">
        <f t="shared" si="260"/>
        <v>1424885.4816000001</v>
      </c>
      <c r="BK616" s="638">
        <v>35</v>
      </c>
      <c r="BL616" s="638">
        <v>44125.714285714283</v>
      </c>
      <c r="BM616" s="635">
        <f t="shared" si="261"/>
        <v>1263628.08</v>
      </c>
      <c r="BN616" s="636"/>
      <c r="BO616" s="636"/>
      <c r="BP616" s="637">
        <f t="shared" si="262"/>
        <v>0</v>
      </c>
      <c r="BQ616" s="638"/>
      <c r="BR616" s="638"/>
      <c r="BS616" s="635">
        <f t="shared" si="263"/>
        <v>0</v>
      </c>
      <c r="BT616" s="636"/>
      <c r="BU616" s="636"/>
      <c r="BV616" s="637">
        <f t="shared" si="264"/>
        <v>0</v>
      </c>
      <c r="BW616" s="638"/>
      <c r="BX616" s="638"/>
      <c r="BY616" s="641">
        <f t="shared" si="265"/>
        <v>0</v>
      </c>
    </row>
    <row r="617" spans="1:77" x14ac:dyDescent="0.2">
      <c r="A617" s="391" t="s">
        <v>77</v>
      </c>
      <c r="B617" s="394" t="s">
        <v>803</v>
      </c>
      <c r="C617" s="395"/>
      <c r="D617" s="392">
        <v>229328</v>
      </c>
      <c r="E617" s="393">
        <v>10</v>
      </c>
      <c r="F617" s="631"/>
      <c r="G617" s="632"/>
      <c r="H617" s="633">
        <f t="shared" si="242"/>
        <v>0</v>
      </c>
      <c r="I617" s="634"/>
      <c r="J617" s="634"/>
      <c r="K617" s="635">
        <f t="shared" si="243"/>
        <v>0</v>
      </c>
      <c r="L617" s="636"/>
      <c r="M617" s="636"/>
      <c r="N617" s="637">
        <f t="shared" si="244"/>
        <v>0</v>
      </c>
      <c r="O617" s="638"/>
      <c r="P617" s="638"/>
      <c r="Q617" s="635">
        <f t="shared" si="245"/>
        <v>0</v>
      </c>
      <c r="R617" s="636"/>
      <c r="S617" s="636"/>
      <c r="T617" s="637">
        <f t="shared" si="246"/>
        <v>0</v>
      </c>
      <c r="U617" s="638"/>
      <c r="V617" s="638"/>
      <c r="W617" s="635">
        <f t="shared" si="247"/>
        <v>0</v>
      </c>
      <c r="X617" s="636"/>
      <c r="Y617" s="636"/>
      <c r="Z617" s="637">
        <f t="shared" si="248"/>
        <v>0</v>
      </c>
      <c r="AA617" s="638"/>
      <c r="AB617" s="638"/>
      <c r="AC617" s="635">
        <f t="shared" si="249"/>
        <v>0</v>
      </c>
      <c r="AD617" s="636"/>
      <c r="AE617" s="636"/>
      <c r="AF617" s="637">
        <f t="shared" si="250"/>
        <v>0</v>
      </c>
      <c r="AG617" s="638"/>
      <c r="AH617" s="638"/>
      <c r="AI617" s="635">
        <f t="shared" si="251"/>
        <v>0</v>
      </c>
      <c r="AJ617" s="636"/>
      <c r="AK617" s="636"/>
      <c r="AL617" s="637">
        <f t="shared" si="252"/>
        <v>0</v>
      </c>
      <c r="AM617" s="638"/>
      <c r="AN617" s="638"/>
      <c r="AO617" s="640">
        <f t="shared" si="253"/>
        <v>0</v>
      </c>
      <c r="AP617" s="636"/>
      <c r="AQ617" s="636"/>
      <c r="AR617" s="637">
        <f t="shared" si="254"/>
        <v>0</v>
      </c>
      <c r="AS617" s="638"/>
      <c r="AT617" s="638"/>
      <c r="AU617" s="635">
        <f t="shared" si="255"/>
        <v>0</v>
      </c>
      <c r="AV617" s="636">
        <v>2</v>
      </c>
      <c r="AW617" s="636">
        <v>50328</v>
      </c>
      <c r="AX617" s="637">
        <f t="shared" si="256"/>
        <v>82356.739200000011</v>
      </c>
      <c r="AY617" s="638">
        <v>4</v>
      </c>
      <c r="AZ617" s="638">
        <v>46527</v>
      </c>
      <c r="BA617" s="635">
        <f t="shared" si="257"/>
        <v>152273.5656</v>
      </c>
      <c r="BB617" s="636"/>
      <c r="BC617" s="636"/>
      <c r="BD617" s="637">
        <f t="shared" si="258"/>
        <v>0</v>
      </c>
      <c r="BE617" s="638"/>
      <c r="BF617" s="638"/>
      <c r="BG617" s="635">
        <f t="shared" si="259"/>
        <v>0</v>
      </c>
      <c r="BH617" s="636">
        <v>86</v>
      </c>
      <c r="BI617" s="636">
        <v>43418.255813953489</v>
      </c>
      <c r="BJ617" s="637">
        <f t="shared" si="260"/>
        <v>3055134.2540000002</v>
      </c>
      <c r="BK617" s="638">
        <v>80</v>
      </c>
      <c r="BL617" s="638">
        <v>43935.9</v>
      </c>
      <c r="BM617" s="635">
        <f t="shared" si="261"/>
        <v>2875868.2704000003</v>
      </c>
      <c r="BN617" s="636"/>
      <c r="BO617" s="636"/>
      <c r="BP617" s="637">
        <f t="shared" si="262"/>
        <v>0</v>
      </c>
      <c r="BQ617" s="638"/>
      <c r="BR617" s="638"/>
      <c r="BS617" s="635">
        <f t="shared" si="263"/>
        <v>0</v>
      </c>
      <c r="BT617" s="636"/>
      <c r="BU617" s="636"/>
      <c r="BV617" s="637">
        <f t="shared" si="264"/>
        <v>0</v>
      </c>
      <c r="BW617" s="638"/>
      <c r="BX617" s="638"/>
      <c r="BY617" s="641">
        <f t="shared" si="265"/>
        <v>0</v>
      </c>
    </row>
    <row r="618" spans="1:77" x14ac:dyDescent="0.2">
      <c r="A618" s="384" t="s">
        <v>77</v>
      </c>
      <c r="B618" s="348" t="s">
        <v>804</v>
      </c>
      <c r="C618" s="349"/>
      <c r="D618" s="351">
        <v>229832</v>
      </c>
      <c r="E618" s="260">
        <v>10</v>
      </c>
      <c r="F618" s="631">
        <v>1</v>
      </c>
      <c r="G618" s="632">
        <v>66729</v>
      </c>
      <c r="H618" s="633">
        <f t="shared" si="242"/>
        <v>66729</v>
      </c>
      <c r="I618" s="634">
        <v>1</v>
      </c>
      <c r="J618" s="634">
        <v>66729</v>
      </c>
      <c r="K618" s="635">
        <f t="shared" si="243"/>
        <v>66729</v>
      </c>
      <c r="L618" s="636">
        <v>1</v>
      </c>
      <c r="M618" s="636">
        <v>61832</v>
      </c>
      <c r="N618" s="637">
        <f t="shared" si="244"/>
        <v>61832</v>
      </c>
      <c r="O618" s="638">
        <v>1</v>
      </c>
      <c r="P618" s="638">
        <v>61832</v>
      </c>
      <c r="Q618" s="635">
        <f t="shared" si="245"/>
        <v>61832</v>
      </c>
      <c r="R618" s="636">
        <v>10</v>
      </c>
      <c r="S618" s="636">
        <v>51646.3</v>
      </c>
      <c r="T618" s="637">
        <f t="shared" si="246"/>
        <v>516463</v>
      </c>
      <c r="U618" s="638">
        <v>8</v>
      </c>
      <c r="V618" s="638">
        <v>52421.75</v>
      </c>
      <c r="W618" s="635">
        <f t="shared" si="247"/>
        <v>419374</v>
      </c>
      <c r="X618" s="636">
        <v>20</v>
      </c>
      <c r="Y618" s="636">
        <v>44891.85</v>
      </c>
      <c r="Z618" s="637">
        <f t="shared" si="248"/>
        <v>897837</v>
      </c>
      <c r="AA618" s="638">
        <v>22</v>
      </c>
      <c r="AB618" s="638">
        <v>47462.681818181816</v>
      </c>
      <c r="AC618" s="635">
        <f t="shared" si="249"/>
        <v>1044179</v>
      </c>
      <c r="AD618" s="636"/>
      <c r="AE618" s="636"/>
      <c r="AF618" s="637">
        <f t="shared" si="250"/>
        <v>0</v>
      </c>
      <c r="AG618" s="638"/>
      <c r="AH618" s="638"/>
      <c r="AI618" s="635">
        <f t="shared" si="251"/>
        <v>0</v>
      </c>
      <c r="AJ618" s="636"/>
      <c r="AK618" s="636"/>
      <c r="AL618" s="637">
        <f t="shared" si="252"/>
        <v>0</v>
      </c>
      <c r="AM618" s="638"/>
      <c r="AN618" s="638"/>
      <c r="AO618" s="640">
        <f t="shared" si="253"/>
        <v>0</v>
      </c>
      <c r="AP618" s="636"/>
      <c r="AQ618" s="636"/>
      <c r="AR618" s="637">
        <f t="shared" si="254"/>
        <v>0</v>
      </c>
      <c r="AS618" s="638"/>
      <c r="AT618" s="638"/>
      <c r="AU618" s="635">
        <f t="shared" si="255"/>
        <v>0</v>
      </c>
      <c r="AV618" s="636">
        <v>1</v>
      </c>
      <c r="AW618" s="636">
        <v>67771</v>
      </c>
      <c r="AX618" s="637">
        <f t="shared" si="256"/>
        <v>55450.232200000006</v>
      </c>
      <c r="AY618" s="638">
        <v>1</v>
      </c>
      <c r="AZ618" s="638">
        <v>67771</v>
      </c>
      <c r="BA618" s="635">
        <f t="shared" si="257"/>
        <v>55450.232200000006</v>
      </c>
      <c r="BB618" s="636">
        <v>2</v>
      </c>
      <c r="BC618" s="636">
        <v>66400.5</v>
      </c>
      <c r="BD618" s="637">
        <f t="shared" si="258"/>
        <v>108657.7782</v>
      </c>
      <c r="BE618" s="638">
        <v>2</v>
      </c>
      <c r="BF618" s="638">
        <v>66400.5</v>
      </c>
      <c r="BG618" s="635">
        <f t="shared" si="259"/>
        <v>108657.7782</v>
      </c>
      <c r="BH618" s="636">
        <v>11</v>
      </c>
      <c r="BI618" s="636">
        <v>55211.272727272728</v>
      </c>
      <c r="BJ618" s="637">
        <f t="shared" si="260"/>
        <v>496912.49680000002</v>
      </c>
      <c r="BK618" s="638">
        <v>10</v>
      </c>
      <c r="BL618" s="638">
        <v>59036.2</v>
      </c>
      <c r="BM618" s="635">
        <f t="shared" si="261"/>
        <v>483034.18840000004</v>
      </c>
      <c r="BN618" s="636"/>
      <c r="BO618" s="636"/>
      <c r="BP618" s="637">
        <f t="shared" si="262"/>
        <v>0</v>
      </c>
      <c r="BQ618" s="638"/>
      <c r="BR618" s="638"/>
      <c r="BS618" s="635">
        <f t="shared" si="263"/>
        <v>0</v>
      </c>
      <c r="BT618" s="636"/>
      <c r="BU618" s="636"/>
      <c r="BV618" s="637">
        <f t="shared" si="264"/>
        <v>0</v>
      </c>
      <c r="BW618" s="638"/>
      <c r="BX618" s="638"/>
      <c r="BY618" s="641">
        <f t="shared" si="265"/>
        <v>0</v>
      </c>
    </row>
    <row r="619" spans="1:77" x14ac:dyDescent="0.2">
      <c r="A619" s="397" t="s">
        <v>77</v>
      </c>
      <c r="B619" s="350" t="s">
        <v>807</v>
      </c>
      <c r="C619" s="386" t="s">
        <v>808</v>
      </c>
      <c r="D619" s="398"/>
      <c r="E619" s="260">
        <v>99</v>
      </c>
      <c r="F619" s="631">
        <v>186</v>
      </c>
      <c r="G619" s="632">
        <v>134854.75806451612</v>
      </c>
      <c r="H619" s="633">
        <f t="shared" si="242"/>
        <v>25082985</v>
      </c>
      <c r="I619" s="634"/>
      <c r="J619" s="634"/>
      <c r="K619" s="635">
        <f t="shared" si="243"/>
        <v>0</v>
      </c>
      <c r="L619" s="636">
        <v>116</v>
      </c>
      <c r="M619" s="636">
        <v>105920.1724137931</v>
      </c>
      <c r="N619" s="637">
        <f t="shared" si="244"/>
        <v>12286740</v>
      </c>
      <c r="O619" s="638"/>
      <c r="P619" s="638"/>
      <c r="Q619" s="635">
        <f t="shared" si="245"/>
        <v>0</v>
      </c>
      <c r="R619" s="636">
        <v>101</v>
      </c>
      <c r="S619" s="636">
        <v>92433.415841584152</v>
      </c>
      <c r="T619" s="637">
        <f t="shared" si="246"/>
        <v>9335775</v>
      </c>
      <c r="U619" s="638"/>
      <c r="V619" s="638"/>
      <c r="W619" s="635">
        <f t="shared" si="247"/>
        <v>0</v>
      </c>
      <c r="X619" s="636"/>
      <c r="Y619" s="636"/>
      <c r="Z619" s="637">
        <f t="shared" si="248"/>
        <v>0</v>
      </c>
      <c r="AA619" s="638"/>
      <c r="AB619" s="638"/>
      <c r="AC619" s="635">
        <f t="shared" si="249"/>
        <v>0</v>
      </c>
      <c r="AD619" s="636">
        <v>177</v>
      </c>
      <c r="AE619" s="636">
        <v>63568.310734463274</v>
      </c>
      <c r="AF619" s="637">
        <f t="shared" si="250"/>
        <v>11251591</v>
      </c>
      <c r="AG619" s="638"/>
      <c r="AH619" s="638"/>
      <c r="AI619" s="635">
        <f t="shared" si="251"/>
        <v>0</v>
      </c>
      <c r="AJ619" s="636">
        <v>8</v>
      </c>
      <c r="AK619" s="636">
        <v>84603.875</v>
      </c>
      <c r="AL619" s="637">
        <f t="shared" si="252"/>
        <v>676831</v>
      </c>
      <c r="AM619" s="638"/>
      <c r="AN619" s="638"/>
      <c r="AO619" s="640">
        <f t="shared" si="253"/>
        <v>0</v>
      </c>
      <c r="AP619" s="636"/>
      <c r="AQ619" s="636"/>
      <c r="AR619" s="637">
        <f t="shared" si="254"/>
        <v>0</v>
      </c>
      <c r="AS619" s="638"/>
      <c r="AT619" s="638"/>
      <c r="AU619" s="635">
        <f t="shared" si="255"/>
        <v>0</v>
      </c>
      <c r="AV619" s="636"/>
      <c r="AW619" s="636"/>
      <c r="AX619" s="637">
        <f t="shared" si="256"/>
        <v>0</v>
      </c>
      <c r="AY619" s="638"/>
      <c r="AZ619" s="638"/>
      <c r="BA619" s="635">
        <f t="shared" si="257"/>
        <v>0</v>
      </c>
      <c r="BB619" s="636"/>
      <c r="BC619" s="636"/>
      <c r="BD619" s="637">
        <f t="shared" si="258"/>
        <v>0</v>
      </c>
      <c r="BE619" s="638"/>
      <c r="BF619" s="638"/>
      <c r="BG619" s="635">
        <f t="shared" si="259"/>
        <v>0</v>
      </c>
      <c r="BH619" s="636"/>
      <c r="BI619" s="636"/>
      <c r="BJ619" s="637">
        <f t="shared" si="260"/>
        <v>0</v>
      </c>
      <c r="BK619" s="638"/>
      <c r="BL619" s="638"/>
      <c r="BM619" s="635">
        <f t="shared" si="261"/>
        <v>0</v>
      </c>
      <c r="BN619" s="636"/>
      <c r="BO619" s="636"/>
      <c r="BP619" s="637">
        <f t="shared" si="262"/>
        <v>0</v>
      </c>
      <c r="BQ619" s="638"/>
      <c r="BR619" s="638"/>
      <c r="BS619" s="635">
        <f t="shared" si="263"/>
        <v>0</v>
      </c>
      <c r="BT619" s="636"/>
      <c r="BU619" s="636"/>
      <c r="BV619" s="637">
        <f t="shared" si="264"/>
        <v>0</v>
      </c>
      <c r="BW619" s="638"/>
      <c r="BX619" s="638"/>
      <c r="BY619" s="641">
        <f t="shared" si="265"/>
        <v>0</v>
      </c>
    </row>
    <row r="620" spans="1:77" x14ac:dyDescent="0.2">
      <c r="A620" s="397" t="s">
        <v>77</v>
      </c>
      <c r="B620" s="350" t="s">
        <v>805</v>
      </c>
      <c r="C620" s="386" t="s">
        <v>874</v>
      </c>
      <c r="D620" s="398"/>
      <c r="E620" s="260">
        <v>99</v>
      </c>
      <c r="F620" s="631"/>
      <c r="G620" s="632"/>
      <c r="H620" s="633">
        <f t="shared" si="242"/>
        <v>0</v>
      </c>
      <c r="I620" s="634"/>
      <c r="J620" s="634"/>
      <c r="K620" s="635">
        <f t="shared" si="243"/>
        <v>0</v>
      </c>
      <c r="L620" s="636"/>
      <c r="M620" s="636"/>
      <c r="N620" s="637">
        <f t="shared" si="244"/>
        <v>0</v>
      </c>
      <c r="O620" s="638"/>
      <c r="P620" s="638"/>
      <c r="Q620" s="635">
        <f t="shared" si="245"/>
        <v>0</v>
      </c>
      <c r="R620" s="636"/>
      <c r="S620" s="636"/>
      <c r="T620" s="637">
        <f t="shared" si="246"/>
        <v>0</v>
      </c>
      <c r="U620" s="638"/>
      <c r="V620" s="638"/>
      <c r="W620" s="635">
        <f t="shared" si="247"/>
        <v>0</v>
      </c>
      <c r="X620" s="636"/>
      <c r="Y620" s="636"/>
      <c r="Z620" s="637">
        <f t="shared" si="248"/>
        <v>0</v>
      </c>
      <c r="AA620" s="638"/>
      <c r="AB620" s="638"/>
      <c r="AC620" s="635">
        <f t="shared" si="249"/>
        <v>0</v>
      </c>
      <c r="AD620" s="636"/>
      <c r="AE620" s="636"/>
      <c r="AF620" s="637">
        <f t="shared" si="250"/>
        <v>0</v>
      </c>
      <c r="AG620" s="638"/>
      <c r="AH620" s="638"/>
      <c r="AI620" s="635">
        <f t="shared" si="251"/>
        <v>0</v>
      </c>
      <c r="AJ620" s="636"/>
      <c r="AK620" s="636"/>
      <c r="AL620" s="637">
        <f t="shared" si="252"/>
        <v>0</v>
      </c>
      <c r="AM620" s="638"/>
      <c r="AN620" s="638"/>
      <c r="AO620" s="640">
        <f t="shared" si="253"/>
        <v>0</v>
      </c>
      <c r="AP620" s="636"/>
      <c r="AQ620" s="636"/>
      <c r="AR620" s="637">
        <f t="shared" si="254"/>
        <v>0</v>
      </c>
      <c r="AS620" s="638"/>
      <c r="AT620" s="638"/>
      <c r="AU620" s="635">
        <f t="shared" si="255"/>
        <v>0</v>
      </c>
      <c r="AV620" s="636"/>
      <c r="AW620" s="636"/>
      <c r="AX620" s="637">
        <f t="shared" si="256"/>
        <v>0</v>
      </c>
      <c r="AY620" s="638"/>
      <c r="AZ620" s="638"/>
      <c r="BA620" s="635">
        <f t="shared" si="257"/>
        <v>0</v>
      </c>
      <c r="BB620" s="636"/>
      <c r="BC620" s="636"/>
      <c r="BD620" s="637">
        <f t="shared" si="258"/>
        <v>0</v>
      </c>
      <c r="BE620" s="638"/>
      <c r="BF620" s="638"/>
      <c r="BG620" s="635">
        <f t="shared" si="259"/>
        <v>0</v>
      </c>
      <c r="BH620" s="636"/>
      <c r="BI620" s="636"/>
      <c r="BJ620" s="637">
        <f t="shared" si="260"/>
        <v>0</v>
      </c>
      <c r="BK620" s="638"/>
      <c r="BL620" s="638"/>
      <c r="BM620" s="635">
        <f t="shared" si="261"/>
        <v>0</v>
      </c>
      <c r="BN620" s="636"/>
      <c r="BO620" s="636"/>
      <c r="BP620" s="637">
        <f t="shared" si="262"/>
        <v>0</v>
      </c>
      <c r="BQ620" s="638"/>
      <c r="BR620" s="638"/>
      <c r="BS620" s="635">
        <f t="shared" si="263"/>
        <v>0</v>
      </c>
      <c r="BT620" s="636"/>
      <c r="BU620" s="636"/>
      <c r="BV620" s="637">
        <f t="shared" si="264"/>
        <v>0</v>
      </c>
      <c r="BW620" s="638"/>
      <c r="BX620" s="638"/>
      <c r="BY620" s="641">
        <f t="shared" si="265"/>
        <v>0</v>
      </c>
    </row>
    <row r="621" spans="1:77" x14ac:dyDescent="0.2">
      <c r="A621" s="397" t="s">
        <v>77</v>
      </c>
      <c r="B621" s="350" t="s">
        <v>806</v>
      </c>
      <c r="C621" s="386" t="s">
        <v>875</v>
      </c>
      <c r="D621" s="399">
        <v>870501</v>
      </c>
      <c r="E621" s="260">
        <v>99</v>
      </c>
      <c r="F621" s="631"/>
      <c r="G621" s="632"/>
      <c r="H621" s="633">
        <f t="shared" si="242"/>
        <v>0</v>
      </c>
      <c r="I621" s="634"/>
      <c r="J621" s="634"/>
      <c r="K621" s="635">
        <f t="shared" si="243"/>
        <v>0</v>
      </c>
      <c r="L621" s="636"/>
      <c r="M621" s="636"/>
      <c r="N621" s="637">
        <f t="shared" si="244"/>
        <v>0</v>
      </c>
      <c r="O621" s="638"/>
      <c r="P621" s="638"/>
      <c r="Q621" s="635">
        <f t="shared" si="245"/>
        <v>0</v>
      </c>
      <c r="R621" s="636"/>
      <c r="S621" s="636"/>
      <c r="T621" s="637">
        <f t="shared" si="246"/>
        <v>0</v>
      </c>
      <c r="U621" s="638"/>
      <c r="V621" s="638"/>
      <c r="W621" s="635">
        <f t="shared" si="247"/>
        <v>0</v>
      </c>
      <c r="X621" s="636"/>
      <c r="Y621" s="636"/>
      <c r="Z621" s="637">
        <f t="shared" si="248"/>
        <v>0</v>
      </c>
      <c r="AA621" s="638"/>
      <c r="AB621" s="638"/>
      <c r="AC621" s="635">
        <f t="shared" si="249"/>
        <v>0</v>
      </c>
      <c r="AD621" s="636"/>
      <c r="AE621" s="636"/>
      <c r="AF621" s="637">
        <f t="shared" si="250"/>
        <v>0</v>
      </c>
      <c r="AG621" s="638"/>
      <c r="AH621" s="638"/>
      <c r="AI621" s="635">
        <f t="shared" si="251"/>
        <v>0</v>
      </c>
      <c r="AJ621" s="636"/>
      <c r="AK621" s="636"/>
      <c r="AL621" s="637">
        <f t="shared" si="252"/>
        <v>0</v>
      </c>
      <c r="AM621" s="638"/>
      <c r="AN621" s="638"/>
      <c r="AO621" s="640">
        <f t="shared" si="253"/>
        <v>0</v>
      </c>
      <c r="AP621" s="636"/>
      <c r="AQ621" s="636"/>
      <c r="AR621" s="637">
        <f t="shared" si="254"/>
        <v>0</v>
      </c>
      <c r="AS621" s="638"/>
      <c r="AT621" s="638"/>
      <c r="AU621" s="635">
        <f t="shared" si="255"/>
        <v>0</v>
      </c>
      <c r="AV621" s="636"/>
      <c r="AW621" s="636"/>
      <c r="AX621" s="637">
        <f t="shared" si="256"/>
        <v>0</v>
      </c>
      <c r="AY621" s="638"/>
      <c r="AZ621" s="638"/>
      <c r="BA621" s="635">
        <f t="shared" si="257"/>
        <v>0</v>
      </c>
      <c r="BB621" s="636"/>
      <c r="BC621" s="636"/>
      <c r="BD621" s="637">
        <f t="shared" si="258"/>
        <v>0</v>
      </c>
      <c r="BE621" s="638"/>
      <c r="BF621" s="638"/>
      <c r="BG621" s="635">
        <f t="shared" si="259"/>
        <v>0</v>
      </c>
      <c r="BH621" s="636"/>
      <c r="BI621" s="636"/>
      <c r="BJ621" s="637">
        <f t="shared" si="260"/>
        <v>0</v>
      </c>
      <c r="BK621" s="638"/>
      <c r="BL621" s="638"/>
      <c r="BM621" s="635">
        <f t="shared" si="261"/>
        <v>0</v>
      </c>
      <c r="BN621" s="636"/>
      <c r="BO621" s="636"/>
      <c r="BP621" s="637">
        <f t="shared" si="262"/>
        <v>0</v>
      </c>
      <c r="BQ621" s="638"/>
      <c r="BR621" s="638"/>
      <c r="BS621" s="635">
        <f t="shared" si="263"/>
        <v>0</v>
      </c>
      <c r="BT621" s="636"/>
      <c r="BU621" s="636"/>
      <c r="BV621" s="637">
        <f t="shared" si="264"/>
        <v>0</v>
      </c>
      <c r="BW621" s="638"/>
      <c r="BX621" s="638"/>
      <c r="BY621" s="641">
        <f t="shared" si="265"/>
        <v>0</v>
      </c>
    </row>
    <row r="622" spans="1:77" x14ac:dyDescent="0.2">
      <c r="A622" s="400" t="s">
        <v>111</v>
      </c>
      <c r="B622" s="401" t="s">
        <v>809</v>
      </c>
      <c r="C622" s="402"/>
      <c r="D622" s="403">
        <v>232186</v>
      </c>
      <c r="E622" s="404">
        <v>1</v>
      </c>
      <c r="F622" s="631">
        <v>309</v>
      </c>
      <c r="G622" s="632">
        <v>125447</v>
      </c>
      <c r="H622" s="633">
        <f t="shared" si="242"/>
        <v>38763123</v>
      </c>
      <c r="I622" s="634">
        <v>312</v>
      </c>
      <c r="J622" s="634">
        <v>129456</v>
      </c>
      <c r="K622" s="635">
        <f t="shared" si="243"/>
        <v>40390272</v>
      </c>
      <c r="L622" s="636">
        <v>358</v>
      </c>
      <c r="M622" s="636">
        <v>83567</v>
      </c>
      <c r="N622" s="637">
        <f t="shared" si="244"/>
        <v>29916986</v>
      </c>
      <c r="O622" s="638">
        <v>362</v>
      </c>
      <c r="P622" s="638">
        <v>85546</v>
      </c>
      <c r="Q622" s="635">
        <f t="shared" si="245"/>
        <v>30967652</v>
      </c>
      <c r="R622" s="636">
        <v>347</v>
      </c>
      <c r="S622" s="636">
        <v>68864</v>
      </c>
      <c r="T622" s="637">
        <f t="shared" si="246"/>
        <v>23895808</v>
      </c>
      <c r="U622" s="638">
        <v>350</v>
      </c>
      <c r="V622" s="638">
        <v>71500</v>
      </c>
      <c r="W622" s="635">
        <f t="shared" si="247"/>
        <v>25025000</v>
      </c>
      <c r="X622" s="636">
        <v>62</v>
      </c>
      <c r="Y622" s="636">
        <v>55340</v>
      </c>
      <c r="Z622" s="637">
        <f t="shared" si="248"/>
        <v>3431080</v>
      </c>
      <c r="AA622" s="638">
        <v>67</v>
      </c>
      <c r="AB622" s="638">
        <v>57650</v>
      </c>
      <c r="AC622" s="635">
        <f t="shared" si="249"/>
        <v>3862550</v>
      </c>
      <c r="AD622" s="636"/>
      <c r="AE622" s="636"/>
      <c r="AF622" s="637">
        <f t="shared" si="250"/>
        <v>0</v>
      </c>
      <c r="AG622" s="638"/>
      <c r="AH622" s="638"/>
      <c r="AI622" s="635">
        <f t="shared" si="251"/>
        <v>0</v>
      </c>
      <c r="AJ622" s="636"/>
      <c r="AK622" s="636"/>
      <c r="AL622" s="637">
        <f t="shared" si="252"/>
        <v>0</v>
      </c>
      <c r="AM622" s="638"/>
      <c r="AN622" s="638"/>
      <c r="AO622" s="640">
        <f t="shared" si="253"/>
        <v>0</v>
      </c>
      <c r="AP622" s="636">
        <v>29</v>
      </c>
      <c r="AQ622" s="636">
        <v>179882</v>
      </c>
      <c r="AR622" s="637">
        <f t="shared" si="254"/>
        <v>4268204.1195999999</v>
      </c>
      <c r="AS622" s="638">
        <v>34</v>
      </c>
      <c r="AT622" s="638">
        <v>176712</v>
      </c>
      <c r="AU622" s="635">
        <f t="shared" si="255"/>
        <v>4915915.7856000001</v>
      </c>
      <c r="AV622" s="636">
        <v>15</v>
      </c>
      <c r="AW622" s="636">
        <v>89427</v>
      </c>
      <c r="AX622" s="637">
        <f t="shared" si="256"/>
        <v>1097537.571</v>
      </c>
      <c r="AY622" s="638">
        <v>14</v>
      </c>
      <c r="AZ622" s="638">
        <v>98886</v>
      </c>
      <c r="BA622" s="635">
        <f t="shared" si="257"/>
        <v>1132719.3528</v>
      </c>
      <c r="BB622" s="636">
        <v>17</v>
      </c>
      <c r="BC622" s="636">
        <v>75638</v>
      </c>
      <c r="BD622" s="637">
        <f t="shared" si="258"/>
        <v>1052079.1972000001</v>
      </c>
      <c r="BE622" s="638">
        <v>24</v>
      </c>
      <c r="BF622" s="638">
        <v>77896</v>
      </c>
      <c r="BG622" s="635">
        <f t="shared" si="259"/>
        <v>1529628.1728000001</v>
      </c>
      <c r="BH622" s="636">
        <v>7</v>
      </c>
      <c r="BI622" s="636">
        <v>73718</v>
      </c>
      <c r="BJ622" s="637">
        <f t="shared" si="260"/>
        <v>422212.47320000001</v>
      </c>
      <c r="BK622" s="638">
        <v>8</v>
      </c>
      <c r="BL622" s="638">
        <v>79594</v>
      </c>
      <c r="BM622" s="635">
        <f t="shared" si="261"/>
        <v>520990.48640000005</v>
      </c>
      <c r="BN622" s="636"/>
      <c r="BO622" s="636"/>
      <c r="BP622" s="637">
        <f t="shared" si="262"/>
        <v>0</v>
      </c>
      <c r="BQ622" s="638"/>
      <c r="BR622" s="638"/>
      <c r="BS622" s="635">
        <f t="shared" si="263"/>
        <v>0</v>
      </c>
      <c r="BT622" s="636"/>
      <c r="BU622" s="636"/>
      <c r="BV622" s="637">
        <f t="shared" si="264"/>
        <v>0</v>
      </c>
      <c r="BW622" s="638"/>
      <c r="BX622" s="638"/>
      <c r="BY622" s="641">
        <f t="shared" si="265"/>
        <v>0</v>
      </c>
    </row>
    <row r="623" spans="1:77" x14ac:dyDescent="0.2">
      <c r="A623" s="400" t="s">
        <v>111</v>
      </c>
      <c r="B623" s="405" t="s">
        <v>810</v>
      </c>
      <c r="C623" s="406"/>
      <c r="D623" s="407">
        <v>232982</v>
      </c>
      <c r="E623" s="404">
        <v>1</v>
      </c>
      <c r="F623" s="631">
        <v>140</v>
      </c>
      <c r="G623" s="632">
        <v>101918</v>
      </c>
      <c r="H623" s="633">
        <f t="shared" si="242"/>
        <v>14268520</v>
      </c>
      <c r="I623" s="634">
        <v>147</v>
      </c>
      <c r="J623" s="634">
        <v>106372</v>
      </c>
      <c r="K623" s="635">
        <f t="shared" si="243"/>
        <v>15636684</v>
      </c>
      <c r="L623" s="636">
        <v>178</v>
      </c>
      <c r="M623" s="636">
        <v>73358</v>
      </c>
      <c r="N623" s="637">
        <f t="shared" si="244"/>
        <v>13057724</v>
      </c>
      <c r="O623" s="638">
        <v>178</v>
      </c>
      <c r="P623" s="638">
        <v>76121</v>
      </c>
      <c r="Q623" s="635">
        <f t="shared" si="245"/>
        <v>13549538</v>
      </c>
      <c r="R623" s="636">
        <v>144</v>
      </c>
      <c r="S623" s="636">
        <v>66590</v>
      </c>
      <c r="T623" s="637">
        <f t="shared" si="246"/>
        <v>9588960</v>
      </c>
      <c r="U623" s="638">
        <v>160</v>
      </c>
      <c r="V623" s="638">
        <v>66507</v>
      </c>
      <c r="W623" s="635">
        <f t="shared" si="247"/>
        <v>10641120</v>
      </c>
      <c r="X623" s="636">
        <v>33</v>
      </c>
      <c r="Y623" s="636">
        <v>44726</v>
      </c>
      <c r="Z623" s="637">
        <f t="shared" si="248"/>
        <v>1475958</v>
      </c>
      <c r="AA623" s="638">
        <v>27</v>
      </c>
      <c r="AB623" s="638">
        <v>49705</v>
      </c>
      <c r="AC623" s="635">
        <f t="shared" si="249"/>
        <v>1342035</v>
      </c>
      <c r="AD623" s="636">
        <v>125</v>
      </c>
      <c r="AE623" s="636">
        <v>49694</v>
      </c>
      <c r="AF623" s="637">
        <f t="shared" si="250"/>
        <v>6211750</v>
      </c>
      <c r="AG623" s="638">
        <v>131</v>
      </c>
      <c r="AH623" s="638">
        <v>50934</v>
      </c>
      <c r="AI623" s="635">
        <f t="shared" si="251"/>
        <v>6672354</v>
      </c>
      <c r="AJ623" s="636"/>
      <c r="AK623" s="636"/>
      <c r="AL623" s="637">
        <f t="shared" si="252"/>
        <v>0</v>
      </c>
      <c r="AM623" s="638"/>
      <c r="AN623" s="638"/>
      <c r="AO623" s="640">
        <f t="shared" si="253"/>
        <v>0</v>
      </c>
      <c r="AP623" s="636">
        <v>60</v>
      </c>
      <c r="AQ623" s="636">
        <v>133719</v>
      </c>
      <c r="AR623" s="637">
        <f t="shared" si="254"/>
        <v>6564533.148</v>
      </c>
      <c r="AS623" s="638">
        <v>60</v>
      </c>
      <c r="AT623" s="638">
        <v>132760</v>
      </c>
      <c r="AU623" s="635">
        <f t="shared" si="255"/>
        <v>6517453.9199999999</v>
      </c>
      <c r="AV623" s="636">
        <v>21</v>
      </c>
      <c r="AW623" s="636">
        <v>94967</v>
      </c>
      <c r="AX623" s="637">
        <f t="shared" si="256"/>
        <v>1631741.9874</v>
      </c>
      <c r="AY623" s="638">
        <v>21</v>
      </c>
      <c r="AZ623" s="638">
        <v>100927</v>
      </c>
      <c r="BA623" s="635">
        <f t="shared" si="257"/>
        <v>1734147.8994</v>
      </c>
      <c r="BB623" s="636">
        <v>5</v>
      </c>
      <c r="BC623" s="636">
        <v>82736</v>
      </c>
      <c r="BD623" s="637">
        <f t="shared" si="258"/>
        <v>338472.97600000002</v>
      </c>
      <c r="BE623" s="638">
        <v>5</v>
      </c>
      <c r="BF623" s="638">
        <v>81164</v>
      </c>
      <c r="BG623" s="635">
        <f t="shared" si="259"/>
        <v>332041.924</v>
      </c>
      <c r="BH623" s="636">
        <v>1</v>
      </c>
      <c r="BI623" s="636">
        <v>63654</v>
      </c>
      <c r="BJ623" s="637">
        <f t="shared" si="260"/>
        <v>52081.702799999999</v>
      </c>
      <c r="BK623" s="638">
        <v>1</v>
      </c>
      <c r="BL623" s="638">
        <v>110000</v>
      </c>
      <c r="BM623" s="635">
        <f t="shared" si="261"/>
        <v>90002</v>
      </c>
      <c r="BN623" s="636">
        <v>16</v>
      </c>
      <c r="BO623" s="636">
        <v>50957</v>
      </c>
      <c r="BP623" s="637">
        <f t="shared" si="262"/>
        <v>667088.27840000007</v>
      </c>
      <c r="BQ623" s="638">
        <v>16</v>
      </c>
      <c r="BR623" s="638">
        <v>53440</v>
      </c>
      <c r="BS623" s="635">
        <f t="shared" si="263"/>
        <v>699593.728</v>
      </c>
      <c r="BT623" s="636"/>
      <c r="BU623" s="636"/>
      <c r="BV623" s="637">
        <f t="shared" si="264"/>
        <v>0</v>
      </c>
      <c r="BW623" s="638"/>
      <c r="BX623" s="638"/>
      <c r="BY623" s="641">
        <f t="shared" si="265"/>
        <v>0</v>
      </c>
    </row>
    <row r="624" spans="1:77" x14ac:dyDescent="0.2">
      <c r="A624" s="400" t="s">
        <v>111</v>
      </c>
      <c r="B624" s="408" t="s">
        <v>811</v>
      </c>
      <c r="C624" s="409"/>
      <c r="D624" s="400">
        <v>234076</v>
      </c>
      <c r="E624" s="410">
        <v>1</v>
      </c>
      <c r="F624" s="631">
        <v>404</v>
      </c>
      <c r="G624" s="632">
        <v>138189</v>
      </c>
      <c r="H624" s="633">
        <f t="shared" si="242"/>
        <v>55828356</v>
      </c>
      <c r="I624" s="634">
        <v>417</v>
      </c>
      <c r="J624" s="634">
        <v>143132</v>
      </c>
      <c r="K624" s="635">
        <f t="shared" si="243"/>
        <v>59686044</v>
      </c>
      <c r="L624" s="636">
        <v>246</v>
      </c>
      <c r="M624" s="636">
        <v>95237</v>
      </c>
      <c r="N624" s="637">
        <f t="shared" si="244"/>
        <v>23428302</v>
      </c>
      <c r="O624" s="638">
        <v>258</v>
      </c>
      <c r="P624" s="638">
        <v>97200</v>
      </c>
      <c r="Q624" s="635">
        <f t="shared" si="245"/>
        <v>25077600</v>
      </c>
      <c r="R624" s="636">
        <v>194</v>
      </c>
      <c r="S624" s="636">
        <v>76759</v>
      </c>
      <c r="T624" s="637">
        <f t="shared" si="246"/>
        <v>14891246</v>
      </c>
      <c r="U624" s="638">
        <v>168</v>
      </c>
      <c r="V624" s="638">
        <v>81052</v>
      </c>
      <c r="W624" s="635">
        <f t="shared" si="247"/>
        <v>13616736</v>
      </c>
      <c r="X624" s="636">
        <v>5</v>
      </c>
      <c r="Y624" s="636">
        <v>51160</v>
      </c>
      <c r="Z624" s="637">
        <f t="shared" si="248"/>
        <v>255800</v>
      </c>
      <c r="AA624" s="638">
        <v>5</v>
      </c>
      <c r="AB624" s="638">
        <v>49860</v>
      </c>
      <c r="AC624" s="635">
        <f t="shared" si="249"/>
        <v>249300</v>
      </c>
      <c r="AD624" s="636">
        <v>57</v>
      </c>
      <c r="AE624" s="636">
        <v>52928</v>
      </c>
      <c r="AF624" s="637">
        <f t="shared" si="250"/>
        <v>3016896</v>
      </c>
      <c r="AG624" s="638">
        <v>62</v>
      </c>
      <c r="AH624" s="638">
        <v>55789</v>
      </c>
      <c r="AI624" s="635">
        <f t="shared" si="251"/>
        <v>3458918</v>
      </c>
      <c r="AJ624" s="636"/>
      <c r="AK624" s="636"/>
      <c r="AL624" s="637">
        <f t="shared" si="252"/>
        <v>0</v>
      </c>
      <c r="AM624" s="638"/>
      <c r="AN624" s="638"/>
      <c r="AO624" s="640">
        <f t="shared" si="253"/>
        <v>0</v>
      </c>
      <c r="AP624" s="636">
        <v>118</v>
      </c>
      <c r="AQ624" s="636">
        <v>163611</v>
      </c>
      <c r="AR624" s="637">
        <f t="shared" si="254"/>
        <v>15796249.3836</v>
      </c>
      <c r="AS624" s="638">
        <v>115</v>
      </c>
      <c r="AT624" s="638">
        <v>166437</v>
      </c>
      <c r="AU624" s="635">
        <f t="shared" si="255"/>
        <v>15660556.641000001</v>
      </c>
      <c r="AV624" s="636">
        <v>65</v>
      </c>
      <c r="AW624" s="636">
        <v>100620</v>
      </c>
      <c r="AX624" s="637">
        <f t="shared" si="256"/>
        <v>5351273.46</v>
      </c>
      <c r="AY624" s="638">
        <v>66</v>
      </c>
      <c r="AZ624" s="638">
        <v>105515</v>
      </c>
      <c r="BA624" s="635">
        <f t="shared" si="257"/>
        <v>5697936.6180000007</v>
      </c>
      <c r="BB624" s="636">
        <v>38</v>
      </c>
      <c r="BC624" s="636">
        <v>93032</v>
      </c>
      <c r="BD624" s="637">
        <f t="shared" si="258"/>
        <v>2892513.7312000003</v>
      </c>
      <c r="BE624" s="638">
        <v>29</v>
      </c>
      <c r="BF624" s="638">
        <v>92566</v>
      </c>
      <c r="BG624" s="635">
        <f t="shared" si="259"/>
        <v>2196387.5348</v>
      </c>
      <c r="BH624" s="636">
        <v>1</v>
      </c>
      <c r="BI624" s="636">
        <v>60000</v>
      </c>
      <c r="BJ624" s="637">
        <f t="shared" si="260"/>
        <v>49092</v>
      </c>
      <c r="BK624" s="638">
        <v>1</v>
      </c>
      <c r="BL624" s="638">
        <v>66000</v>
      </c>
      <c r="BM624" s="635">
        <f t="shared" si="261"/>
        <v>54001.200000000004</v>
      </c>
      <c r="BN624" s="636">
        <v>24</v>
      </c>
      <c r="BO624" s="636">
        <v>66218</v>
      </c>
      <c r="BP624" s="637">
        <f t="shared" si="262"/>
        <v>1300309.6224</v>
      </c>
      <c r="BQ624" s="638">
        <v>26</v>
      </c>
      <c r="BR624" s="638">
        <v>69158</v>
      </c>
      <c r="BS624" s="635">
        <f t="shared" si="263"/>
        <v>1471211.9656</v>
      </c>
      <c r="BT624" s="636"/>
      <c r="BU624" s="636"/>
      <c r="BV624" s="637">
        <f t="shared" si="264"/>
        <v>0</v>
      </c>
      <c r="BW624" s="638"/>
      <c r="BX624" s="638"/>
      <c r="BY624" s="641">
        <f t="shared" si="265"/>
        <v>0</v>
      </c>
    </row>
    <row r="625" spans="1:77" x14ac:dyDescent="0.2">
      <c r="A625" s="400" t="s">
        <v>111</v>
      </c>
      <c r="B625" s="408" t="s">
        <v>812</v>
      </c>
      <c r="C625" s="409"/>
      <c r="D625" s="400">
        <v>233921</v>
      </c>
      <c r="E625" s="410">
        <v>1</v>
      </c>
      <c r="F625" s="631">
        <v>299</v>
      </c>
      <c r="G625" s="632">
        <v>112321</v>
      </c>
      <c r="H625" s="633">
        <f t="shared" si="242"/>
        <v>33583979</v>
      </c>
      <c r="I625" s="634">
        <v>307</v>
      </c>
      <c r="J625" s="634">
        <v>116777</v>
      </c>
      <c r="K625" s="635">
        <f t="shared" si="243"/>
        <v>35850539</v>
      </c>
      <c r="L625" s="636">
        <v>347</v>
      </c>
      <c r="M625" s="636">
        <v>82171</v>
      </c>
      <c r="N625" s="637">
        <f t="shared" si="244"/>
        <v>28513337</v>
      </c>
      <c r="O625" s="638">
        <v>359</v>
      </c>
      <c r="P625" s="638">
        <v>83689</v>
      </c>
      <c r="Q625" s="635">
        <f t="shared" si="245"/>
        <v>30044351</v>
      </c>
      <c r="R625" s="636">
        <v>244</v>
      </c>
      <c r="S625" s="636">
        <v>70698</v>
      </c>
      <c r="T625" s="637">
        <f t="shared" si="246"/>
        <v>17250312</v>
      </c>
      <c r="U625" s="638">
        <v>263</v>
      </c>
      <c r="V625" s="638">
        <v>72989</v>
      </c>
      <c r="W625" s="635">
        <f t="shared" si="247"/>
        <v>19196107</v>
      </c>
      <c r="X625" s="636">
        <v>169</v>
      </c>
      <c r="Y625" s="636">
        <v>44751</v>
      </c>
      <c r="Z625" s="637">
        <f t="shared" si="248"/>
        <v>7562919</v>
      </c>
      <c r="AA625" s="638">
        <v>176</v>
      </c>
      <c r="AB625" s="638">
        <v>46631</v>
      </c>
      <c r="AC625" s="635">
        <f t="shared" si="249"/>
        <v>8207056</v>
      </c>
      <c r="AD625" s="636"/>
      <c r="AE625" s="636"/>
      <c r="AF625" s="637">
        <f t="shared" si="250"/>
        <v>0</v>
      </c>
      <c r="AG625" s="638"/>
      <c r="AH625" s="638"/>
      <c r="AI625" s="635">
        <f t="shared" si="251"/>
        <v>0</v>
      </c>
      <c r="AJ625" s="636"/>
      <c r="AK625" s="636"/>
      <c r="AL625" s="637">
        <f t="shared" si="252"/>
        <v>0</v>
      </c>
      <c r="AM625" s="638"/>
      <c r="AN625" s="638"/>
      <c r="AO625" s="640">
        <f t="shared" si="253"/>
        <v>0</v>
      </c>
      <c r="AP625" s="636">
        <v>143</v>
      </c>
      <c r="AQ625" s="636">
        <v>154019</v>
      </c>
      <c r="AR625" s="637">
        <f t="shared" si="254"/>
        <v>18020623.4494</v>
      </c>
      <c r="AS625" s="638">
        <v>147</v>
      </c>
      <c r="AT625" s="638">
        <v>161158</v>
      </c>
      <c r="AU625" s="635">
        <f t="shared" si="255"/>
        <v>19383342.913200002</v>
      </c>
      <c r="AV625" s="636">
        <v>64</v>
      </c>
      <c r="AW625" s="636">
        <v>99250</v>
      </c>
      <c r="AX625" s="637">
        <f t="shared" si="256"/>
        <v>5197206.4000000004</v>
      </c>
      <c r="AY625" s="638">
        <v>76</v>
      </c>
      <c r="AZ625" s="638">
        <v>107179</v>
      </c>
      <c r="BA625" s="635">
        <f t="shared" si="257"/>
        <v>6664733.1928000003</v>
      </c>
      <c r="BB625" s="636">
        <v>22</v>
      </c>
      <c r="BC625" s="636">
        <v>89384</v>
      </c>
      <c r="BD625" s="637">
        <f t="shared" si="258"/>
        <v>1608947.7536000002</v>
      </c>
      <c r="BE625" s="638">
        <v>20</v>
      </c>
      <c r="BF625" s="638">
        <v>94175</v>
      </c>
      <c r="BG625" s="635">
        <f t="shared" si="259"/>
        <v>1541079.7000000002</v>
      </c>
      <c r="BH625" s="636">
        <v>14</v>
      </c>
      <c r="BI625" s="636">
        <v>58810</v>
      </c>
      <c r="BJ625" s="637">
        <f t="shared" si="260"/>
        <v>673656.78800000006</v>
      </c>
      <c r="BK625" s="638">
        <v>17</v>
      </c>
      <c r="BL625" s="638">
        <v>58674</v>
      </c>
      <c r="BM625" s="635">
        <f t="shared" si="261"/>
        <v>816120.13560000004</v>
      </c>
      <c r="BN625" s="636">
        <v>4</v>
      </c>
      <c r="BO625" s="636">
        <v>58710</v>
      </c>
      <c r="BP625" s="637">
        <f t="shared" si="262"/>
        <v>192146.08800000002</v>
      </c>
      <c r="BQ625" s="638">
        <v>3</v>
      </c>
      <c r="BR625" s="638">
        <v>69232</v>
      </c>
      <c r="BS625" s="635">
        <f t="shared" si="263"/>
        <v>169936.86720000001</v>
      </c>
      <c r="BT625" s="636"/>
      <c r="BU625" s="636"/>
      <c r="BV625" s="637">
        <f t="shared" si="264"/>
        <v>0</v>
      </c>
      <c r="BW625" s="638"/>
      <c r="BX625" s="638"/>
      <c r="BY625" s="641">
        <f t="shared" si="265"/>
        <v>0</v>
      </c>
    </row>
    <row r="626" spans="1:77" x14ac:dyDescent="0.2">
      <c r="A626" s="400" t="s">
        <v>111</v>
      </c>
      <c r="B626" s="408" t="s">
        <v>813</v>
      </c>
      <c r="C626" s="409"/>
      <c r="D626" s="400">
        <v>231624</v>
      </c>
      <c r="E626" s="410">
        <v>2</v>
      </c>
      <c r="F626" s="631">
        <v>194</v>
      </c>
      <c r="G626" s="632">
        <v>114044</v>
      </c>
      <c r="H626" s="633">
        <f t="shared" si="242"/>
        <v>22124536</v>
      </c>
      <c r="I626" s="634">
        <v>196</v>
      </c>
      <c r="J626" s="634">
        <v>120114</v>
      </c>
      <c r="K626" s="635">
        <f t="shared" si="243"/>
        <v>23542344</v>
      </c>
      <c r="L626" s="636">
        <v>179</v>
      </c>
      <c r="M626" s="636">
        <v>81468</v>
      </c>
      <c r="N626" s="637">
        <f t="shared" si="244"/>
        <v>14582772</v>
      </c>
      <c r="O626" s="638">
        <v>175</v>
      </c>
      <c r="P626" s="638">
        <v>87350</v>
      </c>
      <c r="Q626" s="635">
        <f t="shared" si="245"/>
        <v>15286250</v>
      </c>
      <c r="R626" s="636">
        <v>146</v>
      </c>
      <c r="S626" s="636">
        <v>66589</v>
      </c>
      <c r="T626" s="637">
        <f t="shared" si="246"/>
        <v>9721994</v>
      </c>
      <c r="U626" s="638">
        <v>155</v>
      </c>
      <c r="V626" s="638">
        <v>65954</v>
      </c>
      <c r="W626" s="635">
        <f t="shared" si="247"/>
        <v>10222870</v>
      </c>
      <c r="X626" s="636">
        <v>39</v>
      </c>
      <c r="Y626" s="636">
        <v>42922</v>
      </c>
      <c r="Z626" s="637">
        <f t="shared" si="248"/>
        <v>1673958</v>
      </c>
      <c r="AA626" s="638">
        <v>26</v>
      </c>
      <c r="AB626" s="638">
        <v>45783</v>
      </c>
      <c r="AC626" s="635">
        <f t="shared" si="249"/>
        <v>1190358</v>
      </c>
      <c r="AD626" s="636">
        <v>8</v>
      </c>
      <c r="AE626" s="636">
        <v>59388</v>
      </c>
      <c r="AF626" s="637">
        <f t="shared" si="250"/>
        <v>475104</v>
      </c>
      <c r="AG626" s="638">
        <v>8</v>
      </c>
      <c r="AH626" s="638">
        <v>65925</v>
      </c>
      <c r="AI626" s="635">
        <f t="shared" si="251"/>
        <v>527400</v>
      </c>
      <c r="AJ626" s="636"/>
      <c r="AK626" s="636"/>
      <c r="AL626" s="637">
        <f t="shared" si="252"/>
        <v>0</v>
      </c>
      <c r="AM626" s="638"/>
      <c r="AN626" s="638"/>
      <c r="AO626" s="640">
        <f t="shared" si="253"/>
        <v>0</v>
      </c>
      <c r="AP626" s="636">
        <v>29</v>
      </c>
      <c r="AQ626" s="636">
        <v>116893</v>
      </c>
      <c r="AR626" s="637">
        <f t="shared" si="254"/>
        <v>2773613.7254000003</v>
      </c>
      <c r="AS626" s="638">
        <v>29</v>
      </c>
      <c r="AT626" s="638">
        <v>123014</v>
      </c>
      <c r="AU626" s="635">
        <f t="shared" si="255"/>
        <v>2918851.5892000003</v>
      </c>
      <c r="AV626" s="636">
        <v>10</v>
      </c>
      <c r="AW626" s="636">
        <v>91250</v>
      </c>
      <c r="AX626" s="637">
        <f t="shared" si="256"/>
        <v>746607.5</v>
      </c>
      <c r="AY626" s="638">
        <v>13</v>
      </c>
      <c r="AZ626" s="638">
        <v>97775</v>
      </c>
      <c r="BA626" s="635">
        <f t="shared" si="257"/>
        <v>1039993.5650000001</v>
      </c>
      <c r="BB626" s="636">
        <v>8</v>
      </c>
      <c r="BC626" s="636">
        <v>74863</v>
      </c>
      <c r="BD626" s="637">
        <f t="shared" si="258"/>
        <v>490023.25280000002</v>
      </c>
      <c r="BE626" s="638">
        <v>7</v>
      </c>
      <c r="BF626" s="638">
        <v>78286</v>
      </c>
      <c r="BG626" s="635">
        <f t="shared" si="259"/>
        <v>448375.23639999999</v>
      </c>
      <c r="BH626" s="636"/>
      <c r="BI626" s="636"/>
      <c r="BJ626" s="637">
        <f t="shared" si="260"/>
        <v>0</v>
      </c>
      <c r="BK626" s="638">
        <v>1</v>
      </c>
      <c r="BL626" s="638">
        <v>50000</v>
      </c>
      <c r="BM626" s="635">
        <f t="shared" si="261"/>
        <v>40910</v>
      </c>
      <c r="BN626" s="636">
        <v>1</v>
      </c>
      <c r="BO626" s="636">
        <v>100000</v>
      </c>
      <c r="BP626" s="637">
        <f t="shared" si="262"/>
        <v>81820</v>
      </c>
      <c r="BQ626" s="638">
        <v>2</v>
      </c>
      <c r="BR626" s="638">
        <v>85000</v>
      </c>
      <c r="BS626" s="635">
        <f t="shared" si="263"/>
        <v>139094</v>
      </c>
      <c r="BT626" s="636"/>
      <c r="BU626" s="636"/>
      <c r="BV626" s="637">
        <f t="shared" si="264"/>
        <v>0</v>
      </c>
      <c r="BW626" s="638"/>
      <c r="BX626" s="638"/>
      <c r="BY626" s="641">
        <f t="shared" si="265"/>
        <v>0</v>
      </c>
    </row>
    <row r="627" spans="1:77" x14ac:dyDescent="0.2">
      <c r="A627" s="400" t="s">
        <v>111</v>
      </c>
      <c r="B627" s="405" t="s">
        <v>814</v>
      </c>
      <c r="C627" s="445" t="s">
        <v>996</v>
      </c>
      <c r="D627" s="400">
        <v>234030</v>
      </c>
      <c r="E627" s="410">
        <v>2</v>
      </c>
      <c r="F627" s="631">
        <v>131</v>
      </c>
      <c r="G627" s="632">
        <v>107158</v>
      </c>
      <c r="H627" s="633">
        <f t="shared" si="242"/>
        <v>14037698</v>
      </c>
      <c r="I627" s="634">
        <v>135</v>
      </c>
      <c r="J627" s="634">
        <v>109430</v>
      </c>
      <c r="K627" s="635">
        <f t="shared" si="243"/>
        <v>14773050</v>
      </c>
      <c r="L627" s="636">
        <v>225</v>
      </c>
      <c r="M627" s="636">
        <v>77158</v>
      </c>
      <c r="N627" s="637">
        <f t="shared" si="244"/>
        <v>17360550</v>
      </c>
      <c r="O627" s="638">
        <v>234</v>
      </c>
      <c r="P627" s="638">
        <v>76925</v>
      </c>
      <c r="Q627" s="635">
        <f t="shared" si="245"/>
        <v>18000450</v>
      </c>
      <c r="R627" s="636">
        <v>223</v>
      </c>
      <c r="S627" s="636">
        <v>58564</v>
      </c>
      <c r="T627" s="637">
        <f t="shared" si="246"/>
        <v>13059772</v>
      </c>
      <c r="U627" s="638">
        <v>230</v>
      </c>
      <c r="V627" s="638">
        <v>60567</v>
      </c>
      <c r="W627" s="635">
        <f t="shared" si="247"/>
        <v>13930410</v>
      </c>
      <c r="X627" s="636">
        <v>126</v>
      </c>
      <c r="Y627" s="636">
        <v>46810</v>
      </c>
      <c r="Z627" s="637">
        <f t="shared" si="248"/>
        <v>5898060</v>
      </c>
      <c r="AA627" s="638">
        <v>122</v>
      </c>
      <c r="AB627" s="638">
        <v>46463</v>
      </c>
      <c r="AC627" s="635">
        <f t="shared" si="249"/>
        <v>5668486</v>
      </c>
      <c r="AD627" s="636"/>
      <c r="AE627" s="636"/>
      <c r="AF627" s="637">
        <f t="shared" si="250"/>
        <v>0</v>
      </c>
      <c r="AG627" s="638"/>
      <c r="AH627" s="638"/>
      <c r="AI627" s="635">
        <f t="shared" si="251"/>
        <v>0</v>
      </c>
      <c r="AJ627" s="636"/>
      <c r="AK627" s="636"/>
      <c r="AL627" s="637">
        <f t="shared" si="252"/>
        <v>0</v>
      </c>
      <c r="AM627" s="638"/>
      <c r="AN627" s="638"/>
      <c r="AO627" s="640">
        <f t="shared" si="253"/>
        <v>0</v>
      </c>
      <c r="AP627" s="636">
        <v>82</v>
      </c>
      <c r="AQ627" s="636">
        <v>140488</v>
      </c>
      <c r="AR627" s="637">
        <f t="shared" si="254"/>
        <v>9425677.0911999997</v>
      </c>
      <c r="AS627" s="638">
        <v>72</v>
      </c>
      <c r="AT627" s="638">
        <v>141899</v>
      </c>
      <c r="AU627" s="635">
        <f t="shared" si="255"/>
        <v>8359326.8496000003</v>
      </c>
      <c r="AV627" s="636">
        <v>76</v>
      </c>
      <c r="AW627" s="636">
        <v>100657</v>
      </c>
      <c r="AX627" s="637">
        <f t="shared" si="256"/>
        <v>6259174.3624</v>
      </c>
      <c r="AY627" s="638">
        <v>88</v>
      </c>
      <c r="AZ627" s="638">
        <v>102672</v>
      </c>
      <c r="BA627" s="635">
        <f t="shared" si="257"/>
        <v>7392548.2752</v>
      </c>
      <c r="BB627" s="636">
        <v>134</v>
      </c>
      <c r="BC627" s="636">
        <v>84025</v>
      </c>
      <c r="BD627" s="637">
        <f t="shared" si="258"/>
        <v>9212400.1699999999</v>
      </c>
      <c r="BE627" s="638">
        <v>148</v>
      </c>
      <c r="BF627" s="638">
        <v>84188</v>
      </c>
      <c r="BG627" s="635">
        <f t="shared" si="259"/>
        <v>10194627.9968</v>
      </c>
      <c r="BH627" s="636">
        <v>109</v>
      </c>
      <c r="BI627" s="636">
        <v>59208</v>
      </c>
      <c r="BJ627" s="637">
        <f t="shared" si="260"/>
        <v>5280394.4304</v>
      </c>
      <c r="BK627" s="638">
        <v>96</v>
      </c>
      <c r="BL627" s="638">
        <v>65109</v>
      </c>
      <c r="BM627" s="635">
        <f t="shared" si="261"/>
        <v>5114129.6447999999</v>
      </c>
      <c r="BN627" s="636"/>
      <c r="BO627" s="636"/>
      <c r="BP627" s="637">
        <f t="shared" si="262"/>
        <v>0</v>
      </c>
      <c r="BQ627" s="638"/>
      <c r="BR627" s="638"/>
      <c r="BS627" s="635">
        <f t="shared" si="263"/>
        <v>0</v>
      </c>
      <c r="BT627" s="636"/>
      <c r="BU627" s="636"/>
      <c r="BV627" s="637">
        <f t="shared" si="264"/>
        <v>0</v>
      </c>
      <c r="BW627" s="638"/>
      <c r="BX627" s="638"/>
      <c r="BY627" s="641">
        <f t="shared" si="265"/>
        <v>0</v>
      </c>
    </row>
    <row r="628" spans="1:77" x14ac:dyDescent="0.2">
      <c r="A628" s="400" t="s">
        <v>111</v>
      </c>
      <c r="B628" s="408" t="s">
        <v>815</v>
      </c>
      <c r="C628" s="409"/>
      <c r="D628" s="400">
        <v>232423</v>
      </c>
      <c r="E628" s="410">
        <v>3</v>
      </c>
      <c r="F628" s="631">
        <v>216</v>
      </c>
      <c r="G628" s="632">
        <v>85434</v>
      </c>
      <c r="H628" s="633">
        <f t="shared" si="242"/>
        <v>18453744</v>
      </c>
      <c r="I628" s="634">
        <v>227</v>
      </c>
      <c r="J628" s="634">
        <v>85570</v>
      </c>
      <c r="K628" s="635">
        <f t="shared" si="243"/>
        <v>19424390</v>
      </c>
      <c r="L628" s="636">
        <v>210</v>
      </c>
      <c r="M628" s="636">
        <v>65451</v>
      </c>
      <c r="N628" s="637">
        <f t="shared" si="244"/>
        <v>13744710</v>
      </c>
      <c r="O628" s="638">
        <v>217</v>
      </c>
      <c r="P628" s="638">
        <v>65139</v>
      </c>
      <c r="Q628" s="635">
        <f t="shared" si="245"/>
        <v>14135163</v>
      </c>
      <c r="R628" s="636">
        <v>270</v>
      </c>
      <c r="S628" s="636">
        <v>58095</v>
      </c>
      <c r="T628" s="637">
        <f t="shared" si="246"/>
        <v>15685650</v>
      </c>
      <c r="U628" s="638">
        <v>269</v>
      </c>
      <c r="V628" s="638">
        <v>60185</v>
      </c>
      <c r="W628" s="635">
        <f t="shared" si="247"/>
        <v>16189765</v>
      </c>
      <c r="X628" s="636">
        <v>112</v>
      </c>
      <c r="Y628" s="636">
        <v>49969</v>
      </c>
      <c r="Z628" s="637">
        <f t="shared" si="248"/>
        <v>5596528</v>
      </c>
      <c r="AA628" s="638">
        <v>117</v>
      </c>
      <c r="AB628" s="638">
        <v>50732</v>
      </c>
      <c r="AC628" s="635">
        <f t="shared" si="249"/>
        <v>5935644</v>
      </c>
      <c r="AD628" s="636"/>
      <c r="AE628" s="636"/>
      <c r="AF628" s="637">
        <f t="shared" si="250"/>
        <v>0</v>
      </c>
      <c r="AG628" s="638"/>
      <c r="AH628" s="638"/>
      <c r="AI628" s="635">
        <f t="shared" si="251"/>
        <v>0</v>
      </c>
      <c r="AJ628" s="636"/>
      <c r="AK628" s="636"/>
      <c r="AL628" s="637">
        <f t="shared" si="252"/>
        <v>0</v>
      </c>
      <c r="AM628" s="638"/>
      <c r="AN628" s="638"/>
      <c r="AO628" s="640">
        <f t="shared" si="253"/>
        <v>0</v>
      </c>
      <c r="AP628" s="636">
        <v>51</v>
      </c>
      <c r="AQ628" s="636">
        <v>113423</v>
      </c>
      <c r="AR628" s="637">
        <f t="shared" si="254"/>
        <v>4732937.6286000004</v>
      </c>
      <c r="AS628" s="638">
        <v>51</v>
      </c>
      <c r="AT628" s="638">
        <v>116522</v>
      </c>
      <c r="AU628" s="635">
        <f t="shared" si="255"/>
        <v>4862253.3204000005</v>
      </c>
      <c r="AV628" s="636">
        <v>22</v>
      </c>
      <c r="AW628" s="636">
        <v>99196</v>
      </c>
      <c r="AX628" s="637">
        <f t="shared" si="256"/>
        <v>1785567.6784000001</v>
      </c>
      <c r="AY628" s="638">
        <v>19</v>
      </c>
      <c r="AZ628" s="638">
        <v>100131</v>
      </c>
      <c r="BA628" s="635">
        <f t="shared" si="257"/>
        <v>1556616.4998000001</v>
      </c>
      <c r="BB628" s="636">
        <v>11</v>
      </c>
      <c r="BC628" s="636">
        <v>79172</v>
      </c>
      <c r="BD628" s="637">
        <f t="shared" si="258"/>
        <v>712563.83440000005</v>
      </c>
      <c r="BE628" s="638">
        <v>11</v>
      </c>
      <c r="BF628" s="638">
        <v>79682</v>
      </c>
      <c r="BG628" s="635">
        <f t="shared" si="259"/>
        <v>717153.93640000001</v>
      </c>
      <c r="BH628" s="636">
        <v>14</v>
      </c>
      <c r="BI628" s="636">
        <v>61442</v>
      </c>
      <c r="BJ628" s="637">
        <f t="shared" si="260"/>
        <v>703805.82160000002</v>
      </c>
      <c r="BK628" s="638">
        <v>13</v>
      </c>
      <c r="BL628" s="638">
        <v>64998</v>
      </c>
      <c r="BM628" s="635">
        <f t="shared" si="261"/>
        <v>691357.72680000006</v>
      </c>
      <c r="BN628" s="636"/>
      <c r="BO628" s="636"/>
      <c r="BP628" s="637">
        <f t="shared" si="262"/>
        <v>0</v>
      </c>
      <c r="BQ628" s="638"/>
      <c r="BR628" s="638"/>
      <c r="BS628" s="635">
        <f t="shared" si="263"/>
        <v>0</v>
      </c>
      <c r="BT628" s="636"/>
      <c r="BU628" s="636"/>
      <c r="BV628" s="637">
        <f t="shared" si="264"/>
        <v>0</v>
      </c>
      <c r="BW628" s="638"/>
      <c r="BX628" s="638"/>
      <c r="BY628" s="641">
        <f t="shared" si="265"/>
        <v>0</v>
      </c>
    </row>
    <row r="629" spans="1:77" x14ac:dyDescent="0.2">
      <c r="A629" s="400" t="s">
        <v>111</v>
      </c>
      <c r="B629" s="405" t="s">
        <v>816</v>
      </c>
      <c r="C629" s="406"/>
      <c r="D629" s="407">
        <v>232937</v>
      </c>
      <c r="E629" s="404">
        <v>3</v>
      </c>
      <c r="F629" s="631">
        <v>66</v>
      </c>
      <c r="G629" s="632">
        <v>81225</v>
      </c>
      <c r="H629" s="633">
        <f t="shared" si="242"/>
        <v>5360850</v>
      </c>
      <c r="I629" s="634">
        <v>56</v>
      </c>
      <c r="J629" s="634">
        <v>84445</v>
      </c>
      <c r="K629" s="635">
        <f t="shared" si="243"/>
        <v>4728920</v>
      </c>
      <c r="L629" s="636">
        <v>47</v>
      </c>
      <c r="M629" s="636">
        <v>68730</v>
      </c>
      <c r="N629" s="637">
        <f t="shared" si="244"/>
        <v>3230310</v>
      </c>
      <c r="O629" s="638">
        <v>50</v>
      </c>
      <c r="P629" s="638">
        <v>70119</v>
      </c>
      <c r="Q629" s="635">
        <f t="shared" si="245"/>
        <v>3505950</v>
      </c>
      <c r="R629" s="636">
        <v>77</v>
      </c>
      <c r="S629" s="636">
        <v>56547</v>
      </c>
      <c r="T629" s="637">
        <f t="shared" si="246"/>
        <v>4354119</v>
      </c>
      <c r="U629" s="638">
        <v>74</v>
      </c>
      <c r="V629" s="638">
        <v>58776</v>
      </c>
      <c r="W629" s="635">
        <f t="shared" si="247"/>
        <v>4349424</v>
      </c>
      <c r="X629" s="636">
        <v>42</v>
      </c>
      <c r="Y629" s="636">
        <v>51349</v>
      </c>
      <c r="Z629" s="637">
        <f t="shared" si="248"/>
        <v>2156658</v>
      </c>
      <c r="AA629" s="638">
        <v>45</v>
      </c>
      <c r="AB629" s="638">
        <v>52950</v>
      </c>
      <c r="AC629" s="635">
        <f t="shared" si="249"/>
        <v>2382750</v>
      </c>
      <c r="AD629" s="636"/>
      <c r="AE629" s="636"/>
      <c r="AF629" s="637">
        <f t="shared" si="250"/>
        <v>0</v>
      </c>
      <c r="AG629" s="638"/>
      <c r="AH629" s="638"/>
      <c r="AI629" s="635">
        <f t="shared" si="251"/>
        <v>0</v>
      </c>
      <c r="AJ629" s="636"/>
      <c r="AK629" s="636"/>
      <c r="AL629" s="637">
        <f t="shared" si="252"/>
        <v>0</v>
      </c>
      <c r="AM629" s="638"/>
      <c r="AN629" s="638"/>
      <c r="AO629" s="640">
        <f t="shared" si="253"/>
        <v>0</v>
      </c>
      <c r="AP629" s="636">
        <v>13</v>
      </c>
      <c r="AQ629" s="636">
        <v>96775</v>
      </c>
      <c r="AR629" s="637">
        <f t="shared" si="254"/>
        <v>1029356.9650000001</v>
      </c>
      <c r="AS629" s="638">
        <v>16</v>
      </c>
      <c r="AT629" s="638">
        <v>101847</v>
      </c>
      <c r="AU629" s="635">
        <f t="shared" si="255"/>
        <v>1333299.4464</v>
      </c>
      <c r="AV629" s="636">
        <v>12</v>
      </c>
      <c r="AW629" s="636">
        <v>87421</v>
      </c>
      <c r="AX629" s="637">
        <f t="shared" si="256"/>
        <v>858334.34640000004</v>
      </c>
      <c r="AY629" s="638">
        <v>9</v>
      </c>
      <c r="AZ629" s="638">
        <v>88369</v>
      </c>
      <c r="BA629" s="635">
        <f t="shared" si="257"/>
        <v>650731.6422</v>
      </c>
      <c r="BB629" s="636">
        <v>5</v>
      </c>
      <c r="BC629" s="636">
        <v>69666</v>
      </c>
      <c r="BD629" s="637">
        <f t="shared" si="258"/>
        <v>285003.60600000003</v>
      </c>
      <c r="BE629" s="638">
        <v>6</v>
      </c>
      <c r="BF629" s="638">
        <v>68619</v>
      </c>
      <c r="BG629" s="635">
        <f t="shared" si="259"/>
        <v>336864.39480000001</v>
      </c>
      <c r="BH629" s="636">
        <v>7</v>
      </c>
      <c r="BI629" s="636">
        <v>55480</v>
      </c>
      <c r="BJ629" s="637">
        <f t="shared" si="260"/>
        <v>317756.152</v>
      </c>
      <c r="BK629" s="638">
        <v>6</v>
      </c>
      <c r="BL629" s="638">
        <v>59396</v>
      </c>
      <c r="BM629" s="635">
        <f t="shared" si="261"/>
        <v>291586.8432</v>
      </c>
      <c r="BN629" s="636"/>
      <c r="BO629" s="636"/>
      <c r="BP629" s="637">
        <f t="shared" si="262"/>
        <v>0</v>
      </c>
      <c r="BQ629" s="638"/>
      <c r="BR629" s="638"/>
      <c r="BS629" s="635">
        <f t="shared" si="263"/>
        <v>0</v>
      </c>
      <c r="BT629" s="636"/>
      <c r="BU629" s="636"/>
      <c r="BV629" s="637">
        <f t="shared" si="264"/>
        <v>0</v>
      </c>
      <c r="BW629" s="638"/>
      <c r="BX629" s="638"/>
      <c r="BY629" s="641">
        <f t="shared" si="265"/>
        <v>0</v>
      </c>
    </row>
    <row r="630" spans="1:77" x14ac:dyDescent="0.2">
      <c r="A630" s="400" t="s">
        <v>111</v>
      </c>
      <c r="B630" s="405" t="s">
        <v>817</v>
      </c>
      <c r="C630" s="447" t="s">
        <v>997</v>
      </c>
      <c r="D630" s="407">
        <v>233277</v>
      </c>
      <c r="E630" s="404">
        <v>4</v>
      </c>
      <c r="F630" s="631">
        <v>113</v>
      </c>
      <c r="G630" s="632">
        <v>76721</v>
      </c>
      <c r="H630" s="633">
        <f t="shared" si="242"/>
        <v>8669473</v>
      </c>
      <c r="I630" s="634">
        <v>119</v>
      </c>
      <c r="J630" s="634">
        <v>78808</v>
      </c>
      <c r="K630" s="635">
        <f t="shared" si="243"/>
        <v>9378152</v>
      </c>
      <c r="L630" s="636">
        <v>91</v>
      </c>
      <c r="M630" s="636">
        <v>64429</v>
      </c>
      <c r="N630" s="637">
        <f t="shared" si="244"/>
        <v>5863039</v>
      </c>
      <c r="O630" s="638">
        <v>109</v>
      </c>
      <c r="P630" s="638">
        <v>65477</v>
      </c>
      <c r="Q630" s="635">
        <f t="shared" si="245"/>
        <v>7136993</v>
      </c>
      <c r="R630" s="636">
        <v>127</v>
      </c>
      <c r="S630" s="636">
        <v>56543</v>
      </c>
      <c r="T630" s="637">
        <f t="shared" si="246"/>
        <v>7180961</v>
      </c>
      <c r="U630" s="638">
        <v>117</v>
      </c>
      <c r="V630" s="638">
        <v>58240</v>
      </c>
      <c r="W630" s="635">
        <f t="shared" si="247"/>
        <v>6814080</v>
      </c>
      <c r="X630" s="636">
        <v>55</v>
      </c>
      <c r="Y630" s="636">
        <v>49254</v>
      </c>
      <c r="Z630" s="637">
        <f t="shared" si="248"/>
        <v>2708970</v>
      </c>
      <c r="AA630" s="638">
        <v>50</v>
      </c>
      <c r="AB630" s="638">
        <v>51276</v>
      </c>
      <c r="AC630" s="635">
        <f t="shared" si="249"/>
        <v>2563800</v>
      </c>
      <c r="AD630" s="636"/>
      <c r="AE630" s="636"/>
      <c r="AF630" s="637">
        <f t="shared" si="250"/>
        <v>0</v>
      </c>
      <c r="AG630" s="638"/>
      <c r="AH630" s="638"/>
      <c r="AI630" s="635">
        <f t="shared" si="251"/>
        <v>0</v>
      </c>
      <c r="AJ630" s="636"/>
      <c r="AK630" s="636"/>
      <c r="AL630" s="637">
        <f t="shared" si="252"/>
        <v>0</v>
      </c>
      <c r="AM630" s="638"/>
      <c r="AN630" s="638"/>
      <c r="AO630" s="640">
        <f t="shared" si="253"/>
        <v>0</v>
      </c>
      <c r="AP630" s="636">
        <v>1</v>
      </c>
      <c r="AQ630" s="636">
        <v>100000</v>
      </c>
      <c r="AR630" s="637">
        <f t="shared" si="254"/>
        <v>81820</v>
      </c>
      <c r="AS630" s="638">
        <v>4</v>
      </c>
      <c r="AT630" s="638">
        <v>94407</v>
      </c>
      <c r="AU630" s="635">
        <f t="shared" si="255"/>
        <v>308975.22960000002</v>
      </c>
      <c r="AV630" s="636">
        <v>2</v>
      </c>
      <c r="AW630" s="636">
        <v>106072</v>
      </c>
      <c r="AX630" s="637">
        <f t="shared" si="256"/>
        <v>173576.22080000001</v>
      </c>
      <c r="AY630" s="638">
        <v>3</v>
      </c>
      <c r="AZ630" s="638">
        <v>101086</v>
      </c>
      <c r="BA630" s="635">
        <f t="shared" si="257"/>
        <v>248125.69560000001</v>
      </c>
      <c r="BB630" s="636">
        <v>2</v>
      </c>
      <c r="BC630" s="636">
        <v>82750</v>
      </c>
      <c r="BD630" s="637">
        <f t="shared" si="258"/>
        <v>135412.1</v>
      </c>
      <c r="BE630" s="638">
        <v>2</v>
      </c>
      <c r="BF630" s="638">
        <v>86013</v>
      </c>
      <c r="BG630" s="635">
        <f t="shared" si="259"/>
        <v>140751.67320000002</v>
      </c>
      <c r="BH630" s="636">
        <v>2</v>
      </c>
      <c r="BI630" s="636">
        <v>51698</v>
      </c>
      <c r="BJ630" s="637">
        <f t="shared" si="260"/>
        <v>84598.607199999999</v>
      </c>
      <c r="BK630" s="638">
        <v>2</v>
      </c>
      <c r="BL630" s="638">
        <v>94407</v>
      </c>
      <c r="BM630" s="635">
        <f t="shared" si="261"/>
        <v>154487.61480000001</v>
      </c>
      <c r="BN630" s="636"/>
      <c r="BO630" s="636"/>
      <c r="BP630" s="637">
        <f t="shared" si="262"/>
        <v>0</v>
      </c>
      <c r="BQ630" s="638"/>
      <c r="BR630" s="638"/>
      <c r="BS630" s="635">
        <f t="shared" si="263"/>
        <v>0</v>
      </c>
      <c r="BT630" s="636"/>
      <c r="BU630" s="636"/>
      <c r="BV630" s="637">
        <f t="shared" si="264"/>
        <v>0</v>
      </c>
      <c r="BW630" s="638"/>
      <c r="BX630" s="638"/>
      <c r="BY630" s="641">
        <f t="shared" si="265"/>
        <v>0</v>
      </c>
    </row>
    <row r="631" spans="1:77" x14ac:dyDescent="0.2">
      <c r="A631" s="400" t="s">
        <v>111</v>
      </c>
      <c r="B631" s="401" t="s">
        <v>818</v>
      </c>
      <c r="C631" s="447" t="s">
        <v>997</v>
      </c>
      <c r="D631" s="400">
        <v>234155</v>
      </c>
      <c r="E631" s="410">
        <v>4</v>
      </c>
      <c r="F631" s="631">
        <v>29</v>
      </c>
      <c r="G631" s="632">
        <v>73233</v>
      </c>
      <c r="H631" s="633">
        <f t="shared" si="242"/>
        <v>2123757</v>
      </c>
      <c r="I631" s="634">
        <v>32</v>
      </c>
      <c r="J631" s="634">
        <v>77415</v>
      </c>
      <c r="K631" s="635">
        <f t="shared" si="243"/>
        <v>2477280</v>
      </c>
      <c r="L631" s="636">
        <v>74</v>
      </c>
      <c r="M631" s="636">
        <v>63762</v>
      </c>
      <c r="N631" s="637">
        <f t="shared" si="244"/>
        <v>4718388</v>
      </c>
      <c r="O631" s="638">
        <v>78</v>
      </c>
      <c r="P631" s="638">
        <v>64722</v>
      </c>
      <c r="Q631" s="635">
        <f t="shared" si="245"/>
        <v>5048316</v>
      </c>
      <c r="R631" s="636">
        <v>73</v>
      </c>
      <c r="S631" s="636">
        <v>62855</v>
      </c>
      <c r="T631" s="637">
        <f t="shared" si="246"/>
        <v>4588415</v>
      </c>
      <c r="U631" s="638">
        <v>69</v>
      </c>
      <c r="V631" s="638">
        <v>64798</v>
      </c>
      <c r="W631" s="635">
        <f t="shared" si="247"/>
        <v>4471062</v>
      </c>
      <c r="X631" s="636">
        <v>12</v>
      </c>
      <c r="Y631" s="636">
        <v>52517</v>
      </c>
      <c r="Z631" s="637">
        <f t="shared" si="248"/>
        <v>630204</v>
      </c>
      <c r="AA631" s="638">
        <v>29</v>
      </c>
      <c r="AB631" s="638">
        <v>47032</v>
      </c>
      <c r="AC631" s="635">
        <f t="shared" si="249"/>
        <v>1363928</v>
      </c>
      <c r="AD631" s="636"/>
      <c r="AE631" s="636"/>
      <c r="AF631" s="637">
        <f t="shared" si="250"/>
        <v>0</v>
      </c>
      <c r="AG631" s="638">
        <v>1</v>
      </c>
      <c r="AH631" s="638">
        <v>40000</v>
      </c>
      <c r="AI631" s="635">
        <f t="shared" si="251"/>
        <v>40000</v>
      </c>
      <c r="AJ631" s="636"/>
      <c r="AK631" s="636"/>
      <c r="AL631" s="637">
        <f t="shared" si="252"/>
        <v>0</v>
      </c>
      <c r="AM631" s="638"/>
      <c r="AN631" s="638"/>
      <c r="AO631" s="640">
        <f t="shared" si="253"/>
        <v>0</v>
      </c>
      <c r="AP631" s="636">
        <v>21</v>
      </c>
      <c r="AQ631" s="636">
        <v>102453</v>
      </c>
      <c r="AR631" s="637">
        <f t="shared" si="254"/>
        <v>1760367.9366000001</v>
      </c>
      <c r="AS631" s="638">
        <v>17</v>
      </c>
      <c r="AT631" s="638">
        <v>106733</v>
      </c>
      <c r="AU631" s="635">
        <f t="shared" si="255"/>
        <v>1484591.9902000001</v>
      </c>
      <c r="AV631" s="636">
        <v>19</v>
      </c>
      <c r="AW631" s="636">
        <v>81896</v>
      </c>
      <c r="AX631" s="637">
        <f t="shared" si="256"/>
        <v>1273138.8368000002</v>
      </c>
      <c r="AY631" s="638">
        <v>20</v>
      </c>
      <c r="AZ631" s="638">
        <v>85039</v>
      </c>
      <c r="BA631" s="635">
        <f t="shared" si="257"/>
        <v>1391578.196</v>
      </c>
      <c r="BB631" s="636">
        <v>14</v>
      </c>
      <c r="BC631" s="636">
        <v>90713</v>
      </c>
      <c r="BD631" s="637">
        <f t="shared" si="258"/>
        <v>1039099.2724</v>
      </c>
      <c r="BE631" s="638">
        <v>15</v>
      </c>
      <c r="BF631" s="638">
        <v>72239</v>
      </c>
      <c r="BG631" s="635">
        <f t="shared" si="259"/>
        <v>886589.24700000009</v>
      </c>
      <c r="BH631" s="636">
        <v>4</v>
      </c>
      <c r="BI631" s="636">
        <v>52780</v>
      </c>
      <c r="BJ631" s="637">
        <f t="shared" si="260"/>
        <v>172738.38400000002</v>
      </c>
      <c r="BK631" s="638">
        <v>2</v>
      </c>
      <c r="BL631" s="638">
        <v>53510</v>
      </c>
      <c r="BM631" s="635">
        <f t="shared" si="261"/>
        <v>87563.76400000001</v>
      </c>
      <c r="BN631" s="636">
        <v>1</v>
      </c>
      <c r="BO631" s="636">
        <v>50529</v>
      </c>
      <c r="BP631" s="637">
        <f t="shared" si="262"/>
        <v>41342.827799999999</v>
      </c>
      <c r="BQ631" s="638">
        <v>1</v>
      </c>
      <c r="BR631" s="638">
        <v>53055</v>
      </c>
      <c r="BS631" s="635">
        <f t="shared" si="263"/>
        <v>43409.601000000002</v>
      </c>
      <c r="BT631" s="636"/>
      <c r="BU631" s="636"/>
      <c r="BV631" s="637">
        <f t="shared" si="264"/>
        <v>0</v>
      </c>
      <c r="BW631" s="638"/>
      <c r="BX631" s="638"/>
      <c r="BY631" s="641">
        <f t="shared" si="265"/>
        <v>0</v>
      </c>
    </row>
    <row r="632" spans="1:77" x14ac:dyDescent="0.2">
      <c r="A632" s="400" t="s">
        <v>111</v>
      </c>
      <c r="B632" s="405" t="s">
        <v>819</v>
      </c>
      <c r="C632" s="447" t="s">
        <v>998</v>
      </c>
      <c r="D632" s="407">
        <v>231712</v>
      </c>
      <c r="E632" s="404">
        <v>5</v>
      </c>
      <c r="F632" s="631">
        <v>39</v>
      </c>
      <c r="G632" s="632">
        <v>97432</v>
      </c>
      <c r="H632" s="633">
        <f t="shared" si="242"/>
        <v>3799848</v>
      </c>
      <c r="I632" s="634">
        <v>36</v>
      </c>
      <c r="J632" s="634">
        <v>95784</v>
      </c>
      <c r="K632" s="635">
        <f t="shared" si="243"/>
        <v>3448224</v>
      </c>
      <c r="L632" s="636">
        <v>78</v>
      </c>
      <c r="M632" s="636">
        <v>73087</v>
      </c>
      <c r="N632" s="637">
        <f t="shared" si="244"/>
        <v>5700786</v>
      </c>
      <c r="O632" s="638">
        <v>82</v>
      </c>
      <c r="P632" s="638">
        <v>71978</v>
      </c>
      <c r="Q632" s="635">
        <f t="shared" si="245"/>
        <v>5902196</v>
      </c>
      <c r="R632" s="636">
        <v>65</v>
      </c>
      <c r="S632" s="636">
        <v>56727</v>
      </c>
      <c r="T632" s="637">
        <f t="shared" si="246"/>
        <v>3687255</v>
      </c>
      <c r="U632" s="638">
        <v>59</v>
      </c>
      <c r="V632" s="638">
        <v>58973</v>
      </c>
      <c r="W632" s="635">
        <f t="shared" si="247"/>
        <v>3479407</v>
      </c>
      <c r="X632" s="636">
        <v>61</v>
      </c>
      <c r="Y632" s="636">
        <v>50135</v>
      </c>
      <c r="Z632" s="637">
        <f t="shared" si="248"/>
        <v>3058235</v>
      </c>
      <c r="AA632" s="638">
        <v>32</v>
      </c>
      <c r="AB632" s="638">
        <v>49906</v>
      </c>
      <c r="AC632" s="635">
        <f t="shared" si="249"/>
        <v>1596992</v>
      </c>
      <c r="AD632" s="636"/>
      <c r="AE632" s="636"/>
      <c r="AF632" s="637">
        <f t="shared" si="250"/>
        <v>0</v>
      </c>
      <c r="AG632" s="638">
        <v>37</v>
      </c>
      <c r="AH632" s="638">
        <v>52886</v>
      </c>
      <c r="AI632" s="635">
        <f t="shared" si="251"/>
        <v>1956782</v>
      </c>
      <c r="AJ632" s="636"/>
      <c r="AK632" s="636"/>
      <c r="AL632" s="637">
        <f t="shared" si="252"/>
        <v>0</v>
      </c>
      <c r="AM632" s="638"/>
      <c r="AN632" s="638"/>
      <c r="AO632" s="640">
        <f t="shared" si="253"/>
        <v>0</v>
      </c>
      <c r="AP632" s="636"/>
      <c r="AQ632" s="636"/>
      <c r="AR632" s="637">
        <f t="shared" si="254"/>
        <v>0</v>
      </c>
      <c r="AS632" s="638"/>
      <c r="AT632" s="638"/>
      <c r="AU632" s="635">
        <f t="shared" si="255"/>
        <v>0</v>
      </c>
      <c r="AV632" s="636"/>
      <c r="AW632" s="636"/>
      <c r="AX632" s="637">
        <f t="shared" si="256"/>
        <v>0</v>
      </c>
      <c r="AY632" s="638"/>
      <c r="AZ632" s="638"/>
      <c r="BA632" s="635">
        <f t="shared" si="257"/>
        <v>0</v>
      </c>
      <c r="BB632" s="636"/>
      <c r="BC632" s="636"/>
      <c r="BD632" s="637">
        <f t="shared" si="258"/>
        <v>0</v>
      </c>
      <c r="BE632" s="638"/>
      <c r="BF632" s="638"/>
      <c r="BG632" s="635">
        <f t="shared" si="259"/>
        <v>0</v>
      </c>
      <c r="BH632" s="636"/>
      <c r="BI632" s="636"/>
      <c r="BJ632" s="637">
        <f t="shared" si="260"/>
        <v>0</v>
      </c>
      <c r="BK632" s="638"/>
      <c r="BL632" s="638"/>
      <c r="BM632" s="635">
        <f t="shared" si="261"/>
        <v>0</v>
      </c>
      <c r="BN632" s="636"/>
      <c r="BO632" s="636"/>
      <c r="BP632" s="637">
        <f t="shared" si="262"/>
        <v>0</v>
      </c>
      <c r="BQ632" s="638"/>
      <c r="BR632" s="638"/>
      <c r="BS632" s="635">
        <f t="shared" si="263"/>
        <v>0</v>
      </c>
      <c r="BT632" s="636"/>
      <c r="BU632" s="636"/>
      <c r="BV632" s="637">
        <f t="shared" si="264"/>
        <v>0</v>
      </c>
      <c r="BW632" s="638"/>
      <c r="BX632" s="638"/>
      <c r="BY632" s="641">
        <f t="shared" si="265"/>
        <v>0</v>
      </c>
    </row>
    <row r="633" spans="1:77" x14ac:dyDescent="0.2">
      <c r="A633" s="400" t="s">
        <v>111</v>
      </c>
      <c r="B633" s="405" t="s">
        <v>820</v>
      </c>
      <c r="C633" s="446" t="s">
        <v>997</v>
      </c>
      <c r="D633" s="400">
        <v>232566</v>
      </c>
      <c r="E633" s="410">
        <v>5</v>
      </c>
      <c r="F633" s="631">
        <v>45</v>
      </c>
      <c r="G633" s="632">
        <v>77287</v>
      </c>
      <c r="H633" s="633">
        <f t="shared" si="242"/>
        <v>3477915</v>
      </c>
      <c r="I633" s="634">
        <v>43</v>
      </c>
      <c r="J633" s="634">
        <v>77296</v>
      </c>
      <c r="K633" s="635">
        <f t="shared" si="243"/>
        <v>3323728</v>
      </c>
      <c r="L633" s="636">
        <v>70</v>
      </c>
      <c r="M633" s="636">
        <v>62978</v>
      </c>
      <c r="N633" s="637">
        <f t="shared" si="244"/>
        <v>4408460</v>
      </c>
      <c r="O633" s="638">
        <v>70</v>
      </c>
      <c r="P633" s="638">
        <v>61219</v>
      </c>
      <c r="Q633" s="635">
        <f t="shared" si="245"/>
        <v>4285330</v>
      </c>
      <c r="R633" s="636">
        <v>68</v>
      </c>
      <c r="S633" s="636">
        <v>53778</v>
      </c>
      <c r="T633" s="637">
        <f t="shared" si="246"/>
        <v>3656904</v>
      </c>
      <c r="U633" s="638">
        <v>71</v>
      </c>
      <c r="V633" s="638">
        <v>55006</v>
      </c>
      <c r="W633" s="635">
        <f t="shared" si="247"/>
        <v>3905426</v>
      </c>
      <c r="X633" s="636">
        <v>4</v>
      </c>
      <c r="Y633" s="636">
        <v>56383</v>
      </c>
      <c r="Z633" s="637">
        <f t="shared" si="248"/>
        <v>225532</v>
      </c>
      <c r="AA633" s="638">
        <v>1</v>
      </c>
      <c r="AB633" s="638">
        <v>61181</v>
      </c>
      <c r="AC633" s="635">
        <f t="shared" si="249"/>
        <v>61181</v>
      </c>
      <c r="AD633" s="636">
        <v>27</v>
      </c>
      <c r="AE633" s="636">
        <v>42861</v>
      </c>
      <c r="AF633" s="637">
        <f t="shared" si="250"/>
        <v>1157247</v>
      </c>
      <c r="AG633" s="638">
        <v>2</v>
      </c>
      <c r="AH633" s="638">
        <v>56500</v>
      </c>
      <c r="AI633" s="635">
        <f t="shared" si="251"/>
        <v>113000</v>
      </c>
      <c r="AJ633" s="636"/>
      <c r="AK633" s="636"/>
      <c r="AL633" s="637">
        <f t="shared" si="252"/>
        <v>0</v>
      </c>
      <c r="AM633" s="638"/>
      <c r="AN633" s="638"/>
      <c r="AO633" s="640">
        <f t="shared" si="253"/>
        <v>0</v>
      </c>
      <c r="AP633" s="636"/>
      <c r="AQ633" s="636"/>
      <c r="AR633" s="637">
        <f t="shared" si="254"/>
        <v>0</v>
      </c>
      <c r="AS633" s="638"/>
      <c r="AT633" s="638"/>
      <c r="AU633" s="635">
        <f t="shared" si="255"/>
        <v>0</v>
      </c>
      <c r="AV633" s="636"/>
      <c r="AW633" s="636"/>
      <c r="AX633" s="637">
        <f t="shared" si="256"/>
        <v>0</v>
      </c>
      <c r="AY633" s="638">
        <v>3</v>
      </c>
      <c r="AZ633" s="638">
        <v>79029</v>
      </c>
      <c r="BA633" s="635">
        <f t="shared" si="257"/>
        <v>193984.5834</v>
      </c>
      <c r="BB633" s="636"/>
      <c r="BC633" s="636"/>
      <c r="BD633" s="637">
        <f t="shared" si="258"/>
        <v>0</v>
      </c>
      <c r="BE633" s="638">
        <v>1</v>
      </c>
      <c r="BF633" s="638">
        <v>70000</v>
      </c>
      <c r="BG633" s="635">
        <f t="shared" si="259"/>
        <v>57274</v>
      </c>
      <c r="BH633" s="636"/>
      <c r="BI633" s="636"/>
      <c r="BJ633" s="637">
        <f t="shared" si="260"/>
        <v>0</v>
      </c>
      <c r="BK633" s="638">
        <v>1</v>
      </c>
      <c r="BL633" s="638">
        <v>68250</v>
      </c>
      <c r="BM633" s="635">
        <f t="shared" si="261"/>
        <v>55842.15</v>
      </c>
      <c r="BN633" s="636"/>
      <c r="BO633" s="636"/>
      <c r="BP633" s="637">
        <f t="shared" si="262"/>
        <v>0</v>
      </c>
      <c r="BQ633" s="638"/>
      <c r="BR633" s="638"/>
      <c r="BS633" s="635">
        <f t="shared" si="263"/>
        <v>0</v>
      </c>
      <c r="BT633" s="636"/>
      <c r="BU633" s="636"/>
      <c r="BV633" s="637">
        <f t="shared" si="264"/>
        <v>0</v>
      </c>
      <c r="BW633" s="638"/>
      <c r="BX633" s="638"/>
      <c r="BY633" s="641">
        <f t="shared" si="265"/>
        <v>0</v>
      </c>
    </row>
    <row r="634" spans="1:77" x14ac:dyDescent="0.2">
      <c r="A634" s="400" t="s">
        <v>111</v>
      </c>
      <c r="B634" s="408" t="s">
        <v>821</v>
      </c>
      <c r="C634" s="448" t="s">
        <v>997</v>
      </c>
      <c r="D634" s="400">
        <v>232681</v>
      </c>
      <c r="E634" s="410">
        <v>5</v>
      </c>
      <c r="F634" s="631">
        <v>72</v>
      </c>
      <c r="G634" s="632">
        <v>83191</v>
      </c>
      <c r="H634" s="633">
        <f t="shared" si="242"/>
        <v>5989752</v>
      </c>
      <c r="I634" s="634">
        <v>76</v>
      </c>
      <c r="J634" s="634">
        <v>82919</v>
      </c>
      <c r="K634" s="635">
        <f t="shared" si="243"/>
        <v>6301844</v>
      </c>
      <c r="L634" s="636">
        <v>69</v>
      </c>
      <c r="M634" s="636">
        <v>63386</v>
      </c>
      <c r="N634" s="637">
        <f t="shared" si="244"/>
        <v>4373634</v>
      </c>
      <c r="O634" s="638">
        <v>73</v>
      </c>
      <c r="P634" s="638">
        <v>62903</v>
      </c>
      <c r="Q634" s="635">
        <f t="shared" si="245"/>
        <v>4591919</v>
      </c>
      <c r="R634" s="636">
        <v>58</v>
      </c>
      <c r="S634" s="636">
        <v>53768</v>
      </c>
      <c r="T634" s="637">
        <f t="shared" si="246"/>
        <v>3118544</v>
      </c>
      <c r="U634" s="638">
        <v>54</v>
      </c>
      <c r="V634" s="638">
        <v>55161</v>
      </c>
      <c r="W634" s="635">
        <f t="shared" si="247"/>
        <v>2978694</v>
      </c>
      <c r="X634" s="636">
        <v>3</v>
      </c>
      <c r="Y634" s="636">
        <v>52667</v>
      </c>
      <c r="Z634" s="637">
        <f t="shared" si="248"/>
        <v>158001</v>
      </c>
      <c r="AA634" s="638">
        <v>3</v>
      </c>
      <c r="AB634" s="638">
        <v>48167</v>
      </c>
      <c r="AC634" s="635">
        <f t="shared" si="249"/>
        <v>144501</v>
      </c>
      <c r="AD634" s="636">
        <v>14</v>
      </c>
      <c r="AE634" s="636">
        <v>57386</v>
      </c>
      <c r="AF634" s="637">
        <f t="shared" si="250"/>
        <v>803404</v>
      </c>
      <c r="AG634" s="638">
        <v>17</v>
      </c>
      <c r="AH634" s="638">
        <v>57549</v>
      </c>
      <c r="AI634" s="635">
        <f t="shared" si="251"/>
        <v>978333</v>
      </c>
      <c r="AJ634" s="636"/>
      <c r="AK634" s="636"/>
      <c r="AL634" s="637">
        <f t="shared" si="252"/>
        <v>0</v>
      </c>
      <c r="AM634" s="638"/>
      <c r="AN634" s="638"/>
      <c r="AO634" s="640">
        <f t="shared" si="253"/>
        <v>0</v>
      </c>
      <c r="AP634" s="636">
        <v>5</v>
      </c>
      <c r="AQ634" s="636">
        <v>83308</v>
      </c>
      <c r="AR634" s="637">
        <f t="shared" si="254"/>
        <v>340813.02799999999</v>
      </c>
      <c r="AS634" s="638">
        <v>5</v>
      </c>
      <c r="AT634" s="638">
        <v>85726</v>
      </c>
      <c r="AU634" s="635">
        <f t="shared" si="255"/>
        <v>350705.06599999999</v>
      </c>
      <c r="AV634" s="636">
        <v>11</v>
      </c>
      <c r="AW634" s="636">
        <v>71975</v>
      </c>
      <c r="AX634" s="637">
        <f t="shared" si="256"/>
        <v>647789.39500000002</v>
      </c>
      <c r="AY634" s="638">
        <v>12</v>
      </c>
      <c r="AZ634" s="638">
        <v>74264</v>
      </c>
      <c r="BA634" s="635">
        <f t="shared" si="257"/>
        <v>729153.65760000004</v>
      </c>
      <c r="BB634" s="636">
        <v>5</v>
      </c>
      <c r="BC634" s="636">
        <v>67400</v>
      </c>
      <c r="BD634" s="637">
        <f t="shared" si="258"/>
        <v>275733.40000000002</v>
      </c>
      <c r="BE634" s="638">
        <v>4</v>
      </c>
      <c r="BF634" s="638">
        <v>71161</v>
      </c>
      <c r="BG634" s="635">
        <f t="shared" si="259"/>
        <v>232895.72080000001</v>
      </c>
      <c r="BH634" s="636">
        <v>2</v>
      </c>
      <c r="BI634" s="636">
        <v>64046</v>
      </c>
      <c r="BJ634" s="637">
        <f t="shared" si="260"/>
        <v>104804.8744</v>
      </c>
      <c r="BK634" s="638">
        <v>2</v>
      </c>
      <c r="BL634" s="638">
        <v>67249</v>
      </c>
      <c r="BM634" s="635">
        <f t="shared" si="261"/>
        <v>110046.26360000001</v>
      </c>
      <c r="BN634" s="636"/>
      <c r="BO634" s="636"/>
      <c r="BP634" s="637">
        <f t="shared" si="262"/>
        <v>0</v>
      </c>
      <c r="BQ634" s="638"/>
      <c r="BR634" s="638"/>
      <c r="BS634" s="635">
        <f t="shared" si="263"/>
        <v>0</v>
      </c>
      <c r="BT634" s="636"/>
      <c r="BU634" s="636"/>
      <c r="BV634" s="637">
        <f t="shared" si="264"/>
        <v>0</v>
      </c>
      <c r="BW634" s="638"/>
      <c r="BX634" s="638"/>
      <c r="BY634" s="641">
        <f t="shared" si="265"/>
        <v>0</v>
      </c>
    </row>
    <row r="635" spans="1:77" x14ac:dyDescent="0.2">
      <c r="A635" s="400" t="s">
        <v>111</v>
      </c>
      <c r="B635" s="408" t="s">
        <v>822</v>
      </c>
      <c r="C635" s="409"/>
      <c r="D635" s="400">
        <v>233897</v>
      </c>
      <c r="E635" s="410">
        <v>6</v>
      </c>
      <c r="F635" s="631">
        <v>18</v>
      </c>
      <c r="G635" s="632">
        <v>73928</v>
      </c>
      <c r="H635" s="633">
        <f t="shared" si="242"/>
        <v>1330704</v>
      </c>
      <c r="I635" s="634">
        <v>15</v>
      </c>
      <c r="J635" s="634">
        <v>76540</v>
      </c>
      <c r="K635" s="635">
        <f t="shared" si="243"/>
        <v>1148100</v>
      </c>
      <c r="L635" s="636">
        <v>29</v>
      </c>
      <c r="M635" s="636">
        <v>60041</v>
      </c>
      <c r="N635" s="637">
        <f t="shared" si="244"/>
        <v>1741189</v>
      </c>
      <c r="O635" s="638">
        <v>30</v>
      </c>
      <c r="P635" s="638">
        <v>60247</v>
      </c>
      <c r="Q635" s="635">
        <f t="shared" si="245"/>
        <v>1807410</v>
      </c>
      <c r="R635" s="636">
        <v>20</v>
      </c>
      <c r="S635" s="636">
        <v>55810</v>
      </c>
      <c r="T635" s="637">
        <f t="shared" si="246"/>
        <v>1116200</v>
      </c>
      <c r="U635" s="638">
        <v>15</v>
      </c>
      <c r="V635" s="638">
        <v>56807</v>
      </c>
      <c r="W635" s="635">
        <f t="shared" si="247"/>
        <v>852105</v>
      </c>
      <c r="X635" s="636">
        <v>21</v>
      </c>
      <c r="Y635" s="636">
        <v>43300</v>
      </c>
      <c r="Z635" s="637">
        <f t="shared" si="248"/>
        <v>909300</v>
      </c>
      <c r="AA635" s="638">
        <v>24</v>
      </c>
      <c r="AB635" s="638">
        <v>44046</v>
      </c>
      <c r="AC635" s="635">
        <f t="shared" si="249"/>
        <v>1057104</v>
      </c>
      <c r="AD635" s="636">
        <v>1</v>
      </c>
      <c r="AE635" s="636">
        <v>41100</v>
      </c>
      <c r="AF635" s="637">
        <f t="shared" si="250"/>
        <v>41100</v>
      </c>
      <c r="AG635" s="638">
        <v>1</v>
      </c>
      <c r="AH635" s="638">
        <v>60300</v>
      </c>
      <c r="AI635" s="635">
        <f t="shared" si="251"/>
        <v>60300</v>
      </c>
      <c r="AJ635" s="636"/>
      <c r="AK635" s="636"/>
      <c r="AL635" s="637">
        <f t="shared" si="252"/>
        <v>0</v>
      </c>
      <c r="AM635" s="638"/>
      <c r="AN635" s="638"/>
      <c r="AO635" s="640">
        <f t="shared" si="253"/>
        <v>0</v>
      </c>
      <c r="AP635" s="636">
        <v>1</v>
      </c>
      <c r="AQ635" s="636">
        <v>115000</v>
      </c>
      <c r="AR635" s="637">
        <f t="shared" si="254"/>
        <v>94093</v>
      </c>
      <c r="AS635" s="638"/>
      <c r="AT635" s="638"/>
      <c r="AU635" s="635">
        <f t="shared" si="255"/>
        <v>0</v>
      </c>
      <c r="AV635" s="636"/>
      <c r="AW635" s="636"/>
      <c r="AX635" s="637">
        <f t="shared" si="256"/>
        <v>0</v>
      </c>
      <c r="AY635" s="638">
        <v>1</v>
      </c>
      <c r="AZ635" s="638">
        <v>115000</v>
      </c>
      <c r="BA635" s="635">
        <f t="shared" si="257"/>
        <v>94093</v>
      </c>
      <c r="BB635" s="636"/>
      <c r="BC635" s="636"/>
      <c r="BD635" s="637">
        <f t="shared" si="258"/>
        <v>0</v>
      </c>
      <c r="BE635" s="638"/>
      <c r="BF635" s="638"/>
      <c r="BG635" s="635">
        <f t="shared" si="259"/>
        <v>0</v>
      </c>
      <c r="BH635" s="636">
        <v>1</v>
      </c>
      <c r="BI635" s="636">
        <v>52300</v>
      </c>
      <c r="BJ635" s="637">
        <f t="shared" si="260"/>
        <v>42791.86</v>
      </c>
      <c r="BK635" s="638">
        <v>1</v>
      </c>
      <c r="BL635" s="638">
        <v>52300</v>
      </c>
      <c r="BM635" s="635">
        <f t="shared" si="261"/>
        <v>42791.86</v>
      </c>
      <c r="BN635" s="636"/>
      <c r="BO635" s="636"/>
      <c r="BP635" s="637">
        <f t="shared" si="262"/>
        <v>0</v>
      </c>
      <c r="BQ635" s="638"/>
      <c r="BR635" s="638"/>
      <c r="BS635" s="635">
        <f t="shared" si="263"/>
        <v>0</v>
      </c>
      <c r="BT635" s="636"/>
      <c r="BU635" s="636"/>
      <c r="BV635" s="637">
        <f t="shared" si="264"/>
        <v>0</v>
      </c>
      <c r="BW635" s="638"/>
      <c r="BX635" s="638"/>
      <c r="BY635" s="641">
        <f t="shared" si="265"/>
        <v>0</v>
      </c>
    </row>
    <row r="636" spans="1:77" x14ac:dyDescent="0.2">
      <c r="A636" s="400" t="s">
        <v>111</v>
      </c>
      <c r="B636" s="408" t="s">
        <v>823</v>
      </c>
      <c r="C636" s="409"/>
      <c r="D636" s="400">
        <v>232414</v>
      </c>
      <c r="E636" s="410">
        <v>8</v>
      </c>
      <c r="F636" s="631"/>
      <c r="G636" s="632"/>
      <c r="H636" s="633">
        <f t="shared" si="242"/>
        <v>0</v>
      </c>
      <c r="I636" s="634"/>
      <c r="J636" s="634"/>
      <c r="K636" s="635">
        <f t="shared" si="243"/>
        <v>0</v>
      </c>
      <c r="L636" s="636"/>
      <c r="M636" s="636"/>
      <c r="N636" s="637">
        <f t="shared" si="244"/>
        <v>0</v>
      </c>
      <c r="O636" s="638"/>
      <c r="P636" s="638"/>
      <c r="Q636" s="635">
        <f t="shared" si="245"/>
        <v>0</v>
      </c>
      <c r="R636" s="636"/>
      <c r="S636" s="636"/>
      <c r="T636" s="637">
        <f t="shared" si="246"/>
        <v>0</v>
      </c>
      <c r="U636" s="638"/>
      <c r="V636" s="638"/>
      <c r="W636" s="635">
        <f t="shared" si="247"/>
        <v>0</v>
      </c>
      <c r="X636" s="636"/>
      <c r="Y636" s="636"/>
      <c r="Z636" s="637">
        <f t="shared" si="248"/>
        <v>0</v>
      </c>
      <c r="AA636" s="638"/>
      <c r="AB636" s="638"/>
      <c r="AC636" s="635">
        <f t="shared" si="249"/>
        <v>0</v>
      </c>
      <c r="AD636" s="636"/>
      <c r="AE636" s="636"/>
      <c r="AF636" s="637">
        <f t="shared" si="250"/>
        <v>0</v>
      </c>
      <c r="AG636" s="638"/>
      <c r="AH636" s="638"/>
      <c r="AI636" s="635">
        <f t="shared" si="251"/>
        <v>0</v>
      </c>
      <c r="AJ636" s="636"/>
      <c r="AK636" s="636"/>
      <c r="AL636" s="637">
        <f t="shared" si="252"/>
        <v>0</v>
      </c>
      <c r="AM636" s="638"/>
      <c r="AN636" s="638"/>
      <c r="AO636" s="640">
        <f t="shared" si="253"/>
        <v>0</v>
      </c>
      <c r="AP636" s="636"/>
      <c r="AQ636" s="636"/>
      <c r="AR636" s="637">
        <f t="shared" si="254"/>
        <v>0</v>
      </c>
      <c r="AS636" s="638"/>
      <c r="AT636" s="638"/>
      <c r="AU636" s="635">
        <f t="shared" si="255"/>
        <v>0</v>
      </c>
      <c r="AV636" s="636"/>
      <c r="AW636" s="636"/>
      <c r="AX636" s="637">
        <f t="shared" si="256"/>
        <v>0</v>
      </c>
      <c r="AY636" s="638"/>
      <c r="AZ636" s="638"/>
      <c r="BA636" s="635">
        <f t="shared" si="257"/>
        <v>0</v>
      </c>
      <c r="BB636" s="636"/>
      <c r="BC636" s="636"/>
      <c r="BD636" s="637">
        <f t="shared" si="258"/>
        <v>0</v>
      </c>
      <c r="BE636" s="638"/>
      <c r="BF636" s="638"/>
      <c r="BG636" s="635">
        <f t="shared" si="259"/>
        <v>0</v>
      </c>
      <c r="BH636" s="636"/>
      <c r="BI636" s="636"/>
      <c r="BJ636" s="637">
        <f t="shared" si="260"/>
        <v>0</v>
      </c>
      <c r="BK636" s="638"/>
      <c r="BL636" s="638"/>
      <c r="BM636" s="635">
        <f t="shared" si="261"/>
        <v>0</v>
      </c>
      <c r="BN636" s="636"/>
      <c r="BO636" s="636"/>
      <c r="BP636" s="637">
        <f t="shared" si="262"/>
        <v>0</v>
      </c>
      <c r="BQ636" s="638"/>
      <c r="BR636" s="638"/>
      <c r="BS636" s="635">
        <f t="shared" si="263"/>
        <v>0</v>
      </c>
      <c r="BT636" s="636"/>
      <c r="BU636" s="636"/>
      <c r="BV636" s="637">
        <f t="shared" si="264"/>
        <v>0</v>
      </c>
      <c r="BW636" s="638"/>
      <c r="BX636" s="638"/>
      <c r="BY636" s="641">
        <f t="shared" si="265"/>
        <v>0</v>
      </c>
    </row>
    <row r="637" spans="1:77" x14ac:dyDescent="0.2">
      <c r="A637" s="400" t="s">
        <v>111</v>
      </c>
      <c r="B637" s="408" t="s">
        <v>824</v>
      </c>
      <c r="C637" s="409"/>
      <c r="D637" s="400">
        <v>232946</v>
      </c>
      <c r="E637" s="410">
        <v>8</v>
      </c>
      <c r="F637" s="631"/>
      <c r="G637" s="632"/>
      <c r="H637" s="633">
        <f t="shared" si="242"/>
        <v>0</v>
      </c>
      <c r="I637" s="634"/>
      <c r="J637" s="634"/>
      <c r="K637" s="635">
        <f t="shared" si="243"/>
        <v>0</v>
      </c>
      <c r="L637" s="636"/>
      <c r="M637" s="636"/>
      <c r="N637" s="637">
        <f t="shared" si="244"/>
        <v>0</v>
      </c>
      <c r="O637" s="638"/>
      <c r="P637" s="638"/>
      <c r="Q637" s="635">
        <f t="shared" si="245"/>
        <v>0</v>
      </c>
      <c r="R637" s="636"/>
      <c r="S637" s="636"/>
      <c r="T637" s="637">
        <f t="shared" si="246"/>
        <v>0</v>
      </c>
      <c r="U637" s="638"/>
      <c r="V637" s="638"/>
      <c r="W637" s="635">
        <f t="shared" si="247"/>
        <v>0</v>
      </c>
      <c r="X637" s="636"/>
      <c r="Y637" s="636"/>
      <c r="Z637" s="637">
        <f t="shared" si="248"/>
        <v>0</v>
      </c>
      <c r="AA637" s="638"/>
      <c r="AB637" s="638"/>
      <c r="AC637" s="635">
        <f t="shared" si="249"/>
        <v>0</v>
      </c>
      <c r="AD637" s="636"/>
      <c r="AE637" s="636"/>
      <c r="AF637" s="637">
        <f t="shared" si="250"/>
        <v>0</v>
      </c>
      <c r="AG637" s="638"/>
      <c r="AH637" s="638"/>
      <c r="AI637" s="635">
        <f t="shared" si="251"/>
        <v>0</v>
      </c>
      <c r="AJ637" s="636"/>
      <c r="AK637" s="636"/>
      <c r="AL637" s="637">
        <f t="shared" si="252"/>
        <v>0</v>
      </c>
      <c r="AM637" s="638"/>
      <c r="AN637" s="638"/>
      <c r="AO637" s="640">
        <f t="shared" si="253"/>
        <v>0</v>
      </c>
      <c r="AP637" s="636"/>
      <c r="AQ637" s="636"/>
      <c r="AR637" s="637">
        <f t="shared" si="254"/>
        <v>0</v>
      </c>
      <c r="AS637" s="638"/>
      <c r="AT637" s="638"/>
      <c r="AU637" s="635">
        <f t="shared" si="255"/>
        <v>0</v>
      </c>
      <c r="AV637" s="636"/>
      <c r="AW637" s="636"/>
      <c r="AX637" s="637">
        <f t="shared" si="256"/>
        <v>0</v>
      </c>
      <c r="AY637" s="638"/>
      <c r="AZ637" s="638"/>
      <c r="BA637" s="635">
        <f t="shared" si="257"/>
        <v>0</v>
      </c>
      <c r="BB637" s="636"/>
      <c r="BC637" s="636"/>
      <c r="BD637" s="637">
        <f t="shared" si="258"/>
        <v>0</v>
      </c>
      <c r="BE637" s="638"/>
      <c r="BF637" s="638"/>
      <c r="BG637" s="635">
        <f t="shared" si="259"/>
        <v>0</v>
      </c>
      <c r="BH637" s="636"/>
      <c r="BI637" s="636"/>
      <c r="BJ637" s="637">
        <f t="shared" si="260"/>
        <v>0</v>
      </c>
      <c r="BK637" s="638"/>
      <c r="BL637" s="638"/>
      <c r="BM637" s="635">
        <f t="shared" si="261"/>
        <v>0</v>
      </c>
      <c r="BN637" s="636"/>
      <c r="BO637" s="636"/>
      <c r="BP637" s="637">
        <f t="shared" si="262"/>
        <v>0</v>
      </c>
      <c r="BQ637" s="638"/>
      <c r="BR637" s="638"/>
      <c r="BS637" s="635">
        <f t="shared" si="263"/>
        <v>0</v>
      </c>
      <c r="BT637" s="636"/>
      <c r="BU637" s="636"/>
      <c r="BV637" s="637">
        <f t="shared" si="264"/>
        <v>0</v>
      </c>
      <c r="BW637" s="638"/>
      <c r="BX637" s="638"/>
      <c r="BY637" s="641">
        <f t="shared" si="265"/>
        <v>0</v>
      </c>
    </row>
    <row r="638" spans="1:77" x14ac:dyDescent="0.2">
      <c r="A638" s="400" t="s">
        <v>111</v>
      </c>
      <c r="B638" s="408" t="s">
        <v>825</v>
      </c>
      <c r="C638" s="409"/>
      <c r="D638" s="400">
        <v>233754</v>
      </c>
      <c r="E638" s="410">
        <v>8</v>
      </c>
      <c r="F638" s="631"/>
      <c r="G638" s="632"/>
      <c r="H638" s="633">
        <f t="shared" si="242"/>
        <v>0</v>
      </c>
      <c r="I638" s="634"/>
      <c r="J638" s="634"/>
      <c r="K638" s="635">
        <f t="shared" si="243"/>
        <v>0</v>
      </c>
      <c r="L638" s="636"/>
      <c r="M638" s="636"/>
      <c r="N638" s="637">
        <f t="shared" si="244"/>
        <v>0</v>
      </c>
      <c r="O638" s="638"/>
      <c r="P638" s="638"/>
      <c r="Q638" s="635">
        <f t="shared" si="245"/>
        <v>0</v>
      </c>
      <c r="R638" s="636"/>
      <c r="S638" s="636"/>
      <c r="T638" s="637">
        <f t="shared" si="246"/>
        <v>0</v>
      </c>
      <c r="U638" s="638"/>
      <c r="V638" s="638"/>
      <c r="W638" s="635">
        <f t="shared" si="247"/>
        <v>0</v>
      </c>
      <c r="X638" s="636"/>
      <c r="Y638" s="636"/>
      <c r="Z638" s="637">
        <f t="shared" si="248"/>
        <v>0</v>
      </c>
      <c r="AA638" s="638"/>
      <c r="AB638" s="638"/>
      <c r="AC638" s="635">
        <f t="shared" si="249"/>
        <v>0</v>
      </c>
      <c r="AD638" s="636"/>
      <c r="AE638" s="636"/>
      <c r="AF638" s="637">
        <f t="shared" si="250"/>
        <v>0</v>
      </c>
      <c r="AG638" s="638"/>
      <c r="AH638" s="638"/>
      <c r="AI638" s="635">
        <f t="shared" si="251"/>
        <v>0</v>
      </c>
      <c r="AJ638" s="636"/>
      <c r="AK638" s="636"/>
      <c r="AL638" s="637">
        <f t="shared" si="252"/>
        <v>0</v>
      </c>
      <c r="AM638" s="638"/>
      <c r="AN638" s="638"/>
      <c r="AO638" s="640">
        <f t="shared" si="253"/>
        <v>0</v>
      </c>
      <c r="AP638" s="636"/>
      <c r="AQ638" s="636"/>
      <c r="AR638" s="637">
        <f t="shared" si="254"/>
        <v>0</v>
      </c>
      <c r="AS638" s="638"/>
      <c r="AT638" s="638"/>
      <c r="AU638" s="635">
        <f t="shared" si="255"/>
        <v>0</v>
      </c>
      <c r="AV638" s="636"/>
      <c r="AW638" s="636"/>
      <c r="AX638" s="637">
        <f t="shared" si="256"/>
        <v>0</v>
      </c>
      <c r="AY638" s="638"/>
      <c r="AZ638" s="638"/>
      <c r="BA638" s="635">
        <f t="shared" si="257"/>
        <v>0</v>
      </c>
      <c r="BB638" s="636"/>
      <c r="BC638" s="636"/>
      <c r="BD638" s="637">
        <f t="shared" si="258"/>
        <v>0</v>
      </c>
      <c r="BE638" s="638"/>
      <c r="BF638" s="638"/>
      <c r="BG638" s="635">
        <f t="shared" si="259"/>
        <v>0</v>
      </c>
      <c r="BH638" s="636"/>
      <c r="BI638" s="636"/>
      <c r="BJ638" s="637">
        <f t="shared" si="260"/>
        <v>0</v>
      </c>
      <c r="BK638" s="638"/>
      <c r="BL638" s="638"/>
      <c r="BM638" s="635">
        <f t="shared" si="261"/>
        <v>0</v>
      </c>
      <c r="BN638" s="636"/>
      <c r="BO638" s="636"/>
      <c r="BP638" s="637">
        <f t="shared" si="262"/>
        <v>0</v>
      </c>
      <c r="BQ638" s="638"/>
      <c r="BR638" s="638"/>
      <c r="BS638" s="635">
        <f t="shared" si="263"/>
        <v>0</v>
      </c>
      <c r="BT638" s="636"/>
      <c r="BU638" s="636"/>
      <c r="BV638" s="637">
        <f t="shared" si="264"/>
        <v>0</v>
      </c>
      <c r="BW638" s="638"/>
      <c r="BX638" s="638"/>
      <c r="BY638" s="641">
        <f t="shared" si="265"/>
        <v>0</v>
      </c>
    </row>
    <row r="639" spans="1:77" x14ac:dyDescent="0.2">
      <c r="A639" s="400" t="s">
        <v>111</v>
      </c>
      <c r="B639" s="408" t="s">
        <v>826</v>
      </c>
      <c r="C639" s="409"/>
      <c r="D639" s="400">
        <v>233772</v>
      </c>
      <c r="E639" s="410">
        <v>8</v>
      </c>
      <c r="F639" s="631"/>
      <c r="G639" s="632"/>
      <c r="H639" s="633">
        <f t="shared" si="242"/>
        <v>0</v>
      </c>
      <c r="I639" s="634"/>
      <c r="J639" s="634"/>
      <c r="K639" s="635">
        <f t="shared" si="243"/>
        <v>0</v>
      </c>
      <c r="L639" s="636"/>
      <c r="M639" s="636"/>
      <c r="N639" s="637">
        <f t="shared" si="244"/>
        <v>0</v>
      </c>
      <c r="O639" s="638"/>
      <c r="P639" s="638"/>
      <c r="Q639" s="635">
        <f t="shared" si="245"/>
        <v>0</v>
      </c>
      <c r="R639" s="636"/>
      <c r="S639" s="636"/>
      <c r="T639" s="637">
        <f t="shared" si="246"/>
        <v>0</v>
      </c>
      <c r="U639" s="638"/>
      <c r="V639" s="638"/>
      <c r="W639" s="635">
        <f t="shared" si="247"/>
        <v>0</v>
      </c>
      <c r="X639" s="636"/>
      <c r="Y639" s="636"/>
      <c r="Z639" s="637">
        <f t="shared" si="248"/>
        <v>0</v>
      </c>
      <c r="AA639" s="638"/>
      <c r="AB639" s="638"/>
      <c r="AC639" s="635">
        <f t="shared" si="249"/>
        <v>0</v>
      </c>
      <c r="AD639" s="636"/>
      <c r="AE639" s="636"/>
      <c r="AF639" s="637">
        <f t="shared" si="250"/>
        <v>0</v>
      </c>
      <c r="AG639" s="638"/>
      <c r="AH639" s="638"/>
      <c r="AI639" s="635">
        <f t="shared" si="251"/>
        <v>0</v>
      </c>
      <c r="AJ639" s="636"/>
      <c r="AK639" s="636"/>
      <c r="AL639" s="637">
        <f t="shared" si="252"/>
        <v>0</v>
      </c>
      <c r="AM639" s="638"/>
      <c r="AN639" s="638"/>
      <c r="AO639" s="640">
        <f t="shared" si="253"/>
        <v>0</v>
      </c>
      <c r="AP639" s="636"/>
      <c r="AQ639" s="636"/>
      <c r="AR639" s="637">
        <f t="shared" si="254"/>
        <v>0</v>
      </c>
      <c r="AS639" s="638"/>
      <c r="AT639" s="638"/>
      <c r="AU639" s="635">
        <f t="shared" si="255"/>
        <v>0</v>
      </c>
      <c r="AV639" s="636"/>
      <c r="AW639" s="636"/>
      <c r="AX639" s="637">
        <f t="shared" si="256"/>
        <v>0</v>
      </c>
      <c r="AY639" s="638"/>
      <c r="AZ639" s="638"/>
      <c r="BA639" s="635">
        <f t="shared" si="257"/>
        <v>0</v>
      </c>
      <c r="BB639" s="636"/>
      <c r="BC639" s="636"/>
      <c r="BD639" s="637">
        <f t="shared" si="258"/>
        <v>0</v>
      </c>
      <c r="BE639" s="638"/>
      <c r="BF639" s="638"/>
      <c r="BG639" s="635">
        <f t="shared" si="259"/>
        <v>0</v>
      </c>
      <c r="BH639" s="636"/>
      <c r="BI639" s="636"/>
      <c r="BJ639" s="637">
        <f t="shared" si="260"/>
        <v>0</v>
      </c>
      <c r="BK639" s="638"/>
      <c r="BL639" s="638"/>
      <c r="BM639" s="635">
        <f t="shared" si="261"/>
        <v>0</v>
      </c>
      <c r="BN639" s="636"/>
      <c r="BO639" s="636"/>
      <c r="BP639" s="637">
        <f t="shared" si="262"/>
        <v>0</v>
      </c>
      <c r="BQ639" s="638"/>
      <c r="BR639" s="638"/>
      <c r="BS639" s="635">
        <f t="shared" si="263"/>
        <v>0</v>
      </c>
      <c r="BT639" s="636"/>
      <c r="BU639" s="636"/>
      <c r="BV639" s="637">
        <f t="shared" si="264"/>
        <v>0</v>
      </c>
      <c r="BW639" s="638"/>
      <c r="BX639" s="638"/>
      <c r="BY639" s="641">
        <f t="shared" si="265"/>
        <v>0</v>
      </c>
    </row>
    <row r="640" spans="1:77" x14ac:dyDescent="0.2">
      <c r="A640" s="400" t="s">
        <v>111</v>
      </c>
      <c r="B640" s="408" t="s">
        <v>827</v>
      </c>
      <c r="C640" s="409"/>
      <c r="D640" s="400">
        <v>231536</v>
      </c>
      <c r="E640" s="410">
        <v>9</v>
      </c>
      <c r="F640" s="631"/>
      <c r="G640" s="632"/>
      <c r="H640" s="633">
        <f t="shared" si="242"/>
        <v>0</v>
      </c>
      <c r="I640" s="634"/>
      <c r="J640" s="634"/>
      <c r="K640" s="635">
        <f t="shared" si="243"/>
        <v>0</v>
      </c>
      <c r="L640" s="636"/>
      <c r="M640" s="636"/>
      <c r="N640" s="637">
        <f t="shared" si="244"/>
        <v>0</v>
      </c>
      <c r="O640" s="638"/>
      <c r="P640" s="638"/>
      <c r="Q640" s="635">
        <f t="shared" si="245"/>
        <v>0</v>
      </c>
      <c r="R640" s="636"/>
      <c r="S640" s="636"/>
      <c r="T640" s="637">
        <f t="shared" si="246"/>
        <v>0</v>
      </c>
      <c r="U640" s="638"/>
      <c r="V640" s="638"/>
      <c r="W640" s="635">
        <f t="shared" si="247"/>
        <v>0</v>
      </c>
      <c r="X640" s="636"/>
      <c r="Y640" s="636"/>
      <c r="Z640" s="637">
        <f t="shared" si="248"/>
        <v>0</v>
      </c>
      <c r="AA640" s="638"/>
      <c r="AB640" s="638"/>
      <c r="AC640" s="635">
        <f t="shared" si="249"/>
        <v>0</v>
      </c>
      <c r="AD640" s="636"/>
      <c r="AE640" s="636"/>
      <c r="AF640" s="637">
        <f t="shared" si="250"/>
        <v>0</v>
      </c>
      <c r="AG640" s="638"/>
      <c r="AH640" s="638"/>
      <c r="AI640" s="635">
        <f t="shared" si="251"/>
        <v>0</v>
      </c>
      <c r="AJ640" s="636"/>
      <c r="AK640" s="636"/>
      <c r="AL640" s="637">
        <f t="shared" si="252"/>
        <v>0</v>
      </c>
      <c r="AM640" s="638"/>
      <c r="AN640" s="638"/>
      <c r="AO640" s="640">
        <f t="shared" si="253"/>
        <v>0</v>
      </c>
      <c r="AP640" s="636"/>
      <c r="AQ640" s="636"/>
      <c r="AR640" s="637">
        <f t="shared" si="254"/>
        <v>0</v>
      </c>
      <c r="AS640" s="638"/>
      <c r="AT640" s="638"/>
      <c r="AU640" s="635">
        <f t="shared" si="255"/>
        <v>0</v>
      </c>
      <c r="AV640" s="636"/>
      <c r="AW640" s="636"/>
      <c r="AX640" s="637">
        <f t="shared" si="256"/>
        <v>0</v>
      </c>
      <c r="AY640" s="638"/>
      <c r="AZ640" s="638"/>
      <c r="BA640" s="635">
        <f t="shared" si="257"/>
        <v>0</v>
      </c>
      <c r="BB640" s="636"/>
      <c r="BC640" s="636"/>
      <c r="BD640" s="637">
        <f t="shared" si="258"/>
        <v>0</v>
      </c>
      <c r="BE640" s="638"/>
      <c r="BF640" s="638"/>
      <c r="BG640" s="635">
        <f t="shared" si="259"/>
        <v>0</v>
      </c>
      <c r="BH640" s="636"/>
      <c r="BI640" s="636"/>
      <c r="BJ640" s="637">
        <f t="shared" si="260"/>
        <v>0</v>
      </c>
      <c r="BK640" s="638"/>
      <c r="BL640" s="638"/>
      <c r="BM640" s="635">
        <f t="shared" si="261"/>
        <v>0</v>
      </c>
      <c r="BN640" s="636"/>
      <c r="BO640" s="636"/>
      <c r="BP640" s="637">
        <f t="shared" si="262"/>
        <v>0</v>
      </c>
      <c r="BQ640" s="638"/>
      <c r="BR640" s="638"/>
      <c r="BS640" s="635">
        <f t="shared" si="263"/>
        <v>0</v>
      </c>
      <c r="BT640" s="636"/>
      <c r="BU640" s="636"/>
      <c r="BV640" s="637">
        <f t="shared" si="264"/>
        <v>0</v>
      </c>
      <c r="BW640" s="638"/>
      <c r="BX640" s="638"/>
      <c r="BY640" s="641">
        <f t="shared" si="265"/>
        <v>0</v>
      </c>
    </row>
    <row r="641" spans="1:77" x14ac:dyDescent="0.2">
      <c r="A641" s="400" t="s">
        <v>111</v>
      </c>
      <c r="B641" s="408" t="s">
        <v>828</v>
      </c>
      <c r="C641" s="409"/>
      <c r="D641" s="400">
        <v>231697</v>
      </c>
      <c r="E641" s="410">
        <v>9</v>
      </c>
      <c r="F641" s="631"/>
      <c r="G641" s="632"/>
      <c r="H641" s="633">
        <f t="shared" si="242"/>
        <v>0</v>
      </c>
      <c r="I641" s="634"/>
      <c r="J641" s="634"/>
      <c r="K641" s="635">
        <f t="shared" si="243"/>
        <v>0</v>
      </c>
      <c r="L641" s="636"/>
      <c r="M641" s="636"/>
      <c r="N641" s="637">
        <f t="shared" si="244"/>
        <v>0</v>
      </c>
      <c r="O641" s="638"/>
      <c r="P641" s="638"/>
      <c r="Q641" s="635">
        <f t="shared" si="245"/>
        <v>0</v>
      </c>
      <c r="R641" s="636"/>
      <c r="S641" s="636"/>
      <c r="T641" s="637">
        <f t="shared" si="246"/>
        <v>0</v>
      </c>
      <c r="U641" s="638"/>
      <c r="V641" s="638"/>
      <c r="W641" s="635">
        <f t="shared" si="247"/>
        <v>0</v>
      </c>
      <c r="X641" s="636"/>
      <c r="Y641" s="636"/>
      <c r="Z641" s="637">
        <f t="shared" si="248"/>
        <v>0</v>
      </c>
      <c r="AA641" s="638"/>
      <c r="AB641" s="638"/>
      <c r="AC641" s="635">
        <f t="shared" si="249"/>
        <v>0</v>
      </c>
      <c r="AD641" s="636"/>
      <c r="AE641" s="636"/>
      <c r="AF641" s="637">
        <f t="shared" si="250"/>
        <v>0</v>
      </c>
      <c r="AG641" s="638"/>
      <c r="AH641" s="638"/>
      <c r="AI641" s="635">
        <f t="shared" si="251"/>
        <v>0</v>
      </c>
      <c r="AJ641" s="636"/>
      <c r="AK641" s="636"/>
      <c r="AL641" s="637">
        <f t="shared" si="252"/>
        <v>0</v>
      </c>
      <c r="AM641" s="638"/>
      <c r="AN641" s="638"/>
      <c r="AO641" s="640">
        <f t="shared" si="253"/>
        <v>0</v>
      </c>
      <c r="AP641" s="636"/>
      <c r="AQ641" s="636"/>
      <c r="AR641" s="637">
        <f t="shared" si="254"/>
        <v>0</v>
      </c>
      <c r="AS641" s="638"/>
      <c r="AT641" s="638"/>
      <c r="AU641" s="635">
        <f t="shared" si="255"/>
        <v>0</v>
      </c>
      <c r="AV641" s="636"/>
      <c r="AW641" s="636"/>
      <c r="AX641" s="637">
        <f t="shared" si="256"/>
        <v>0</v>
      </c>
      <c r="AY641" s="638"/>
      <c r="AZ641" s="638"/>
      <c r="BA641" s="635">
        <f t="shared" si="257"/>
        <v>0</v>
      </c>
      <c r="BB641" s="636"/>
      <c r="BC641" s="636"/>
      <c r="BD641" s="637">
        <f t="shared" si="258"/>
        <v>0</v>
      </c>
      <c r="BE641" s="638"/>
      <c r="BF641" s="638"/>
      <c r="BG641" s="635">
        <f t="shared" si="259"/>
        <v>0</v>
      </c>
      <c r="BH641" s="636"/>
      <c r="BI641" s="636"/>
      <c r="BJ641" s="637">
        <f t="shared" si="260"/>
        <v>0</v>
      </c>
      <c r="BK641" s="638"/>
      <c r="BL641" s="638"/>
      <c r="BM641" s="635">
        <f t="shared" si="261"/>
        <v>0</v>
      </c>
      <c r="BN641" s="636"/>
      <c r="BO641" s="636"/>
      <c r="BP641" s="637">
        <f t="shared" si="262"/>
        <v>0</v>
      </c>
      <c r="BQ641" s="638"/>
      <c r="BR641" s="638"/>
      <c r="BS641" s="635">
        <f t="shared" si="263"/>
        <v>0</v>
      </c>
      <c r="BT641" s="636"/>
      <c r="BU641" s="636"/>
      <c r="BV641" s="637">
        <f t="shared" si="264"/>
        <v>0</v>
      </c>
      <c r="BW641" s="638"/>
      <c r="BX641" s="638"/>
      <c r="BY641" s="641">
        <f t="shared" si="265"/>
        <v>0</v>
      </c>
    </row>
    <row r="642" spans="1:77" x14ac:dyDescent="0.2">
      <c r="A642" s="400" t="s">
        <v>111</v>
      </c>
      <c r="B642" s="408" t="s">
        <v>829</v>
      </c>
      <c r="C642" s="409"/>
      <c r="D642" s="400">
        <v>231882</v>
      </c>
      <c r="E642" s="410">
        <v>9</v>
      </c>
      <c r="F642" s="631"/>
      <c r="G642" s="632"/>
      <c r="H642" s="633">
        <f t="shared" si="242"/>
        <v>0</v>
      </c>
      <c r="I642" s="634"/>
      <c r="J642" s="634"/>
      <c r="K642" s="635">
        <f t="shared" si="243"/>
        <v>0</v>
      </c>
      <c r="L642" s="636"/>
      <c r="M642" s="636"/>
      <c r="N642" s="637">
        <f t="shared" si="244"/>
        <v>0</v>
      </c>
      <c r="O642" s="638"/>
      <c r="P642" s="638"/>
      <c r="Q642" s="635">
        <f t="shared" si="245"/>
        <v>0</v>
      </c>
      <c r="R642" s="636"/>
      <c r="S642" s="636"/>
      <c r="T642" s="637">
        <f t="shared" si="246"/>
        <v>0</v>
      </c>
      <c r="U642" s="638"/>
      <c r="V642" s="638"/>
      <c r="W642" s="635">
        <f t="shared" si="247"/>
        <v>0</v>
      </c>
      <c r="X642" s="636"/>
      <c r="Y642" s="636"/>
      <c r="Z642" s="637">
        <f t="shared" si="248"/>
        <v>0</v>
      </c>
      <c r="AA642" s="638"/>
      <c r="AB642" s="638"/>
      <c r="AC642" s="635">
        <f t="shared" si="249"/>
        <v>0</v>
      </c>
      <c r="AD642" s="636"/>
      <c r="AE642" s="636"/>
      <c r="AF642" s="637">
        <f t="shared" si="250"/>
        <v>0</v>
      </c>
      <c r="AG642" s="638"/>
      <c r="AH642" s="638"/>
      <c r="AI642" s="635">
        <f t="shared" si="251"/>
        <v>0</v>
      </c>
      <c r="AJ642" s="636"/>
      <c r="AK642" s="636"/>
      <c r="AL642" s="637">
        <f t="shared" si="252"/>
        <v>0</v>
      </c>
      <c r="AM642" s="638"/>
      <c r="AN642" s="638"/>
      <c r="AO642" s="640">
        <f t="shared" si="253"/>
        <v>0</v>
      </c>
      <c r="AP642" s="636"/>
      <c r="AQ642" s="636"/>
      <c r="AR642" s="637">
        <f t="shared" si="254"/>
        <v>0</v>
      </c>
      <c r="AS642" s="638"/>
      <c r="AT642" s="638"/>
      <c r="AU642" s="635">
        <f t="shared" si="255"/>
        <v>0</v>
      </c>
      <c r="AV642" s="636"/>
      <c r="AW642" s="636"/>
      <c r="AX642" s="637">
        <f t="shared" si="256"/>
        <v>0</v>
      </c>
      <c r="AY642" s="638"/>
      <c r="AZ642" s="638"/>
      <c r="BA642" s="635">
        <f t="shared" si="257"/>
        <v>0</v>
      </c>
      <c r="BB642" s="636"/>
      <c r="BC642" s="636"/>
      <c r="BD642" s="637">
        <f t="shared" si="258"/>
        <v>0</v>
      </c>
      <c r="BE642" s="638"/>
      <c r="BF642" s="638"/>
      <c r="BG642" s="635">
        <f t="shared" si="259"/>
        <v>0</v>
      </c>
      <c r="BH642" s="636"/>
      <c r="BI642" s="636"/>
      <c r="BJ642" s="637">
        <f t="shared" si="260"/>
        <v>0</v>
      </c>
      <c r="BK642" s="638"/>
      <c r="BL642" s="638"/>
      <c r="BM642" s="635">
        <f t="shared" si="261"/>
        <v>0</v>
      </c>
      <c r="BN642" s="636"/>
      <c r="BO642" s="636"/>
      <c r="BP642" s="637">
        <f t="shared" si="262"/>
        <v>0</v>
      </c>
      <c r="BQ642" s="638"/>
      <c r="BR642" s="638"/>
      <c r="BS642" s="635">
        <f t="shared" si="263"/>
        <v>0</v>
      </c>
      <c r="BT642" s="636"/>
      <c r="BU642" s="636"/>
      <c r="BV642" s="637">
        <f t="shared" si="264"/>
        <v>0</v>
      </c>
      <c r="BW642" s="638"/>
      <c r="BX642" s="638"/>
      <c r="BY642" s="641">
        <f t="shared" si="265"/>
        <v>0</v>
      </c>
    </row>
    <row r="643" spans="1:77" x14ac:dyDescent="0.2">
      <c r="A643" s="400" t="s">
        <v>111</v>
      </c>
      <c r="B643" s="408" t="s">
        <v>830</v>
      </c>
      <c r="C643" s="409"/>
      <c r="D643" s="400">
        <v>232195</v>
      </c>
      <c r="E643" s="410">
        <v>9</v>
      </c>
      <c r="F643" s="631"/>
      <c r="G643" s="632"/>
      <c r="H643" s="633">
        <f t="shared" si="242"/>
        <v>0</v>
      </c>
      <c r="I643" s="634"/>
      <c r="J643" s="634"/>
      <c r="K643" s="635">
        <f t="shared" si="243"/>
        <v>0</v>
      </c>
      <c r="L643" s="636"/>
      <c r="M643" s="636"/>
      <c r="N643" s="637">
        <f t="shared" si="244"/>
        <v>0</v>
      </c>
      <c r="O643" s="638"/>
      <c r="P643" s="638"/>
      <c r="Q643" s="635">
        <f t="shared" si="245"/>
        <v>0</v>
      </c>
      <c r="R643" s="636"/>
      <c r="S643" s="636"/>
      <c r="T643" s="637">
        <f t="shared" si="246"/>
        <v>0</v>
      </c>
      <c r="U643" s="638"/>
      <c r="V643" s="638"/>
      <c r="W643" s="635">
        <f t="shared" si="247"/>
        <v>0</v>
      </c>
      <c r="X643" s="636"/>
      <c r="Y643" s="636"/>
      <c r="Z643" s="637">
        <f t="shared" si="248"/>
        <v>0</v>
      </c>
      <c r="AA643" s="638"/>
      <c r="AB643" s="638"/>
      <c r="AC643" s="635">
        <f t="shared" si="249"/>
        <v>0</v>
      </c>
      <c r="AD643" s="636"/>
      <c r="AE643" s="636"/>
      <c r="AF643" s="637">
        <f t="shared" si="250"/>
        <v>0</v>
      </c>
      <c r="AG643" s="638"/>
      <c r="AH643" s="638"/>
      <c r="AI643" s="635">
        <f t="shared" si="251"/>
        <v>0</v>
      </c>
      <c r="AJ643" s="636"/>
      <c r="AK643" s="636"/>
      <c r="AL643" s="637">
        <f t="shared" si="252"/>
        <v>0</v>
      </c>
      <c r="AM643" s="638"/>
      <c r="AN643" s="638"/>
      <c r="AO643" s="640">
        <f t="shared" si="253"/>
        <v>0</v>
      </c>
      <c r="AP643" s="636"/>
      <c r="AQ643" s="636"/>
      <c r="AR643" s="637">
        <f t="shared" si="254"/>
        <v>0</v>
      </c>
      <c r="AS643" s="638"/>
      <c r="AT643" s="638"/>
      <c r="AU643" s="635">
        <f t="shared" si="255"/>
        <v>0</v>
      </c>
      <c r="AV643" s="636"/>
      <c r="AW643" s="636"/>
      <c r="AX643" s="637">
        <f t="shared" si="256"/>
        <v>0</v>
      </c>
      <c r="AY643" s="638"/>
      <c r="AZ643" s="638"/>
      <c r="BA643" s="635">
        <f t="shared" si="257"/>
        <v>0</v>
      </c>
      <c r="BB643" s="636"/>
      <c r="BC643" s="636"/>
      <c r="BD643" s="637">
        <f t="shared" si="258"/>
        <v>0</v>
      </c>
      <c r="BE643" s="638"/>
      <c r="BF643" s="638"/>
      <c r="BG643" s="635">
        <f t="shared" si="259"/>
        <v>0</v>
      </c>
      <c r="BH643" s="636"/>
      <c r="BI643" s="636"/>
      <c r="BJ643" s="637">
        <f t="shared" si="260"/>
        <v>0</v>
      </c>
      <c r="BK643" s="638"/>
      <c r="BL643" s="638"/>
      <c r="BM643" s="635">
        <f t="shared" si="261"/>
        <v>0</v>
      </c>
      <c r="BN643" s="636"/>
      <c r="BO643" s="636"/>
      <c r="BP643" s="637">
        <f t="shared" si="262"/>
        <v>0</v>
      </c>
      <c r="BQ643" s="638"/>
      <c r="BR643" s="638"/>
      <c r="BS643" s="635">
        <f t="shared" si="263"/>
        <v>0</v>
      </c>
      <c r="BT643" s="636"/>
      <c r="BU643" s="636"/>
      <c r="BV643" s="637">
        <f t="shared" si="264"/>
        <v>0</v>
      </c>
      <c r="BW643" s="638"/>
      <c r="BX643" s="638"/>
      <c r="BY643" s="641">
        <f t="shared" si="265"/>
        <v>0</v>
      </c>
    </row>
    <row r="644" spans="1:77" x14ac:dyDescent="0.2">
      <c r="A644" s="400" t="s">
        <v>111</v>
      </c>
      <c r="B644" s="408" t="s">
        <v>831</v>
      </c>
      <c r="C644" s="451" t="s">
        <v>977</v>
      </c>
      <c r="D644" s="450">
        <v>232450</v>
      </c>
      <c r="E644" s="452">
        <v>9</v>
      </c>
      <c r="F644" s="631"/>
      <c r="G644" s="632"/>
      <c r="H644" s="633">
        <f t="shared" si="242"/>
        <v>0</v>
      </c>
      <c r="I644" s="634"/>
      <c r="J644" s="634"/>
      <c r="K644" s="635">
        <f t="shared" si="243"/>
        <v>0</v>
      </c>
      <c r="L644" s="636"/>
      <c r="M644" s="636"/>
      <c r="N644" s="637">
        <f t="shared" si="244"/>
        <v>0</v>
      </c>
      <c r="O644" s="638"/>
      <c r="P644" s="638"/>
      <c r="Q644" s="635">
        <f t="shared" si="245"/>
        <v>0</v>
      </c>
      <c r="R644" s="636"/>
      <c r="S644" s="636"/>
      <c r="T644" s="637">
        <f t="shared" si="246"/>
        <v>0</v>
      </c>
      <c r="U644" s="638"/>
      <c r="V644" s="638"/>
      <c r="W644" s="635">
        <f t="shared" si="247"/>
        <v>0</v>
      </c>
      <c r="X644" s="636"/>
      <c r="Y644" s="636"/>
      <c r="Z644" s="637">
        <f t="shared" si="248"/>
        <v>0</v>
      </c>
      <c r="AA644" s="638"/>
      <c r="AB644" s="638"/>
      <c r="AC644" s="635">
        <f t="shared" si="249"/>
        <v>0</v>
      </c>
      <c r="AD644" s="636"/>
      <c r="AE644" s="636"/>
      <c r="AF644" s="637">
        <f t="shared" si="250"/>
        <v>0</v>
      </c>
      <c r="AG644" s="638"/>
      <c r="AH644" s="638"/>
      <c r="AI644" s="635">
        <f t="shared" si="251"/>
        <v>0</v>
      </c>
      <c r="AJ644" s="636"/>
      <c r="AK644" s="636"/>
      <c r="AL644" s="637">
        <f t="shared" si="252"/>
        <v>0</v>
      </c>
      <c r="AM644" s="638"/>
      <c r="AN644" s="638"/>
      <c r="AO644" s="640">
        <f t="shared" si="253"/>
        <v>0</v>
      </c>
      <c r="AP644" s="636"/>
      <c r="AQ644" s="636"/>
      <c r="AR644" s="637">
        <f t="shared" si="254"/>
        <v>0</v>
      </c>
      <c r="AS644" s="638"/>
      <c r="AT644" s="638"/>
      <c r="AU644" s="635">
        <f t="shared" si="255"/>
        <v>0</v>
      </c>
      <c r="AV644" s="636"/>
      <c r="AW644" s="636"/>
      <c r="AX644" s="637">
        <f t="shared" si="256"/>
        <v>0</v>
      </c>
      <c r="AY644" s="638"/>
      <c r="AZ644" s="638"/>
      <c r="BA644" s="635">
        <f t="shared" si="257"/>
        <v>0</v>
      </c>
      <c r="BB644" s="636"/>
      <c r="BC644" s="636"/>
      <c r="BD644" s="637">
        <f t="shared" si="258"/>
        <v>0</v>
      </c>
      <c r="BE644" s="638"/>
      <c r="BF644" s="638"/>
      <c r="BG644" s="635">
        <f t="shared" si="259"/>
        <v>0</v>
      </c>
      <c r="BH644" s="636"/>
      <c r="BI644" s="636"/>
      <c r="BJ644" s="637">
        <f t="shared" si="260"/>
        <v>0</v>
      </c>
      <c r="BK644" s="638"/>
      <c r="BL644" s="638"/>
      <c r="BM644" s="635">
        <f t="shared" si="261"/>
        <v>0</v>
      </c>
      <c r="BN644" s="636"/>
      <c r="BO644" s="636"/>
      <c r="BP644" s="637">
        <f t="shared" si="262"/>
        <v>0</v>
      </c>
      <c r="BQ644" s="638"/>
      <c r="BR644" s="638"/>
      <c r="BS644" s="635">
        <f t="shared" si="263"/>
        <v>0</v>
      </c>
      <c r="BT644" s="636"/>
      <c r="BU644" s="636"/>
      <c r="BV644" s="637">
        <f t="shared" si="264"/>
        <v>0</v>
      </c>
      <c r="BW644" s="638"/>
      <c r="BX644" s="638"/>
      <c r="BY644" s="641">
        <f t="shared" si="265"/>
        <v>0</v>
      </c>
    </row>
    <row r="645" spans="1:77" x14ac:dyDescent="0.2">
      <c r="A645" s="400" t="s">
        <v>111</v>
      </c>
      <c r="B645" s="408" t="s">
        <v>832</v>
      </c>
      <c r="C645" s="451"/>
      <c r="D645" s="450">
        <v>232575</v>
      </c>
      <c r="E645" s="452">
        <v>9</v>
      </c>
      <c r="F645" s="631"/>
      <c r="G645" s="632"/>
      <c r="H645" s="633">
        <f t="shared" si="242"/>
        <v>0</v>
      </c>
      <c r="I645" s="634"/>
      <c r="J645" s="634"/>
      <c r="K645" s="635">
        <f t="shared" si="243"/>
        <v>0</v>
      </c>
      <c r="L645" s="636"/>
      <c r="M645" s="636"/>
      <c r="N645" s="637">
        <f t="shared" si="244"/>
        <v>0</v>
      </c>
      <c r="O645" s="638"/>
      <c r="P645" s="638"/>
      <c r="Q645" s="635">
        <f t="shared" si="245"/>
        <v>0</v>
      </c>
      <c r="R645" s="636"/>
      <c r="S645" s="636"/>
      <c r="T645" s="637">
        <f t="shared" si="246"/>
        <v>0</v>
      </c>
      <c r="U645" s="638"/>
      <c r="V645" s="638"/>
      <c r="W645" s="635">
        <f t="shared" si="247"/>
        <v>0</v>
      </c>
      <c r="X645" s="636"/>
      <c r="Y645" s="636"/>
      <c r="Z645" s="637">
        <f t="shared" si="248"/>
        <v>0</v>
      </c>
      <c r="AA645" s="638"/>
      <c r="AB645" s="638"/>
      <c r="AC645" s="635">
        <f t="shared" si="249"/>
        <v>0</v>
      </c>
      <c r="AD645" s="636"/>
      <c r="AE645" s="636"/>
      <c r="AF645" s="637">
        <f t="shared" si="250"/>
        <v>0</v>
      </c>
      <c r="AG645" s="638"/>
      <c r="AH645" s="638"/>
      <c r="AI645" s="635">
        <f t="shared" si="251"/>
        <v>0</v>
      </c>
      <c r="AJ645" s="636"/>
      <c r="AK645" s="636"/>
      <c r="AL645" s="637">
        <f t="shared" si="252"/>
        <v>0</v>
      </c>
      <c r="AM645" s="638"/>
      <c r="AN645" s="638"/>
      <c r="AO645" s="640">
        <f t="shared" si="253"/>
        <v>0</v>
      </c>
      <c r="AP645" s="636"/>
      <c r="AQ645" s="636"/>
      <c r="AR645" s="637">
        <f t="shared" si="254"/>
        <v>0</v>
      </c>
      <c r="AS645" s="638"/>
      <c r="AT645" s="638"/>
      <c r="AU645" s="635">
        <f t="shared" si="255"/>
        <v>0</v>
      </c>
      <c r="AV645" s="636"/>
      <c r="AW645" s="636"/>
      <c r="AX645" s="637">
        <f t="shared" si="256"/>
        <v>0</v>
      </c>
      <c r="AY645" s="638"/>
      <c r="AZ645" s="638"/>
      <c r="BA645" s="635">
        <f t="shared" si="257"/>
        <v>0</v>
      </c>
      <c r="BB645" s="636"/>
      <c r="BC645" s="636"/>
      <c r="BD645" s="637">
        <f t="shared" si="258"/>
        <v>0</v>
      </c>
      <c r="BE645" s="638"/>
      <c r="BF645" s="638"/>
      <c r="BG645" s="635">
        <f t="shared" si="259"/>
        <v>0</v>
      </c>
      <c r="BH645" s="636"/>
      <c r="BI645" s="636"/>
      <c r="BJ645" s="637">
        <f t="shared" si="260"/>
        <v>0</v>
      </c>
      <c r="BK645" s="638"/>
      <c r="BL645" s="638"/>
      <c r="BM645" s="635">
        <f t="shared" si="261"/>
        <v>0</v>
      </c>
      <c r="BN645" s="636"/>
      <c r="BO645" s="636"/>
      <c r="BP645" s="637">
        <f t="shared" si="262"/>
        <v>0</v>
      </c>
      <c r="BQ645" s="638"/>
      <c r="BR645" s="638"/>
      <c r="BS645" s="635">
        <f t="shared" si="263"/>
        <v>0</v>
      </c>
      <c r="BT645" s="636"/>
      <c r="BU645" s="636"/>
      <c r="BV645" s="637">
        <f t="shared" si="264"/>
        <v>0</v>
      </c>
      <c r="BW645" s="638"/>
      <c r="BX645" s="638"/>
      <c r="BY645" s="641">
        <f t="shared" si="265"/>
        <v>0</v>
      </c>
    </row>
    <row r="646" spans="1:77" x14ac:dyDescent="0.2">
      <c r="A646" s="400" t="s">
        <v>111</v>
      </c>
      <c r="B646" s="408" t="s">
        <v>833</v>
      </c>
      <c r="C646" s="451"/>
      <c r="D646" s="450">
        <v>232867</v>
      </c>
      <c r="E646" s="452">
        <v>9</v>
      </c>
      <c r="F646" s="631"/>
      <c r="G646" s="632"/>
      <c r="H646" s="633">
        <f t="shared" si="242"/>
        <v>0</v>
      </c>
      <c r="I646" s="634"/>
      <c r="J646" s="634"/>
      <c r="K646" s="635">
        <f t="shared" si="243"/>
        <v>0</v>
      </c>
      <c r="L646" s="636"/>
      <c r="M646" s="636"/>
      <c r="N646" s="637">
        <f t="shared" si="244"/>
        <v>0</v>
      </c>
      <c r="O646" s="638"/>
      <c r="P646" s="638"/>
      <c r="Q646" s="635">
        <f t="shared" si="245"/>
        <v>0</v>
      </c>
      <c r="R646" s="636"/>
      <c r="S646" s="636"/>
      <c r="T646" s="637">
        <f t="shared" si="246"/>
        <v>0</v>
      </c>
      <c r="U646" s="638"/>
      <c r="V646" s="638"/>
      <c r="W646" s="635">
        <f t="shared" si="247"/>
        <v>0</v>
      </c>
      <c r="X646" s="636"/>
      <c r="Y646" s="636"/>
      <c r="Z646" s="637">
        <f t="shared" si="248"/>
        <v>0</v>
      </c>
      <c r="AA646" s="638"/>
      <c r="AB646" s="638"/>
      <c r="AC646" s="635">
        <f t="shared" si="249"/>
        <v>0</v>
      </c>
      <c r="AD646" s="636"/>
      <c r="AE646" s="636"/>
      <c r="AF646" s="637">
        <f t="shared" si="250"/>
        <v>0</v>
      </c>
      <c r="AG646" s="638"/>
      <c r="AH646" s="638"/>
      <c r="AI646" s="635">
        <f t="shared" si="251"/>
        <v>0</v>
      </c>
      <c r="AJ646" s="636"/>
      <c r="AK646" s="636"/>
      <c r="AL646" s="637">
        <f t="shared" si="252"/>
        <v>0</v>
      </c>
      <c r="AM646" s="638"/>
      <c r="AN646" s="638"/>
      <c r="AO646" s="640">
        <f t="shared" si="253"/>
        <v>0</v>
      </c>
      <c r="AP646" s="636"/>
      <c r="AQ646" s="636"/>
      <c r="AR646" s="637">
        <f t="shared" si="254"/>
        <v>0</v>
      </c>
      <c r="AS646" s="638"/>
      <c r="AT646" s="638"/>
      <c r="AU646" s="635">
        <f t="shared" si="255"/>
        <v>0</v>
      </c>
      <c r="AV646" s="636"/>
      <c r="AW646" s="636"/>
      <c r="AX646" s="637">
        <f t="shared" si="256"/>
        <v>0</v>
      </c>
      <c r="AY646" s="638"/>
      <c r="AZ646" s="638"/>
      <c r="BA646" s="635">
        <f t="shared" si="257"/>
        <v>0</v>
      </c>
      <c r="BB646" s="636"/>
      <c r="BC646" s="636"/>
      <c r="BD646" s="637">
        <f t="shared" si="258"/>
        <v>0</v>
      </c>
      <c r="BE646" s="638"/>
      <c r="BF646" s="638"/>
      <c r="BG646" s="635">
        <f t="shared" si="259"/>
        <v>0</v>
      </c>
      <c r="BH646" s="636"/>
      <c r="BI646" s="636"/>
      <c r="BJ646" s="637">
        <f t="shared" si="260"/>
        <v>0</v>
      </c>
      <c r="BK646" s="638"/>
      <c r="BL646" s="638"/>
      <c r="BM646" s="635">
        <f t="shared" si="261"/>
        <v>0</v>
      </c>
      <c r="BN646" s="636"/>
      <c r="BO646" s="636"/>
      <c r="BP646" s="637">
        <f t="shared" si="262"/>
        <v>0</v>
      </c>
      <c r="BQ646" s="638"/>
      <c r="BR646" s="638"/>
      <c r="BS646" s="635">
        <f t="shared" si="263"/>
        <v>0</v>
      </c>
      <c r="BT646" s="636"/>
      <c r="BU646" s="636"/>
      <c r="BV646" s="637">
        <f t="shared" si="264"/>
        <v>0</v>
      </c>
      <c r="BW646" s="638"/>
      <c r="BX646" s="638"/>
      <c r="BY646" s="641">
        <f t="shared" si="265"/>
        <v>0</v>
      </c>
    </row>
    <row r="647" spans="1:77" x14ac:dyDescent="0.2">
      <c r="A647" s="400" t="s">
        <v>111</v>
      </c>
      <c r="B647" s="411" t="s">
        <v>841</v>
      </c>
      <c r="C647" s="454" t="s">
        <v>999</v>
      </c>
      <c r="D647" s="450">
        <v>233019</v>
      </c>
      <c r="E647" s="455">
        <v>9</v>
      </c>
      <c r="F647" s="631"/>
      <c r="G647" s="632"/>
      <c r="H647" s="633">
        <f t="shared" si="242"/>
        <v>0</v>
      </c>
      <c r="I647" s="634"/>
      <c r="J647" s="634"/>
      <c r="K647" s="635">
        <f t="shared" si="243"/>
        <v>0</v>
      </c>
      <c r="L647" s="636"/>
      <c r="M647" s="636"/>
      <c r="N647" s="637">
        <f t="shared" si="244"/>
        <v>0</v>
      </c>
      <c r="O647" s="638"/>
      <c r="P647" s="638"/>
      <c r="Q647" s="635">
        <f t="shared" si="245"/>
        <v>0</v>
      </c>
      <c r="R647" s="636"/>
      <c r="S647" s="636"/>
      <c r="T647" s="637">
        <f t="shared" si="246"/>
        <v>0</v>
      </c>
      <c r="U647" s="638"/>
      <c r="V647" s="638"/>
      <c r="W647" s="635">
        <f t="shared" si="247"/>
        <v>0</v>
      </c>
      <c r="X647" s="636"/>
      <c r="Y647" s="636"/>
      <c r="Z647" s="637">
        <f t="shared" si="248"/>
        <v>0</v>
      </c>
      <c r="AA647" s="638"/>
      <c r="AB647" s="638"/>
      <c r="AC647" s="635">
        <f t="shared" si="249"/>
        <v>0</v>
      </c>
      <c r="AD647" s="636"/>
      <c r="AE647" s="636"/>
      <c r="AF647" s="637">
        <f t="shared" si="250"/>
        <v>0</v>
      </c>
      <c r="AG647" s="638"/>
      <c r="AH647" s="638"/>
      <c r="AI647" s="635">
        <f t="shared" si="251"/>
        <v>0</v>
      </c>
      <c r="AJ647" s="636"/>
      <c r="AK647" s="636"/>
      <c r="AL647" s="637">
        <f t="shared" si="252"/>
        <v>0</v>
      </c>
      <c r="AM647" s="638"/>
      <c r="AN647" s="638"/>
      <c r="AO647" s="640">
        <f t="shared" si="253"/>
        <v>0</v>
      </c>
      <c r="AP647" s="636"/>
      <c r="AQ647" s="636"/>
      <c r="AR647" s="637">
        <f t="shared" si="254"/>
        <v>0</v>
      </c>
      <c r="AS647" s="638"/>
      <c r="AT647" s="638"/>
      <c r="AU647" s="635">
        <f t="shared" si="255"/>
        <v>0</v>
      </c>
      <c r="AV647" s="636"/>
      <c r="AW647" s="636"/>
      <c r="AX647" s="637">
        <f t="shared" si="256"/>
        <v>0</v>
      </c>
      <c r="AY647" s="638"/>
      <c r="AZ647" s="638"/>
      <c r="BA647" s="635">
        <f t="shared" si="257"/>
        <v>0</v>
      </c>
      <c r="BB647" s="636"/>
      <c r="BC647" s="636"/>
      <c r="BD647" s="637">
        <f t="shared" si="258"/>
        <v>0</v>
      </c>
      <c r="BE647" s="638"/>
      <c r="BF647" s="638"/>
      <c r="BG647" s="635">
        <f t="shared" si="259"/>
        <v>0</v>
      </c>
      <c r="BH647" s="636"/>
      <c r="BI647" s="636"/>
      <c r="BJ647" s="637">
        <f t="shared" si="260"/>
        <v>0</v>
      </c>
      <c r="BK647" s="638"/>
      <c r="BL647" s="638"/>
      <c r="BM647" s="635">
        <f t="shared" si="261"/>
        <v>0</v>
      </c>
      <c r="BN647" s="636"/>
      <c r="BO647" s="636"/>
      <c r="BP647" s="637">
        <f t="shared" si="262"/>
        <v>0</v>
      </c>
      <c r="BQ647" s="638"/>
      <c r="BR647" s="638"/>
      <c r="BS647" s="635">
        <f t="shared" si="263"/>
        <v>0</v>
      </c>
      <c r="BT647" s="636"/>
      <c r="BU647" s="636"/>
      <c r="BV647" s="637">
        <f t="shared" si="264"/>
        <v>0</v>
      </c>
      <c r="BW647" s="638"/>
      <c r="BX647" s="638"/>
      <c r="BY647" s="641">
        <f t="shared" si="265"/>
        <v>0</v>
      </c>
    </row>
    <row r="648" spans="1:77" x14ac:dyDescent="0.2">
      <c r="A648" s="400" t="s">
        <v>111</v>
      </c>
      <c r="B648" s="408" t="s">
        <v>834</v>
      </c>
      <c r="C648" s="451"/>
      <c r="D648" s="450">
        <v>233116</v>
      </c>
      <c r="E648" s="452">
        <v>9</v>
      </c>
      <c r="F648" s="631"/>
      <c r="G648" s="632"/>
      <c r="H648" s="633">
        <f t="shared" ref="H648:H681" si="266">F648*G648</f>
        <v>0</v>
      </c>
      <c r="I648" s="634"/>
      <c r="J648" s="634"/>
      <c r="K648" s="635">
        <f t="shared" ref="K648:K681" si="267">I648*J648</f>
        <v>0</v>
      </c>
      <c r="L648" s="636"/>
      <c r="M648" s="636"/>
      <c r="N648" s="637">
        <f t="shared" ref="N648:N681" si="268">L648*M648</f>
        <v>0</v>
      </c>
      <c r="O648" s="638"/>
      <c r="P648" s="638"/>
      <c r="Q648" s="635">
        <f t="shared" ref="Q648:Q681" si="269">O648*P648</f>
        <v>0</v>
      </c>
      <c r="R648" s="636"/>
      <c r="S648" s="636"/>
      <c r="T648" s="637">
        <f t="shared" ref="T648:T681" si="270">R648*S648</f>
        <v>0</v>
      </c>
      <c r="U648" s="638"/>
      <c r="V648" s="638"/>
      <c r="W648" s="635">
        <f t="shared" ref="W648:W681" si="271">U648*V648</f>
        <v>0</v>
      </c>
      <c r="X648" s="636"/>
      <c r="Y648" s="636"/>
      <c r="Z648" s="637">
        <f t="shared" ref="Z648:Z681" si="272">X648*Y648</f>
        <v>0</v>
      </c>
      <c r="AA648" s="638"/>
      <c r="AB648" s="638"/>
      <c r="AC648" s="635">
        <f t="shared" ref="AC648:AC681" si="273">AA648*AB648</f>
        <v>0</v>
      </c>
      <c r="AD648" s="636"/>
      <c r="AE648" s="636"/>
      <c r="AF648" s="637">
        <f t="shared" ref="AF648:AF681" si="274">AD648*AE648</f>
        <v>0</v>
      </c>
      <c r="AG648" s="638"/>
      <c r="AH648" s="638"/>
      <c r="AI648" s="635">
        <f t="shared" ref="AI648:AI681" si="275">AG648*AH648</f>
        <v>0</v>
      </c>
      <c r="AJ648" s="636"/>
      <c r="AK648" s="636"/>
      <c r="AL648" s="637">
        <f t="shared" ref="AL648:AL681" si="276">AJ648*AK648</f>
        <v>0</v>
      </c>
      <c r="AM648" s="638"/>
      <c r="AN648" s="638"/>
      <c r="AO648" s="640">
        <f t="shared" ref="AO648:AO681" si="277">AM648*AN648</f>
        <v>0</v>
      </c>
      <c r="AP648" s="636"/>
      <c r="AQ648" s="636"/>
      <c r="AR648" s="637">
        <f t="shared" ref="AR648:AR681" si="278">(AP648*AQ648)*0.8182</f>
        <v>0</v>
      </c>
      <c r="AS648" s="638"/>
      <c r="AT648" s="638"/>
      <c r="AU648" s="635">
        <f t="shared" ref="AU648:AU681" si="279">(AS648*AT648)*0.8182</f>
        <v>0</v>
      </c>
      <c r="AV648" s="636"/>
      <c r="AW648" s="636"/>
      <c r="AX648" s="637">
        <f t="shared" ref="AX648:AX681" si="280">(AV648*AW648)*0.8182</f>
        <v>0</v>
      </c>
      <c r="AY648" s="638"/>
      <c r="AZ648" s="638"/>
      <c r="BA648" s="635">
        <f t="shared" ref="BA648:BA681" si="281">(AY648*AZ648)*0.8182</f>
        <v>0</v>
      </c>
      <c r="BB648" s="636"/>
      <c r="BC648" s="636"/>
      <c r="BD648" s="637">
        <f t="shared" ref="BD648:BD681" si="282">(BB648*BC648)*0.8182</f>
        <v>0</v>
      </c>
      <c r="BE648" s="638"/>
      <c r="BF648" s="638"/>
      <c r="BG648" s="635">
        <f t="shared" ref="BG648:BG681" si="283">(BE648*BF648)*0.8182</f>
        <v>0</v>
      </c>
      <c r="BH648" s="636"/>
      <c r="BI648" s="636"/>
      <c r="BJ648" s="637">
        <f t="shared" ref="BJ648:BJ681" si="284">(BH648*BI648)*0.8182</f>
        <v>0</v>
      </c>
      <c r="BK648" s="638"/>
      <c r="BL648" s="638"/>
      <c r="BM648" s="635">
        <f t="shared" ref="BM648:BM681" si="285">(BK648*BL648)*0.8182</f>
        <v>0</v>
      </c>
      <c r="BN648" s="636"/>
      <c r="BO648" s="636"/>
      <c r="BP648" s="637">
        <f t="shared" ref="BP648:BP681" si="286">(BN648*BO648)*0.8182</f>
        <v>0</v>
      </c>
      <c r="BQ648" s="638"/>
      <c r="BR648" s="638"/>
      <c r="BS648" s="635">
        <f t="shared" ref="BS648:BS681" si="287">(BQ648*BR648)*0.8182</f>
        <v>0</v>
      </c>
      <c r="BT648" s="636"/>
      <c r="BU648" s="636"/>
      <c r="BV648" s="637">
        <f t="shared" ref="BV648:BV681" si="288">(BT648*BU648)*0.8182</f>
        <v>0</v>
      </c>
      <c r="BW648" s="638"/>
      <c r="BX648" s="638"/>
      <c r="BY648" s="641">
        <f t="shared" ref="BY648:BY681" si="289">(BW648*BX648)*0.8182</f>
        <v>0</v>
      </c>
    </row>
    <row r="649" spans="1:77" x14ac:dyDescent="0.2">
      <c r="A649" s="400" t="s">
        <v>111</v>
      </c>
      <c r="B649" s="408" t="s">
        <v>835</v>
      </c>
      <c r="C649" s="451"/>
      <c r="D649" s="450">
        <v>233639</v>
      </c>
      <c r="E649" s="452">
        <v>9</v>
      </c>
      <c r="F649" s="631"/>
      <c r="G649" s="632"/>
      <c r="H649" s="633">
        <f t="shared" si="266"/>
        <v>0</v>
      </c>
      <c r="I649" s="634"/>
      <c r="J649" s="634"/>
      <c r="K649" s="635">
        <f t="shared" si="267"/>
        <v>0</v>
      </c>
      <c r="L649" s="636"/>
      <c r="M649" s="636"/>
      <c r="N649" s="637">
        <f t="shared" si="268"/>
        <v>0</v>
      </c>
      <c r="O649" s="638"/>
      <c r="P649" s="638"/>
      <c r="Q649" s="635">
        <f t="shared" si="269"/>
        <v>0</v>
      </c>
      <c r="R649" s="636"/>
      <c r="S649" s="636"/>
      <c r="T649" s="637">
        <f t="shared" si="270"/>
        <v>0</v>
      </c>
      <c r="U649" s="638"/>
      <c r="V649" s="638"/>
      <c r="W649" s="635">
        <f t="shared" si="271"/>
        <v>0</v>
      </c>
      <c r="X649" s="636"/>
      <c r="Y649" s="636"/>
      <c r="Z649" s="637">
        <f t="shared" si="272"/>
        <v>0</v>
      </c>
      <c r="AA649" s="638"/>
      <c r="AB649" s="638"/>
      <c r="AC649" s="635">
        <f t="shared" si="273"/>
        <v>0</v>
      </c>
      <c r="AD649" s="636"/>
      <c r="AE649" s="636"/>
      <c r="AF649" s="637">
        <f t="shared" si="274"/>
        <v>0</v>
      </c>
      <c r="AG649" s="638"/>
      <c r="AH649" s="638"/>
      <c r="AI649" s="635">
        <f t="shared" si="275"/>
        <v>0</v>
      </c>
      <c r="AJ649" s="636"/>
      <c r="AK649" s="636"/>
      <c r="AL649" s="637">
        <f t="shared" si="276"/>
        <v>0</v>
      </c>
      <c r="AM649" s="638"/>
      <c r="AN649" s="638"/>
      <c r="AO649" s="640">
        <f t="shared" si="277"/>
        <v>0</v>
      </c>
      <c r="AP649" s="636"/>
      <c r="AQ649" s="636"/>
      <c r="AR649" s="637">
        <f t="shared" si="278"/>
        <v>0</v>
      </c>
      <c r="AS649" s="638"/>
      <c r="AT649" s="638"/>
      <c r="AU649" s="635">
        <f t="shared" si="279"/>
        <v>0</v>
      </c>
      <c r="AV649" s="636"/>
      <c r="AW649" s="636"/>
      <c r="AX649" s="637">
        <f t="shared" si="280"/>
        <v>0</v>
      </c>
      <c r="AY649" s="638"/>
      <c r="AZ649" s="638"/>
      <c r="BA649" s="635">
        <f t="shared" si="281"/>
        <v>0</v>
      </c>
      <c r="BB649" s="636"/>
      <c r="BC649" s="636"/>
      <c r="BD649" s="637">
        <f t="shared" si="282"/>
        <v>0</v>
      </c>
      <c r="BE649" s="638"/>
      <c r="BF649" s="638"/>
      <c r="BG649" s="635">
        <f t="shared" si="283"/>
        <v>0</v>
      </c>
      <c r="BH649" s="636"/>
      <c r="BI649" s="636"/>
      <c r="BJ649" s="637">
        <f t="shared" si="284"/>
        <v>0</v>
      </c>
      <c r="BK649" s="638"/>
      <c r="BL649" s="638"/>
      <c r="BM649" s="635">
        <f t="shared" si="285"/>
        <v>0</v>
      </c>
      <c r="BN649" s="636"/>
      <c r="BO649" s="636"/>
      <c r="BP649" s="637">
        <f t="shared" si="286"/>
        <v>0</v>
      </c>
      <c r="BQ649" s="638"/>
      <c r="BR649" s="638"/>
      <c r="BS649" s="635">
        <f t="shared" si="287"/>
        <v>0</v>
      </c>
      <c r="BT649" s="636"/>
      <c r="BU649" s="636"/>
      <c r="BV649" s="637">
        <f t="shared" si="288"/>
        <v>0</v>
      </c>
      <c r="BW649" s="638"/>
      <c r="BX649" s="638"/>
      <c r="BY649" s="641">
        <f t="shared" si="289"/>
        <v>0</v>
      </c>
    </row>
    <row r="650" spans="1:77" x14ac:dyDescent="0.2">
      <c r="A650" s="400" t="s">
        <v>111</v>
      </c>
      <c r="B650" s="466" t="s">
        <v>836</v>
      </c>
      <c r="C650" s="451"/>
      <c r="D650" s="450">
        <v>233648</v>
      </c>
      <c r="E650" s="452">
        <v>9</v>
      </c>
      <c r="F650" s="631"/>
      <c r="G650" s="632"/>
      <c r="H650" s="633">
        <f t="shared" si="266"/>
        <v>0</v>
      </c>
      <c r="I650" s="634"/>
      <c r="J650" s="634"/>
      <c r="K650" s="635">
        <f t="shared" si="267"/>
        <v>0</v>
      </c>
      <c r="L650" s="636"/>
      <c r="M650" s="636"/>
      <c r="N650" s="637">
        <f t="shared" si="268"/>
        <v>0</v>
      </c>
      <c r="O650" s="638"/>
      <c r="P650" s="638"/>
      <c r="Q650" s="635">
        <f t="shared" si="269"/>
        <v>0</v>
      </c>
      <c r="R650" s="636"/>
      <c r="S650" s="636"/>
      <c r="T650" s="637">
        <f t="shared" si="270"/>
        <v>0</v>
      </c>
      <c r="U650" s="638"/>
      <c r="V650" s="638"/>
      <c r="W650" s="635">
        <f t="shared" si="271"/>
        <v>0</v>
      </c>
      <c r="X650" s="636"/>
      <c r="Y650" s="636"/>
      <c r="Z650" s="637">
        <f t="shared" si="272"/>
        <v>0</v>
      </c>
      <c r="AA650" s="638"/>
      <c r="AB650" s="638"/>
      <c r="AC650" s="635">
        <f t="shared" si="273"/>
        <v>0</v>
      </c>
      <c r="AD650" s="636"/>
      <c r="AE650" s="636"/>
      <c r="AF650" s="637">
        <f t="shared" si="274"/>
        <v>0</v>
      </c>
      <c r="AG650" s="638"/>
      <c r="AH650" s="638"/>
      <c r="AI650" s="635">
        <f t="shared" si="275"/>
        <v>0</v>
      </c>
      <c r="AJ650" s="636"/>
      <c r="AK650" s="636"/>
      <c r="AL650" s="637">
        <f t="shared" si="276"/>
        <v>0</v>
      </c>
      <c r="AM650" s="638"/>
      <c r="AN650" s="638"/>
      <c r="AO650" s="640">
        <f t="shared" si="277"/>
        <v>0</v>
      </c>
      <c r="AP650" s="636"/>
      <c r="AQ650" s="636"/>
      <c r="AR650" s="637">
        <f t="shared" si="278"/>
        <v>0</v>
      </c>
      <c r="AS650" s="638"/>
      <c r="AT650" s="638"/>
      <c r="AU650" s="635">
        <f t="shared" si="279"/>
        <v>0</v>
      </c>
      <c r="AV650" s="636"/>
      <c r="AW650" s="636"/>
      <c r="AX650" s="637">
        <f t="shared" si="280"/>
        <v>0</v>
      </c>
      <c r="AY650" s="638"/>
      <c r="AZ650" s="638"/>
      <c r="BA650" s="635">
        <f t="shared" si="281"/>
        <v>0</v>
      </c>
      <c r="BB650" s="636"/>
      <c r="BC650" s="636"/>
      <c r="BD650" s="637">
        <f t="shared" si="282"/>
        <v>0</v>
      </c>
      <c r="BE650" s="638"/>
      <c r="BF650" s="638"/>
      <c r="BG650" s="635">
        <f t="shared" si="283"/>
        <v>0</v>
      </c>
      <c r="BH650" s="636"/>
      <c r="BI650" s="636"/>
      <c r="BJ650" s="637">
        <f t="shared" si="284"/>
        <v>0</v>
      </c>
      <c r="BK650" s="638"/>
      <c r="BL650" s="638"/>
      <c r="BM650" s="635">
        <f t="shared" si="285"/>
        <v>0</v>
      </c>
      <c r="BN650" s="636"/>
      <c r="BO650" s="636"/>
      <c r="BP650" s="637">
        <f t="shared" si="286"/>
        <v>0</v>
      </c>
      <c r="BQ650" s="638"/>
      <c r="BR650" s="638"/>
      <c r="BS650" s="635">
        <f t="shared" si="287"/>
        <v>0</v>
      </c>
      <c r="BT650" s="636"/>
      <c r="BU650" s="636"/>
      <c r="BV650" s="637">
        <f t="shared" si="288"/>
        <v>0</v>
      </c>
      <c r="BW650" s="638"/>
      <c r="BX650" s="638"/>
      <c r="BY650" s="641">
        <f t="shared" si="289"/>
        <v>0</v>
      </c>
    </row>
    <row r="651" spans="1:77" x14ac:dyDescent="0.2">
      <c r="A651" s="400" t="s">
        <v>111</v>
      </c>
      <c r="B651" s="405" t="s">
        <v>837</v>
      </c>
      <c r="C651" s="449"/>
      <c r="D651" s="450">
        <v>233949</v>
      </c>
      <c r="E651" s="452">
        <v>9</v>
      </c>
      <c r="F651" s="631"/>
      <c r="G651" s="632"/>
      <c r="H651" s="633">
        <f t="shared" si="266"/>
        <v>0</v>
      </c>
      <c r="I651" s="634"/>
      <c r="J651" s="634"/>
      <c r="K651" s="635">
        <f t="shared" si="267"/>
        <v>0</v>
      </c>
      <c r="L651" s="636"/>
      <c r="M651" s="636"/>
      <c r="N651" s="637">
        <f t="shared" si="268"/>
        <v>0</v>
      </c>
      <c r="O651" s="638"/>
      <c r="P651" s="638"/>
      <c r="Q651" s="635">
        <f t="shared" si="269"/>
        <v>0</v>
      </c>
      <c r="R651" s="636"/>
      <c r="S651" s="636"/>
      <c r="T651" s="637">
        <f t="shared" si="270"/>
        <v>0</v>
      </c>
      <c r="U651" s="638"/>
      <c r="V651" s="638"/>
      <c r="W651" s="635">
        <f t="shared" si="271"/>
        <v>0</v>
      </c>
      <c r="X651" s="636"/>
      <c r="Y651" s="636"/>
      <c r="Z651" s="637">
        <f t="shared" si="272"/>
        <v>0</v>
      </c>
      <c r="AA651" s="638"/>
      <c r="AB651" s="638"/>
      <c r="AC651" s="635">
        <f t="shared" si="273"/>
        <v>0</v>
      </c>
      <c r="AD651" s="636"/>
      <c r="AE651" s="636"/>
      <c r="AF651" s="637">
        <f t="shared" si="274"/>
        <v>0</v>
      </c>
      <c r="AG651" s="638"/>
      <c r="AH651" s="638"/>
      <c r="AI651" s="635">
        <f t="shared" si="275"/>
        <v>0</v>
      </c>
      <c r="AJ651" s="636"/>
      <c r="AK651" s="636"/>
      <c r="AL651" s="637">
        <f t="shared" si="276"/>
        <v>0</v>
      </c>
      <c r="AM651" s="638"/>
      <c r="AN651" s="638"/>
      <c r="AO651" s="640">
        <f t="shared" si="277"/>
        <v>0</v>
      </c>
      <c r="AP651" s="636"/>
      <c r="AQ651" s="636"/>
      <c r="AR651" s="637">
        <f t="shared" si="278"/>
        <v>0</v>
      </c>
      <c r="AS651" s="638"/>
      <c r="AT651" s="638"/>
      <c r="AU651" s="635">
        <f t="shared" si="279"/>
        <v>0</v>
      </c>
      <c r="AV651" s="636"/>
      <c r="AW651" s="636"/>
      <c r="AX651" s="637">
        <f t="shared" si="280"/>
        <v>0</v>
      </c>
      <c r="AY651" s="638"/>
      <c r="AZ651" s="638"/>
      <c r="BA651" s="635">
        <f t="shared" si="281"/>
        <v>0</v>
      </c>
      <c r="BB651" s="636"/>
      <c r="BC651" s="636"/>
      <c r="BD651" s="637">
        <f t="shared" si="282"/>
        <v>0</v>
      </c>
      <c r="BE651" s="638"/>
      <c r="BF651" s="638"/>
      <c r="BG651" s="635">
        <f t="shared" si="283"/>
        <v>0</v>
      </c>
      <c r="BH651" s="636"/>
      <c r="BI651" s="636"/>
      <c r="BJ651" s="637">
        <f t="shared" si="284"/>
        <v>0</v>
      </c>
      <c r="BK651" s="638"/>
      <c r="BL651" s="638"/>
      <c r="BM651" s="635">
        <f t="shared" si="285"/>
        <v>0</v>
      </c>
      <c r="BN651" s="636"/>
      <c r="BO651" s="636"/>
      <c r="BP651" s="637">
        <f t="shared" si="286"/>
        <v>0</v>
      </c>
      <c r="BQ651" s="638"/>
      <c r="BR651" s="638"/>
      <c r="BS651" s="635">
        <f t="shared" si="287"/>
        <v>0</v>
      </c>
      <c r="BT651" s="636"/>
      <c r="BU651" s="636"/>
      <c r="BV651" s="637">
        <f t="shared" si="288"/>
        <v>0</v>
      </c>
      <c r="BW651" s="638"/>
      <c r="BX651" s="638"/>
      <c r="BY651" s="641">
        <f t="shared" si="289"/>
        <v>0</v>
      </c>
    </row>
    <row r="652" spans="1:77" x14ac:dyDescent="0.2">
      <c r="A652" s="400" t="s">
        <v>111</v>
      </c>
      <c r="B652" s="405" t="s">
        <v>845</v>
      </c>
      <c r="C652" s="454" t="s">
        <v>999</v>
      </c>
      <c r="D652" s="450">
        <v>234377</v>
      </c>
      <c r="E652" s="455">
        <v>9</v>
      </c>
      <c r="F652" s="631"/>
      <c r="G652" s="632"/>
      <c r="H652" s="633">
        <f t="shared" si="266"/>
        <v>0</v>
      </c>
      <c r="I652" s="634"/>
      <c r="J652" s="634"/>
      <c r="K652" s="635">
        <f t="shared" si="267"/>
        <v>0</v>
      </c>
      <c r="L652" s="636"/>
      <c r="M652" s="636"/>
      <c r="N652" s="637">
        <f t="shared" si="268"/>
        <v>0</v>
      </c>
      <c r="O652" s="638"/>
      <c r="P652" s="638"/>
      <c r="Q652" s="635">
        <f t="shared" si="269"/>
        <v>0</v>
      </c>
      <c r="R652" s="636"/>
      <c r="S652" s="636"/>
      <c r="T652" s="637">
        <f t="shared" si="270"/>
        <v>0</v>
      </c>
      <c r="U652" s="638"/>
      <c r="V652" s="638"/>
      <c r="W652" s="635">
        <f t="shared" si="271"/>
        <v>0</v>
      </c>
      <c r="X652" s="636"/>
      <c r="Y652" s="636"/>
      <c r="Z652" s="637">
        <f t="shared" si="272"/>
        <v>0</v>
      </c>
      <c r="AA652" s="638"/>
      <c r="AB652" s="638"/>
      <c r="AC652" s="635">
        <f t="shared" si="273"/>
        <v>0</v>
      </c>
      <c r="AD652" s="636"/>
      <c r="AE652" s="636"/>
      <c r="AF652" s="637">
        <f t="shared" si="274"/>
        <v>0</v>
      </c>
      <c r="AG652" s="638"/>
      <c r="AH652" s="638"/>
      <c r="AI652" s="635">
        <f t="shared" si="275"/>
        <v>0</v>
      </c>
      <c r="AJ652" s="636"/>
      <c r="AK652" s="636"/>
      <c r="AL652" s="637">
        <f t="shared" si="276"/>
        <v>0</v>
      </c>
      <c r="AM652" s="638"/>
      <c r="AN652" s="638"/>
      <c r="AO652" s="640">
        <f t="shared" si="277"/>
        <v>0</v>
      </c>
      <c r="AP652" s="636"/>
      <c r="AQ652" s="636"/>
      <c r="AR652" s="637">
        <f t="shared" si="278"/>
        <v>0</v>
      </c>
      <c r="AS652" s="638"/>
      <c r="AT652" s="638"/>
      <c r="AU652" s="635">
        <f t="shared" si="279"/>
        <v>0</v>
      </c>
      <c r="AV652" s="636"/>
      <c r="AW652" s="636"/>
      <c r="AX652" s="637">
        <f t="shared" si="280"/>
        <v>0</v>
      </c>
      <c r="AY652" s="638"/>
      <c r="AZ652" s="638"/>
      <c r="BA652" s="635">
        <f t="shared" si="281"/>
        <v>0</v>
      </c>
      <c r="BB652" s="636"/>
      <c r="BC652" s="636"/>
      <c r="BD652" s="637">
        <f t="shared" si="282"/>
        <v>0</v>
      </c>
      <c r="BE652" s="638"/>
      <c r="BF652" s="638"/>
      <c r="BG652" s="635">
        <f t="shared" si="283"/>
        <v>0</v>
      </c>
      <c r="BH652" s="636"/>
      <c r="BI652" s="636"/>
      <c r="BJ652" s="637">
        <f t="shared" si="284"/>
        <v>0</v>
      </c>
      <c r="BK652" s="638"/>
      <c r="BL652" s="638"/>
      <c r="BM652" s="635">
        <f t="shared" si="285"/>
        <v>0</v>
      </c>
      <c r="BN652" s="636"/>
      <c r="BO652" s="636"/>
      <c r="BP652" s="637">
        <f t="shared" si="286"/>
        <v>0</v>
      </c>
      <c r="BQ652" s="638"/>
      <c r="BR652" s="638"/>
      <c r="BS652" s="635">
        <f t="shared" si="287"/>
        <v>0</v>
      </c>
      <c r="BT652" s="636"/>
      <c r="BU652" s="636"/>
      <c r="BV652" s="637">
        <f t="shared" si="288"/>
        <v>0</v>
      </c>
      <c r="BW652" s="638"/>
      <c r="BX652" s="638"/>
      <c r="BY652" s="641">
        <f t="shared" si="289"/>
        <v>0</v>
      </c>
    </row>
    <row r="653" spans="1:77" x14ac:dyDescent="0.2">
      <c r="A653" s="400" t="s">
        <v>111</v>
      </c>
      <c r="B653" s="405" t="s">
        <v>838</v>
      </c>
      <c r="C653" s="449"/>
      <c r="D653" s="450">
        <v>231873</v>
      </c>
      <c r="E653" s="452">
        <v>10</v>
      </c>
      <c r="F653" s="631"/>
      <c r="G653" s="632"/>
      <c r="H653" s="633">
        <f t="shared" si="266"/>
        <v>0</v>
      </c>
      <c r="I653" s="634"/>
      <c r="J653" s="634"/>
      <c r="K653" s="635">
        <f t="shared" si="267"/>
        <v>0</v>
      </c>
      <c r="L653" s="636"/>
      <c r="M653" s="636"/>
      <c r="N653" s="637">
        <f t="shared" si="268"/>
        <v>0</v>
      </c>
      <c r="O653" s="638"/>
      <c r="P653" s="638"/>
      <c r="Q653" s="635">
        <f t="shared" si="269"/>
        <v>0</v>
      </c>
      <c r="R653" s="636"/>
      <c r="S653" s="636"/>
      <c r="T653" s="637">
        <f t="shared" si="270"/>
        <v>0</v>
      </c>
      <c r="U653" s="638"/>
      <c r="V653" s="638"/>
      <c r="W653" s="635">
        <f t="shared" si="271"/>
        <v>0</v>
      </c>
      <c r="X653" s="636"/>
      <c r="Y653" s="636"/>
      <c r="Z653" s="637">
        <f t="shared" si="272"/>
        <v>0</v>
      </c>
      <c r="AA653" s="638"/>
      <c r="AB653" s="638"/>
      <c r="AC653" s="635">
        <f t="shared" si="273"/>
        <v>0</v>
      </c>
      <c r="AD653" s="636"/>
      <c r="AE653" s="636"/>
      <c r="AF653" s="637">
        <f t="shared" si="274"/>
        <v>0</v>
      </c>
      <c r="AG653" s="638"/>
      <c r="AH653" s="638"/>
      <c r="AI653" s="635">
        <f t="shared" si="275"/>
        <v>0</v>
      </c>
      <c r="AJ653" s="636"/>
      <c r="AK653" s="636"/>
      <c r="AL653" s="637">
        <f t="shared" si="276"/>
        <v>0</v>
      </c>
      <c r="AM653" s="638"/>
      <c r="AN653" s="638"/>
      <c r="AO653" s="640">
        <f t="shared" si="277"/>
        <v>0</v>
      </c>
      <c r="AP653" s="636"/>
      <c r="AQ653" s="636"/>
      <c r="AR653" s="637">
        <f t="shared" si="278"/>
        <v>0</v>
      </c>
      <c r="AS653" s="638"/>
      <c r="AT653" s="638"/>
      <c r="AU653" s="635">
        <f t="shared" si="279"/>
        <v>0</v>
      </c>
      <c r="AV653" s="636"/>
      <c r="AW653" s="636"/>
      <c r="AX653" s="637">
        <f t="shared" si="280"/>
        <v>0</v>
      </c>
      <c r="AY653" s="638"/>
      <c r="AZ653" s="638"/>
      <c r="BA653" s="635">
        <f t="shared" si="281"/>
        <v>0</v>
      </c>
      <c r="BB653" s="636"/>
      <c r="BC653" s="636"/>
      <c r="BD653" s="637">
        <f t="shared" si="282"/>
        <v>0</v>
      </c>
      <c r="BE653" s="638"/>
      <c r="BF653" s="638"/>
      <c r="BG653" s="635">
        <f t="shared" si="283"/>
        <v>0</v>
      </c>
      <c r="BH653" s="636"/>
      <c r="BI653" s="636"/>
      <c r="BJ653" s="637">
        <f t="shared" si="284"/>
        <v>0</v>
      </c>
      <c r="BK653" s="638"/>
      <c r="BL653" s="638"/>
      <c r="BM653" s="635">
        <f t="shared" si="285"/>
        <v>0</v>
      </c>
      <c r="BN653" s="636"/>
      <c r="BO653" s="636"/>
      <c r="BP653" s="637">
        <f t="shared" si="286"/>
        <v>0</v>
      </c>
      <c r="BQ653" s="638"/>
      <c r="BR653" s="638"/>
      <c r="BS653" s="635">
        <f t="shared" si="287"/>
        <v>0</v>
      </c>
      <c r="BT653" s="636"/>
      <c r="BU653" s="636"/>
      <c r="BV653" s="637">
        <f t="shared" si="288"/>
        <v>0</v>
      </c>
      <c r="BW653" s="638"/>
      <c r="BX653" s="638"/>
      <c r="BY653" s="641">
        <f t="shared" si="289"/>
        <v>0</v>
      </c>
    </row>
    <row r="654" spans="1:77" x14ac:dyDescent="0.2">
      <c r="A654" s="400" t="s">
        <v>111</v>
      </c>
      <c r="B654" s="466" t="s">
        <v>839</v>
      </c>
      <c r="C654" s="449"/>
      <c r="D654" s="450">
        <v>232052</v>
      </c>
      <c r="E654" s="452">
        <v>10</v>
      </c>
      <c r="F654" s="631"/>
      <c r="G654" s="632"/>
      <c r="H654" s="633">
        <f t="shared" si="266"/>
        <v>0</v>
      </c>
      <c r="I654" s="634"/>
      <c r="J654" s="634"/>
      <c r="K654" s="635">
        <f t="shared" si="267"/>
        <v>0</v>
      </c>
      <c r="L654" s="636"/>
      <c r="M654" s="636"/>
      <c r="N654" s="637">
        <f t="shared" si="268"/>
        <v>0</v>
      </c>
      <c r="O654" s="638"/>
      <c r="P654" s="638"/>
      <c r="Q654" s="635">
        <f t="shared" si="269"/>
        <v>0</v>
      </c>
      <c r="R654" s="636"/>
      <c r="S654" s="636"/>
      <c r="T654" s="637">
        <f t="shared" si="270"/>
        <v>0</v>
      </c>
      <c r="U654" s="638"/>
      <c r="V654" s="638"/>
      <c r="W654" s="635">
        <f t="shared" si="271"/>
        <v>0</v>
      </c>
      <c r="X654" s="636"/>
      <c r="Y654" s="636"/>
      <c r="Z654" s="637">
        <f t="shared" si="272"/>
        <v>0</v>
      </c>
      <c r="AA654" s="638"/>
      <c r="AB654" s="638"/>
      <c r="AC654" s="635">
        <f t="shared" si="273"/>
        <v>0</v>
      </c>
      <c r="AD654" s="636"/>
      <c r="AE654" s="636"/>
      <c r="AF654" s="637">
        <f t="shared" si="274"/>
        <v>0</v>
      </c>
      <c r="AG654" s="638"/>
      <c r="AH654" s="638"/>
      <c r="AI654" s="635">
        <f t="shared" si="275"/>
        <v>0</v>
      </c>
      <c r="AJ654" s="636"/>
      <c r="AK654" s="636"/>
      <c r="AL654" s="637">
        <f t="shared" si="276"/>
        <v>0</v>
      </c>
      <c r="AM654" s="638"/>
      <c r="AN654" s="638"/>
      <c r="AO654" s="640">
        <f t="shared" si="277"/>
        <v>0</v>
      </c>
      <c r="AP654" s="636"/>
      <c r="AQ654" s="636"/>
      <c r="AR654" s="637">
        <f t="shared" si="278"/>
        <v>0</v>
      </c>
      <c r="AS654" s="638"/>
      <c r="AT654" s="638"/>
      <c r="AU654" s="635">
        <f t="shared" si="279"/>
        <v>0</v>
      </c>
      <c r="AV654" s="636"/>
      <c r="AW654" s="636"/>
      <c r="AX654" s="637">
        <f t="shared" si="280"/>
        <v>0</v>
      </c>
      <c r="AY654" s="638"/>
      <c r="AZ654" s="638"/>
      <c r="BA654" s="635">
        <f t="shared" si="281"/>
        <v>0</v>
      </c>
      <c r="BB654" s="636"/>
      <c r="BC654" s="636"/>
      <c r="BD654" s="637">
        <f t="shared" si="282"/>
        <v>0</v>
      </c>
      <c r="BE654" s="638"/>
      <c r="BF654" s="638"/>
      <c r="BG654" s="635">
        <f t="shared" si="283"/>
        <v>0</v>
      </c>
      <c r="BH654" s="636"/>
      <c r="BI654" s="636"/>
      <c r="BJ654" s="637">
        <f t="shared" si="284"/>
        <v>0</v>
      </c>
      <c r="BK654" s="638"/>
      <c r="BL654" s="638"/>
      <c r="BM654" s="635">
        <f t="shared" si="285"/>
        <v>0</v>
      </c>
      <c r="BN654" s="636"/>
      <c r="BO654" s="636"/>
      <c r="BP654" s="637">
        <f t="shared" si="286"/>
        <v>0</v>
      </c>
      <c r="BQ654" s="638"/>
      <c r="BR654" s="638"/>
      <c r="BS654" s="635">
        <f t="shared" si="287"/>
        <v>0</v>
      </c>
      <c r="BT654" s="636"/>
      <c r="BU654" s="636"/>
      <c r="BV654" s="637">
        <f t="shared" si="288"/>
        <v>0</v>
      </c>
      <c r="BW654" s="638"/>
      <c r="BX654" s="638"/>
      <c r="BY654" s="641">
        <f t="shared" si="289"/>
        <v>0</v>
      </c>
    </row>
    <row r="655" spans="1:77" x14ac:dyDescent="0.2">
      <c r="A655" s="400" t="s">
        <v>111</v>
      </c>
      <c r="B655" s="405" t="s">
        <v>840</v>
      </c>
      <c r="C655" s="449" t="s">
        <v>328</v>
      </c>
      <c r="D655" s="450">
        <v>232788</v>
      </c>
      <c r="E655" s="452">
        <v>10</v>
      </c>
      <c r="F655" s="631"/>
      <c r="G655" s="632"/>
      <c r="H655" s="633">
        <f t="shared" si="266"/>
        <v>0</v>
      </c>
      <c r="I655" s="634"/>
      <c r="J655" s="634"/>
      <c r="K655" s="635">
        <f t="shared" si="267"/>
        <v>0</v>
      </c>
      <c r="L655" s="636"/>
      <c r="M655" s="636"/>
      <c r="N655" s="637">
        <f t="shared" si="268"/>
        <v>0</v>
      </c>
      <c r="O655" s="638"/>
      <c r="P655" s="638"/>
      <c r="Q655" s="635">
        <f t="shared" si="269"/>
        <v>0</v>
      </c>
      <c r="R655" s="636"/>
      <c r="S655" s="636"/>
      <c r="T655" s="637">
        <f t="shared" si="270"/>
        <v>0</v>
      </c>
      <c r="U655" s="638"/>
      <c r="V655" s="638"/>
      <c r="W655" s="635">
        <f t="shared" si="271"/>
        <v>0</v>
      </c>
      <c r="X655" s="636"/>
      <c r="Y655" s="636"/>
      <c r="Z655" s="637">
        <f t="shared" si="272"/>
        <v>0</v>
      </c>
      <c r="AA655" s="638"/>
      <c r="AB655" s="638"/>
      <c r="AC655" s="635">
        <f t="shared" si="273"/>
        <v>0</v>
      </c>
      <c r="AD655" s="636"/>
      <c r="AE655" s="636"/>
      <c r="AF655" s="637">
        <f t="shared" si="274"/>
        <v>0</v>
      </c>
      <c r="AG655" s="638"/>
      <c r="AH655" s="638"/>
      <c r="AI655" s="635">
        <f t="shared" si="275"/>
        <v>0</v>
      </c>
      <c r="AJ655" s="636"/>
      <c r="AK655" s="636"/>
      <c r="AL655" s="637">
        <f t="shared" si="276"/>
        <v>0</v>
      </c>
      <c r="AM655" s="638"/>
      <c r="AN655" s="638"/>
      <c r="AO655" s="640">
        <f t="shared" si="277"/>
        <v>0</v>
      </c>
      <c r="AP655" s="636"/>
      <c r="AQ655" s="636"/>
      <c r="AR655" s="637">
        <f t="shared" si="278"/>
        <v>0</v>
      </c>
      <c r="AS655" s="638"/>
      <c r="AT655" s="638"/>
      <c r="AU655" s="635">
        <f t="shared" si="279"/>
        <v>0</v>
      </c>
      <c r="AV655" s="636"/>
      <c r="AW655" s="636"/>
      <c r="AX655" s="637">
        <f t="shared" si="280"/>
        <v>0</v>
      </c>
      <c r="AY655" s="638"/>
      <c r="AZ655" s="638"/>
      <c r="BA655" s="635">
        <f t="shared" si="281"/>
        <v>0</v>
      </c>
      <c r="BB655" s="636"/>
      <c r="BC655" s="636"/>
      <c r="BD655" s="637">
        <f t="shared" si="282"/>
        <v>0</v>
      </c>
      <c r="BE655" s="638"/>
      <c r="BF655" s="638"/>
      <c r="BG655" s="635">
        <f t="shared" si="283"/>
        <v>0</v>
      </c>
      <c r="BH655" s="636"/>
      <c r="BI655" s="636"/>
      <c r="BJ655" s="637">
        <f t="shared" si="284"/>
        <v>0</v>
      </c>
      <c r="BK655" s="638"/>
      <c r="BL655" s="638"/>
      <c r="BM655" s="635">
        <f t="shared" si="285"/>
        <v>0</v>
      </c>
      <c r="BN655" s="636"/>
      <c r="BO655" s="636"/>
      <c r="BP655" s="637">
        <f t="shared" si="286"/>
        <v>0</v>
      </c>
      <c r="BQ655" s="638"/>
      <c r="BR655" s="638"/>
      <c r="BS655" s="635">
        <f t="shared" si="287"/>
        <v>0</v>
      </c>
      <c r="BT655" s="636"/>
      <c r="BU655" s="636"/>
      <c r="BV655" s="637">
        <f t="shared" si="288"/>
        <v>0</v>
      </c>
      <c r="BW655" s="638"/>
      <c r="BX655" s="638"/>
      <c r="BY655" s="641">
        <f t="shared" si="289"/>
        <v>0</v>
      </c>
    </row>
    <row r="656" spans="1:77" x14ac:dyDescent="0.2">
      <c r="A656" s="400" t="s">
        <v>111</v>
      </c>
      <c r="B656" s="408" t="s">
        <v>842</v>
      </c>
      <c r="C656" s="449"/>
      <c r="D656" s="450">
        <v>233037</v>
      </c>
      <c r="E656" s="452">
        <v>10</v>
      </c>
      <c r="F656" s="631"/>
      <c r="G656" s="632"/>
      <c r="H656" s="633">
        <f t="shared" si="266"/>
        <v>0</v>
      </c>
      <c r="I656" s="634"/>
      <c r="J656" s="634"/>
      <c r="K656" s="635">
        <f t="shared" si="267"/>
        <v>0</v>
      </c>
      <c r="L656" s="636"/>
      <c r="M656" s="636"/>
      <c r="N656" s="637">
        <f t="shared" si="268"/>
        <v>0</v>
      </c>
      <c r="O656" s="638"/>
      <c r="P656" s="638"/>
      <c r="Q656" s="635">
        <f t="shared" si="269"/>
        <v>0</v>
      </c>
      <c r="R656" s="636"/>
      <c r="S656" s="636"/>
      <c r="T656" s="637">
        <f t="shared" si="270"/>
        <v>0</v>
      </c>
      <c r="U656" s="638"/>
      <c r="V656" s="638"/>
      <c r="W656" s="635">
        <f t="shared" si="271"/>
        <v>0</v>
      </c>
      <c r="X656" s="636"/>
      <c r="Y656" s="636"/>
      <c r="Z656" s="637">
        <f t="shared" si="272"/>
        <v>0</v>
      </c>
      <c r="AA656" s="638"/>
      <c r="AB656" s="638"/>
      <c r="AC656" s="635">
        <f t="shared" si="273"/>
        <v>0</v>
      </c>
      <c r="AD656" s="636"/>
      <c r="AE656" s="636"/>
      <c r="AF656" s="637">
        <f t="shared" si="274"/>
        <v>0</v>
      </c>
      <c r="AG656" s="638"/>
      <c r="AH656" s="638"/>
      <c r="AI656" s="635">
        <f t="shared" si="275"/>
        <v>0</v>
      </c>
      <c r="AJ656" s="636"/>
      <c r="AK656" s="636"/>
      <c r="AL656" s="637">
        <f t="shared" si="276"/>
        <v>0</v>
      </c>
      <c r="AM656" s="638"/>
      <c r="AN656" s="638"/>
      <c r="AO656" s="640">
        <f t="shared" si="277"/>
        <v>0</v>
      </c>
      <c r="AP656" s="636"/>
      <c r="AQ656" s="636"/>
      <c r="AR656" s="637">
        <f t="shared" si="278"/>
        <v>0</v>
      </c>
      <c r="AS656" s="638"/>
      <c r="AT656" s="638"/>
      <c r="AU656" s="635">
        <f t="shared" si="279"/>
        <v>0</v>
      </c>
      <c r="AV656" s="636"/>
      <c r="AW656" s="636"/>
      <c r="AX656" s="637">
        <f t="shared" si="280"/>
        <v>0</v>
      </c>
      <c r="AY656" s="638"/>
      <c r="AZ656" s="638"/>
      <c r="BA656" s="635">
        <f t="shared" si="281"/>
        <v>0</v>
      </c>
      <c r="BB656" s="636"/>
      <c r="BC656" s="636"/>
      <c r="BD656" s="637">
        <f t="shared" si="282"/>
        <v>0</v>
      </c>
      <c r="BE656" s="638"/>
      <c r="BF656" s="638"/>
      <c r="BG656" s="635">
        <f t="shared" si="283"/>
        <v>0</v>
      </c>
      <c r="BH656" s="636"/>
      <c r="BI656" s="636"/>
      <c r="BJ656" s="637">
        <f t="shared" si="284"/>
        <v>0</v>
      </c>
      <c r="BK656" s="638"/>
      <c r="BL656" s="638"/>
      <c r="BM656" s="635">
        <f t="shared" si="285"/>
        <v>0</v>
      </c>
      <c r="BN656" s="636"/>
      <c r="BO656" s="636"/>
      <c r="BP656" s="637">
        <f t="shared" si="286"/>
        <v>0</v>
      </c>
      <c r="BQ656" s="638"/>
      <c r="BR656" s="638"/>
      <c r="BS656" s="635">
        <f t="shared" si="287"/>
        <v>0</v>
      </c>
      <c r="BT656" s="636"/>
      <c r="BU656" s="636"/>
      <c r="BV656" s="637">
        <f t="shared" si="288"/>
        <v>0</v>
      </c>
      <c r="BW656" s="638"/>
      <c r="BX656" s="638"/>
      <c r="BY656" s="641">
        <f t="shared" si="289"/>
        <v>0</v>
      </c>
    </row>
    <row r="657" spans="1:77" x14ac:dyDescent="0.2">
      <c r="A657" s="400" t="s">
        <v>111</v>
      </c>
      <c r="B657" s="408" t="s">
        <v>843</v>
      </c>
      <c r="C657" s="449" t="s">
        <v>391</v>
      </c>
      <c r="D657" s="453">
        <v>233310</v>
      </c>
      <c r="E657" s="452">
        <v>10</v>
      </c>
      <c r="F657" s="631"/>
      <c r="G657" s="632"/>
      <c r="H657" s="633">
        <f t="shared" si="266"/>
        <v>0</v>
      </c>
      <c r="I657" s="634"/>
      <c r="J657" s="634"/>
      <c r="K657" s="635">
        <f t="shared" si="267"/>
        <v>0</v>
      </c>
      <c r="L657" s="636"/>
      <c r="M657" s="636"/>
      <c r="N657" s="637">
        <f t="shared" si="268"/>
        <v>0</v>
      </c>
      <c r="O657" s="638"/>
      <c r="P657" s="638"/>
      <c r="Q657" s="635">
        <f t="shared" si="269"/>
        <v>0</v>
      </c>
      <c r="R657" s="636"/>
      <c r="S657" s="636"/>
      <c r="T657" s="637">
        <f t="shared" si="270"/>
        <v>0</v>
      </c>
      <c r="U657" s="638"/>
      <c r="V657" s="638"/>
      <c r="W657" s="635">
        <f t="shared" si="271"/>
        <v>0</v>
      </c>
      <c r="X657" s="636"/>
      <c r="Y657" s="636"/>
      <c r="Z657" s="637">
        <f t="shared" si="272"/>
        <v>0</v>
      </c>
      <c r="AA657" s="638"/>
      <c r="AB657" s="638"/>
      <c r="AC657" s="635">
        <f t="shared" si="273"/>
        <v>0</v>
      </c>
      <c r="AD657" s="636"/>
      <c r="AE657" s="636"/>
      <c r="AF657" s="637">
        <f t="shared" si="274"/>
        <v>0</v>
      </c>
      <c r="AG657" s="638"/>
      <c r="AH657" s="638"/>
      <c r="AI657" s="635">
        <f t="shared" si="275"/>
        <v>0</v>
      </c>
      <c r="AJ657" s="636"/>
      <c r="AK657" s="636"/>
      <c r="AL657" s="637">
        <f t="shared" si="276"/>
        <v>0</v>
      </c>
      <c r="AM657" s="638"/>
      <c r="AN657" s="638"/>
      <c r="AO657" s="640">
        <f t="shared" si="277"/>
        <v>0</v>
      </c>
      <c r="AP657" s="636"/>
      <c r="AQ657" s="636"/>
      <c r="AR657" s="637">
        <f t="shared" si="278"/>
        <v>0</v>
      </c>
      <c r="AS657" s="638"/>
      <c r="AT657" s="638"/>
      <c r="AU657" s="635">
        <f t="shared" si="279"/>
        <v>0</v>
      </c>
      <c r="AV657" s="636"/>
      <c r="AW657" s="636"/>
      <c r="AX657" s="637">
        <f t="shared" si="280"/>
        <v>0</v>
      </c>
      <c r="AY657" s="638"/>
      <c r="AZ657" s="638"/>
      <c r="BA657" s="635">
        <f t="shared" si="281"/>
        <v>0</v>
      </c>
      <c r="BB657" s="636"/>
      <c r="BC657" s="636"/>
      <c r="BD657" s="637">
        <f t="shared" si="282"/>
        <v>0</v>
      </c>
      <c r="BE657" s="638"/>
      <c r="BF657" s="638"/>
      <c r="BG657" s="635">
        <f t="shared" si="283"/>
        <v>0</v>
      </c>
      <c r="BH657" s="636"/>
      <c r="BI657" s="636"/>
      <c r="BJ657" s="637">
        <f t="shared" si="284"/>
        <v>0</v>
      </c>
      <c r="BK657" s="638"/>
      <c r="BL657" s="638"/>
      <c r="BM657" s="635">
        <f t="shared" si="285"/>
        <v>0</v>
      </c>
      <c r="BN657" s="636"/>
      <c r="BO657" s="636"/>
      <c r="BP657" s="637">
        <f t="shared" si="286"/>
        <v>0</v>
      </c>
      <c r="BQ657" s="638"/>
      <c r="BR657" s="638"/>
      <c r="BS657" s="635">
        <f t="shared" si="287"/>
        <v>0</v>
      </c>
      <c r="BT657" s="636"/>
      <c r="BU657" s="636"/>
      <c r="BV657" s="637">
        <f t="shared" si="288"/>
        <v>0</v>
      </c>
      <c r="BW657" s="638"/>
      <c r="BX657" s="638"/>
      <c r="BY657" s="641">
        <f t="shared" si="289"/>
        <v>0</v>
      </c>
    </row>
    <row r="658" spans="1:77" x14ac:dyDescent="0.2">
      <c r="A658" s="400" t="s">
        <v>111</v>
      </c>
      <c r="B658" s="466" t="s">
        <v>846</v>
      </c>
      <c r="C658" s="471"/>
      <c r="D658" s="465">
        <v>233338</v>
      </c>
      <c r="E658" s="473">
        <v>10</v>
      </c>
      <c r="F658" s="631">
        <v>9</v>
      </c>
      <c r="G658" s="632">
        <v>68644</v>
      </c>
      <c r="H658" s="633">
        <f t="shared" si="266"/>
        <v>617796</v>
      </c>
      <c r="I658" s="634">
        <v>11</v>
      </c>
      <c r="J658" s="634">
        <v>67085</v>
      </c>
      <c r="K658" s="635">
        <f t="shared" si="267"/>
        <v>737935</v>
      </c>
      <c r="L658" s="636">
        <v>13</v>
      </c>
      <c r="M658" s="636">
        <v>52611</v>
      </c>
      <c r="N658" s="637">
        <f t="shared" si="268"/>
        <v>683943</v>
      </c>
      <c r="O658" s="638">
        <v>13</v>
      </c>
      <c r="P658" s="638">
        <v>54003</v>
      </c>
      <c r="Q658" s="635">
        <f t="shared" si="269"/>
        <v>702039</v>
      </c>
      <c r="R658" s="636">
        <v>11</v>
      </c>
      <c r="S658" s="636">
        <v>44964</v>
      </c>
      <c r="T658" s="637">
        <f t="shared" si="270"/>
        <v>494604</v>
      </c>
      <c r="U658" s="638">
        <v>10</v>
      </c>
      <c r="V658" s="638">
        <v>46268</v>
      </c>
      <c r="W658" s="635">
        <f t="shared" si="271"/>
        <v>462680</v>
      </c>
      <c r="X658" s="636"/>
      <c r="Y658" s="636"/>
      <c r="Z658" s="637">
        <f t="shared" si="272"/>
        <v>0</v>
      </c>
      <c r="AA658" s="638"/>
      <c r="AB658" s="638"/>
      <c r="AC658" s="635">
        <f t="shared" si="273"/>
        <v>0</v>
      </c>
      <c r="AD658" s="636"/>
      <c r="AE658" s="636"/>
      <c r="AF658" s="637">
        <f t="shared" si="274"/>
        <v>0</v>
      </c>
      <c r="AG658" s="638"/>
      <c r="AH658" s="638"/>
      <c r="AI658" s="635">
        <f t="shared" si="275"/>
        <v>0</v>
      </c>
      <c r="AJ658" s="636"/>
      <c r="AK658" s="636"/>
      <c r="AL658" s="637">
        <f t="shared" si="276"/>
        <v>0</v>
      </c>
      <c r="AM658" s="638"/>
      <c r="AN658" s="638"/>
      <c r="AO658" s="640">
        <f t="shared" si="277"/>
        <v>0</v>
      </c>
      <c r="AP658" s="636"/>
      <c r="AQ658" s="636"/>
      <c r="AR658" s="637">
        <f t="shared" si="278"/>
        <v>0</v>
      </c>
      <c r="AS658" s="638"/>
      <c r="AT658" s="638"/>
      <c r="AU658" s="635">
        <f t="shared" si="279"/>
        <v>0</v>
      </c>
      <c r="AV658" s="636"/>
      <c r="AW658" s="636"/>
      <c r="AX658" s="637">
        <f t="shared" si="280"/>
        <v>0</v>
      </c>
      <c r="AY658" s="638"/>
      <c r="AZ658" s="638"/>
      <c r="BA658" s="635">
        <f t="shared" si="281"/>
        <v>0</v>
      </c>
      <c r="BB658" s="636"/>
      <c r="BC658" s="636"/>
      <c r="BD658" s="637">
        <f t="shared" si="282"/>
        <v>0</v>
      </c>
      <c r="BE658" s="638"/>
      <c r="BF658" s="638"/>
      <c r="BG658" s="635">
        <f t="shared" si="283"/>
        <v>0</v>
      </c>
      <c r="BH658" s="636"/>
      <c r="BI658" s="636"/>
      <c r="BJ658" s="637">
        <f t="shared" si="284"/>
        <v>0</v>
      </c>
      <c r="BK658" s="638"/>
      <c r="BL658" s="638"/>
      <c r="BM658" s="635">
        <f t="shared" si="285"/>
        <v>0</v>
      </c>
      <c r="BN658" s="636"/>
      <c r="BO658" s="636"/>
      <c r="BP658" s="637">
        <f t="shared" si="286"/>
        <v>0</v>
      </c>
      <c r="BQ658" s="638"/>
      <c r="BR658" s="638"/>
      <c r="BS658" s="635">
        <f t="shared" si="287"/>
        <v>0</v>
      </c>
      <c r="BT658" s="636"/>
      <c r="BU658" s="636"/>
      <c r="BV658" s="637">
        <f t="shared" si="288"/>
        <v>0</v>
      </c>
      <c r="BW658" s="638"/>
      <c r="BX658" s="638"/>
      <c r="BY658" s="641">
        <f t="shared" si="289"/>
        <v>0</v>
      </c>
    </row>
    <row r="659" spans="1:77" x14ac:dyDescent="0.2">
      <c r="A659" s="400" t="s">
        <v>111</v>
      </c>
      <c r="B659" s="408" t="s">
        <v>844</v>
      </c>
      <c r="C659" s="409"/>
      <c r="D659" s="400">
        <v>233903</v>
      </c>
      <c r="E659" s="410">
        <v>10</v>
      </c>
      <c r="F659" s="631"/>
      <c r="G659" s="632"/>
      <c r="H659" s="633">
        <f t="shared" si="266"/>
        <v>0</v>
      </c>
      <c r="I659" s="634"/>
      <c r="J659" s="634"/>
      <c r="K659" s="635">
        <f t="shared" si="267"/>
        <v>0</v>
      </c>
      <c r="L659" s="636"/>
      <c r="M659" s="636"/>
      <c r="N659" s="637">
        <f t="shared" si="268"/>
        <v>0</v>
      </c>
      <c r="O659" s="638"/>
      <c r="P659" s="638"/>
      <c r="Q659" s="635">
        <f t="shared" si="269"/>
        <v>0</v>
      </c>
      <c r="R659" s="636"/>
      <c r="S659" s="636"/>
      <c r="T659" s="637">
        <f t="shared" si="270"/>
        <v>0</v>
      </c>
      <c r="U659" s="638"/>
      <c r="V659" s="638"/>
      <c r="W659" s="635">
        <f t="shared" si="271"/>
        <v>0</v>
      </c>
      <c r="X659" s="636"/>
      <c r="Y659" s="636"/>
      <c r="Z659" s="637">
        <f t="shared" si="272"/>
        <v>0</v>
      </c>
      <c r="AA659" s="638"/>
      <c r="AB659" s="638"/>
      <c r="AC659" s="635">
        <f t="shared" si="273"/>
        <v>0</v>
      </c>
      <c r="AD659" s="636"/>
      <c r="AE659" s="636"/>
      <c r="AF659" s="637">
        <f t="shared" si="274"/>
        <v>0</v>
      </c>
      <c r="AG659" s="638"/>
      <c r="AH659" s="638"/>
      <c r="AI659" s="635">
        <f t="shared" si="275"/>
        <v>0</v>
      </c>
      <c r="AJ659" s="636"/>
      <c r="AK659" s="636"/>
      <c r="AL659" s="637">
        <f t="shared" si="276"/>
        <v>0</v>
      </c>
      <c r="AM659" s="638"/>
      <c r="AN659" s="638"/>
      <c r="AO659" s="640">
        <f t="shared" si="277"/>
        <v>0</v>
      </c>
      <c r="AP659" s="636"/>
      <c r="AQ659" s="636"/>
      <c r="AR659" s="637">
        <f t="shared" si="278"/>
        <v>0</v>
      </c>
      <c r="AS659" s="638"/>
      <c r="AT659" s="638"/>
      <c r="AU659" s="635">
        <f t="shared" si="279"/>
        <v>0</v>
      </c>
      <c r="AV659" s="636"/>
      <c r="AW659" s="636"/>
      <c r="AX659" s="637">
        <f t="shared" si="280"/>
        <v>0</v>
      </c>
      <c r="AY659" s="638"/>
      <c r="AZ659" s="638"/>
      <c r="BA659" s="635">
        <f t="shared" si="281"/>
        <v>0</v>
      </c>
      <c r="BB659" s="636"/>
      <c r="BC659" s="636"/>
      <c r="BD659" s="637">
        <f t="shared" si="282"/>
        <v>0</v>
      </c>
      <c r="BE659" s="638"/>
      <c r="BF659" s="638"/>
      <c r="BG659" s="635">
        <f t="shared" si="283"/>
        <v>0</v>
      </c>
      <c r="BH659" s="636"/>
      <c r="BI659" s="636"/>
      <c r="BJ659" s="637">
        <f t="shared" si="284"/>
        <v>0</v>
      </c>
      <c r="BK659" s="638"/>
      <c r="BL659" s="638"/>
      <c r="BM659" s="635">
        <f t="shared" si="285"/>
        <v>0</v>
      </c>
      <c r="BN659" s="636"/>
      <c r="BO659" s="636"/>
      <c r="BP659" s="637">
        <f t="shared" si="286"/>
        <v>0</v>
      </c>
      <c r="BQ659" s="638"/>
      <c r="BR659" s="638"/>
      <c r="BS659" s="635">
        <f t="shared" si="287"/>
        <v>0</v>
      </c>
      <c r="BT659" s="636"/>
      <c r="BU659" s="636"/>
      <c r="BV659" s="637">
        <f t="shared" si="288"/>
        <v>0</v>
      </c>
      <c r="BW659" s="638"/>
      <c r="BX659" s="638"/>
      <c r="BY659" s="641">
        <f t="shared" si="289"/>
        <v>0</v>
      </c>
    </row>
    <row r="660" spans="1:77" x14ac:dyDescent="0.2">
      <c r="A660" s="400" t="s">
        <v>111</v>
      </c>
      <c r="B660" s="408" t="s">
        <v>847</v>
      </c>
      <c r="C660" s="409"/>
      <c r="D660" s="412" t="s">
        <v>848</v>
      </c>
      <c r="E660" s="526">
        <v>11</v>
      </c>
      <c r="F660" s="631">
        <v>417</v>
      </c>
      <c r="G660" s="632">
        <v>66796</v>
      </c>
      <c r="H660" s="633">
        <f t="shared" si="266"/>
        <v>27853932</v>
      </c>
      <c r="I660" s="634">
        <f>232+180</f>
        <v>412</v>
      </c>
      <c r="J660" s="634">
        <v>68523</v>
      </c>
      <c r="K660" s="635">
        <f t="shared" si="267"/>
        <v>28231476</v>
      </c>
      <c r="L660" s="636">
        <v>612</v>
      </c>
      <c r="M660" s="636">
        <v>59915</v>
      </c>
      <c r="N660" s="637">
        <f t="shared" si="268"/>
        <v>36667980</v>
      </c>
      <c r="O660" s="638">
        <v>644</v>
      </c>
      <c r="P660" s="638">
        <v>61598</v>
      </c>
      <c r="Q660" s="635">
        <f t="shared" si="269"/>
        <v>39669112</v>
      </c>
      <c r="R660" s="636">
        <v>634</v>
      </c>
      <c r="S660" s="636">
        <v>53959</v>
      </c>
      <c r="T660" s="637">
        <f t="shared" si="270"/>
        <v>34210006</v>
      </c>
      <c r="U660" s="638">
        <v>626</v>
      </c>
      <c r="V660" s="638">
        <v>55537</v>
      </c>
      <c r="W660" s="635">
        <f t="shared" si="271"/>
        <v>34766162</v>
      </c>
      <c r="X660" s="636">
        <v>380</v>
      </c>
      <c r="Y660" s="636">
        <v>47970</v>
      </c>
      <c r="Z660" s="637">
        <f t="shared" si="272"/>
        <v>18228600</v>
      </c>
      <c r="AA660" s="638">
        <v>451</v>
      </c>
      <c r="AB660" s="638">
        <v>49754</v>
      </c>
      <c r="AC660" s="635">
        <f t="shared" si="273"/>
        <v>22439054</v>
      </c>
      <c r="AD660" s="636"/>
      <c r="AE660" s="636"/>
      <c r="AF660" s="637">
        <f t="shared" si="274"/>
        <v>0</v>
      </c>
      <c r="AG660" s="638">
        <v>1</v>
      </c>
      <c r="AH660" s="638">
        <v>48008</v>
      </c>
      <c r="AI660" s="635">
        <f t="shared" si="275"/>
        <v>48008</v>
      </c>
      <c r="AJ660" s="636"/>
      <c r="AK660" s="636"/>
      <c r="AL660" s="637">
        <f t="shared" si="276"/>
        <v>0</v>
      </c>
      <c r="AM660" s="638"/>
      <c r="AN660" s="638"/>
      <c r="AO660" s="640">
        <f t="shared" si="277"/>
        <v>0</v>
      </c>
      <c r="AP660" s="636">
        <v>27</v>
      </c>
      <c r="AQ660" s="636">
        <v>78248</v>
      </c>
      <c r="AR660" s="637">
        <f t="shared" si="278"/>
        <v>1728607.8672</v>
      </c>
      <c r="AS660" s="638">
        <v>31</v>
      </c>
      <c r="AT660" s="638">
        <v>81865</v>
      </c>
      <c r="AU660" s="635">
        <f t="shared" si="279"/>
        <v>2076440.233</v>
      </c>
      <c r="AV660" s="636">
        <v>55</v>
      </c>
      <c r="AW660" s="636">
        <v>69234</v>
      </c>
      <c r="AX660" s="637">
        <f t="shared" si="280"/>
        <v>3115599.2340000002</v>
      </c>
      <c r="AY660" s="638">
        <v>55</v>
      </c>
      <c r="AZ660" s="638">
        <v>73824</v>
      </c>
      <c r="BA660" s="635">
        <f t="shared" si="281"/>
        <v>3322153.824</v>
      </c>
      <c r="BB660" s="636">
        <v>49</v>
      </c>
      <c r="BC660" s="636">
        <v>62329</v>
      </c>
      <c r="BD660" s="637">
        <f t="shared" si="282"/>
        <v>2498881.8022000003</v>
      </c>
      <c r="BE660" s="638">
        <v>52</v>
      </c>
      <c r="BF660" s="638">
        <v>62780</v>
      </c>
      <c r="BG660" s="635">
        <f t="shared" si="283"/>
        <v>2671062.9920000001</v>
      </c>
      <c r="BH660" s="636">
        <v>51</v>
      </c>
      <c r="BI660" s="636">
        <v>60754</v>
      </c>
      <c r="BJ660" s="637">
        <f t="shared" si="284"/>
        <v>2535155.0628</v>
      </c>
      <c r="BK660" s="638">
        <v>69</v>
      </c>
      <c r="BL660" s="638">
        <v>61697</v>
      </c>
      <c r="BM660" s="635">
        <f t="shared" si="285"/>
        <v>3483153.4926</v>
      </c>
      <c r="BN660" s="636">
        <v>1</v>
      </c>
      <c r="BO660" s="636">
        <v>88025</v>
      </c>
      <c r="BP660" s="637">
        <f t="shared" si="286"/>
        <v>72022.055000000008</v>
      </c>
      <c r="BQ660" s="638">
        <v>1</v>
      </c>
      <c r="BR660" s="638">
        <v>72818</v>
      </c>
      <c r="BS660" s="635">
        <f t="shared" si="287"/>
        <v>59579.687600000005</v>
      </c>
      <c r="BT660" s="636"/>
      <c r="BU660" s="636"/>
      <c r="BV660" s="637">
        <f t="shared" si="288"/>
        <v>0</v>
      </c>
      <c r="BW660" s="638"/>
      <c r="BX660" s="638"/>
      <c r="BY660" s="641">
        <f t="shared" si="289"/>
        <v>0</v>
      </c>
    </row>
    <row r="661" spans="1:77" x14ac:dyDescent="0.2">
      <c r="A661" s="352" t="s">
        <v>110</v>
      </c>
      <c r="B661" s="353" t="s">
        <v>849</v>
      </c>
      <c r="C661" s="354"/>
      <c r="D661" s="355">
        <v>238032</v>
      </c>
      <c r="E661" s="356">
        <v>1</v>
      </c>
      <c r="F661" s="631">
        <v>216</v>
      </c>
      <c r="G661" s="632">
        <v>101758</v>
      </c>
      <c r="H661" s="633">
        <f t="shared" si="266"/>
        <v>21979728</v>
      </c>
      <c r="I661" s="634">
        <v>211</v>
      </c>
      <c r="J661" s="634">
        <v>106277</v>
      </c>
      <c r="K661" s="635">
        <f t="shared" si="267"/>
        <v>22424447</v>
      </c>
      <c r="L661" s="636">
        <v>210</v>
      </c>
      <c r="M661" s="636">
        <v>73711</v>
      </c>
      <c r="N661" s="637">
        <f t="shared" si="268"/>
        <v>15479310</v>
      </c>
      <c r="O661" s="638">
        <v>221</v>
      </c>
      <c r="P661" s="638">
        <v>78128</v>
      </c>
      <c r="Q661" s="635">
        <f t="shared" si="269"/>
        <v>17266288</v>
      </c>
      <c r="R661" s="636">
        <v>313</v>
      </c>
      <c r="S661" s="636">
        <v>59289</v>
      </c>
      <c r="T661" s="637">
        <f t="shared" si="270"/>
        <v>18557457</v>
      </c>
      <c r="U661" s="638">
        <v>321</v>
      </c>
      <c r="V661" s="638">
        <v>63129</v>
      </c>
      <c r="W661" s="635">
        <f t="shared" si="271"/>
        <v>20264409</v>
      </c>
      <c r="X661" s="636">
        <v>43</v>
      </c>
      <c r="Y661" s="636">
        <v>40520</v>
      </c>
      <c r="Z661" s="637">
        <f t="shared" si="272"/>
        <v>1742360</v>
      </c>
      <c r="AA661" s="638">
        <v>47</v>
      </c>
      <c r="AB661" s="638">
        <v>42526</v>
      </c>
      <c r="AC661" s="635">
        <f t="shared" si="273"/>
        <v>1998722</v>
      </c>
      <c r="AD661" s="636">
        <v>17</v>
      </c>
      <c r="AE661" s="636">
        <v>49073</v>
      </c>
      <c r="AF661" s="637">
        <f t="shared" si="274"/>
        <v>834241</v>
      </c>
      <c r="AG661" s="638">
        <v>19</v>
      </c>
      <c r="AH661" s="638">
        <v>53371</v>
      </c>
      <c r="AI661" s="635">
        <f t="shared" si="275"/>
        <v>1014049</v>
      </c>
      <c r="AJ661" s="636"/>
      <c r="AK661" s="636"/>
      <c r="AL661" s="637">
        <f t="shared" si="276"/>
        <v>0</v>
      </c>
      <c r="AM661" s="638"/>
      <c r="AN661" s="638"/>
      <c r="AO661" s="640">
        <f t="shared" si="277"/>
        <v>0</v>
      </c>
      <c r="AP661" s="636">
        <v>77</v>
      </c>
      <c r="AQ661" s="636">
        <v>129442</v>
      </c>
      <c r="AR661" s="637">
        <f t="shared" si="278"/>
        <v>8155027.2188000008</v>
      </c>
      <c r="AS661" s="638">
        <v>81</v>
      </c>
      <c r="AT661" s="638">
        <v>136547</v>
      </c>
      <c r="AU661" s="635">
        <f t="shared" si="279"/>
        <v>9049543.1874000002</v>
      </c>
      <c r="AV661" s="636">
        <v>37</v>
      </c>
      <c r="AW661" s="636">
        <v>100167</v>
      </c>
      <c r="AX661" s="637">
        <f t="shared" si="280"/>
        <v>3032395.6578000002</v>
      </c>
      <c r="AY661" s="638">
        <v>41</v>
      </c>
      <c r="AZ661" s="638">
        <v>104706</v>
      </c>
      <c r="BA661" s="635">
        <f t="shared" si="281"/>
        <v>3512488.4172</v>
      </c>
      <c r="BB661" s="636">
        <v>39</v>
      </c>
      <c r="BC661" s="636">
        <v>85752</v>
      </c>
      <c r="BD661" s="637">
        <f t="shared" si="282"/>
        <v>2736329.1696000001</v>
      </c>
      <c r="BE661" s="638">
        <v>39</v>
      </c>
      <c r="BF661" s="638">
        <v>88309</v>
      </c>
      <c r="BG661" s="635">
        <f t="shared" si="283"/>
        <v>2817922.5282000001</v>
      </c>
      <c r="BH661" s="636">
        <v>8</v>
      </c>
      <c r="BI661" s="636">
        <v>48554</v>
      </c>
      <c r="BJ661" s="637">
        <f t="shared" si="284"/>
        <v>317815.0624</v>
      </c>
      <c r="BK661" s="638">
        <v>4</v>
      </c>
      <c r="BL661" s="638">
        <v>46404</v>
      </c>
      <c r="BM661" s="635">
        <f t="shared" si="285"/>
        <v>151871.01120000001</v>
      </c>
      <c r="BN661" s="636">
        <v>4</v>
      </c>
      <c r="BO661" s="636">
        <v>58602</v>
      </c>
      <c r="BP661" s="637">
        <f t="shared" si="286"/>
        <v>191792.6256</v>
      </c>
      <c r="BQ661" s="638">
        <v>6</v>
      </c>
      <c r="BR661" s="638">
        <v>71918</v>
      </c>
      <c r="BS661" s="635">
        <f t="shared" si="287"/>
        <v>353059.8456</v>
      </c>
      <c r="BT661" s="636"/>
      <c r="BU661" s="636"/>
      <c r="BV661" s="637">
        <f t="shared" si="288"/>
        <v>0</v>
      </c>
      <c r="BW661" s="638"/>
      <c r="BX661" s="638"/>
      <c r="BY661" s="641">
        <f t="shared" si="289"/>
        <v>0</v>
      </c>
    </row>
    <row r="662" spans="1:77" x14ac:dyDescent="0.2">
      <c r="A662" s="352" t="s">
        <v>110</v>
      </c>
      <c r="B662" s="353" t="s">
        <v>850</v>
      </c>
      <c r="C662" s="354"/>
      <c r="D662" s="355">
        <v>237525</v>
      </c>
      <c r="E662" s="356">
        <v>3</v>
      </c>
      <c r="F662" s="631">
        <v>179</v>
      </c>
      <c r="G662" s="632">
        <v>72969</v>
      </c>
      <c r="H662" s="633">
        <f t="shared" si="266"/>
        <v>13061451</v>
      </c>
      <c r="I662" s="634">
        <v>181</v>
      </c>
      <c r="J662" s="634">
        <v>73330</v>
      </c>
      <c r="K662" s="635">
        <f t="shared" si="267"/>
        <v>13272730</v>
      </c>
      <c r="L662" s="636">
        <v>116</v>
      </c>
      <c r="M662" s="636">
        <v>60006</v>
      </c>
      <c r="N662" s="637">
        <f t="shared" si="268"/>
        <v>6960696</v>
      </c>
      <c r="O662" s="638">
        <v>114</v>
      </c>
      <c r="P662" s="638">
        <v>61236</v>
      </c>
      <c r="Q662" s="635">
        <f t="shared" si="269"/>
        <v>6980904</v>
      </c>
      <c r="R662" s="636">
        <v>114</v>
      </c>
      <c r="S662" s="636">
        <v>51708</v>
      </c>
      <c r="T662" s="637">
        <f t="shared" si="270"/>
        <v>5894712</v>
      </c>
      <c r="U662" s="638">
        <v>113</v>
      </c>
      <c r="V662" s="638">
        <v>51656</v>
      </c>
      <c r="W662" s="635">
        <f t="shared" si="271"/>
        <v>5837128</v>
      </c>
      <c r="X662" s="636">
        <v>42</v>
      </c>
      <c r="Y662" s="636">
        <v>34784</v>
      </c>
      <c r="Z662" s="637">
        <f t="shared" si="272"/>
        <v>1460928</v>
      </c>
      <c r="AA662" s="638">
        <v>62</v>
      </c>
      <c r="AB662" s="638">
        <v>36401</v>
      </c>
      <c r="AC662" s="635">
        <f t="shared" si="273"/>
        <v>2256862</v>
      </c>
      <c r="AD662" s="636"/>
      <c r="AE662" s="636"/>
      <c r="AF662" s="637">
        <f t="shared" si="274"/>
        <v>0</v>
      </c>
      <c r="AG662" s="638"/>
      <c r="AH662" s="638"/>
      <c r="AI662" s="635">
        <f t="shared" si="275"/>
        <v>0</v>
      </c>
      <c r="AJ662" s="636"/>
      <c r="AK662" s="636"/>
      <c r="AL662" s="637">
        <f t="shared" si="276"/>
        <v>0</v>
      </c>
      <c r="AM662" s="638"/>
      <c r="AN662" s="638"/>
      <c r="AO662" s="640">
        <f t="shared" si="277"/>
        <v>0</v>
      </c>
      <c r="AP662" s="636">
        <v>20</v>
      </c>
      <c r="AQ662" s="636">
        <v>100885</v>
      </c>
      <c r="AR662" s="637">
        <f t="shared" si="278"/>
        <v>1650882.1400000001</v>
      </c>
      <c r="AS662" s="638">
        <v>22</v>
      </c>
      <c r="AT662" s="638">
        <v>110381</v>
      </c>
      <c r="AU662" s="635">
        <f t="shared" si="279"/>
        <v>1986902.1524</v>
      </c>
      <c r="AV662" s="636">
        <v>2</v>
      </c>
      <c r="AW662" s="636">
        <v>79081</v>
      </c>
      <c r="AX662" s="637">
        <f t="shared" si="280"/>
        <v>129408.14840000001</v>
      </c>
      <c r="AY662" s="638">
        <v>4</v>
      </c>
      <c r="AZ662" s="638">
        <v>94841</v>
      </c>
      <c r="BA662" s="635">
        <f t="shared" si="281"/>
        <v>310395.62479999999</v>
      </c>
      <c r="BB662" s="636">
        <v>5</v>
      </c>
      <c r="BC662" s="636">
        <v>60037</v>
      </c>
      <c r="BD662" s="637">
        <f t="shared" si="282"/>
        <v>245611.367</v>
      </c>
      <c r="BE662" s="638">
        <v>4</v>
      </c>
      <c r="BF662" s="638">
        <v>70836</v>
      </c>
      <c r="BG662" s="635">
        <f t="shared" si="283"/>
        <v>231832.06080000001</v>
      </c>
      <c r="BH662" s="636"/>
      <c r="BI662" s="636"/>
      <c r="BJ662" s="637">
        <f t="shared" si="284"/>
        <v>0</v>
      </c>
      <c r="BK662" s="638"/>
      <c r="BL662" s="638"/>
      <c r="BM662" s="635">
        <f t="shared" si="285"/>
        <v>0</v>
      </c>
      <c r="BN662" s="636"/>
      <c r="BO662" s="636"/>
      <c r="BP662" s="637">
        <f t="shared" si="286"/>
        <v>0</v>
      </c>
      <c r="BQ662" s="638"/>
      <c r="BR662" s="638"/>
      <c r="BS662" s="635">
        <f t="shared" si="287"/>
        <v>0</v>
      </c>
      <c r="BT662" s="636"/>
      <c r="BU662" s="636"/>
      <c r="BV662" s="637">
        <f t="shared" si="288"/>
        <v>0</v>
      </c>
      <c r="BW662" s="638"/>
      <c r="BX662" s="638"/>
      <c r="BY662" s="641">
        <f t="shared" si="289"/>
        <v>0</v>
      </c>
    </row>
    <row r="663" spans="1:77" x14ac:dyDescent="0.2">
      <c r="A663" s="352" t="s">
        <v>110</v>
      </c>
      <c r="B663" s="353" t="s">
        <v>851</v>
      </c>
      <c r="C663" s="354"/>
      <c r="D663" s="355">
        <v>237367</v>
      </c>
      <c r="E663" s="356">
        <v>5</v>
      </c>
      <c r="F663" s="631">
        <v>45</v>
      </c>
      <c r="G663" s="632">
        <v>71493</v>
      </c>
      <c r="H663" s="633">
        <f t="shared" si="266"/>
        <v>3217185</v>
      </c>
      <c r="I663" s="634">
        <v>50</v>
      </c>
      <c r="J663" s="634">
        <v>73018</v>
      </c>
      <c r="K663" s="635">
        <f t="shared" si="267"/>
        <v>3650900</v>
      </c>
      <c r="L663" s="636">
        <v>38</v>
      </c>
      <c r="M663" s="636">
        <v>59881</v>
      </c>
      <c r="N663" s="637">
        <f t="shared" si="268"/>
        <v>2275478</v>
      </c>
      <c r="O663" s="638">
        <v>33</v>
      </c>
      <c r="P663" s="638">
        <v>63946</v>
      </c>
      <c r="Q663" s="635">
        <f t="shared" si="269"/>
        <v>2110218</v>
      </c>
      <c r="R663" s="636">
        <v>54</v>
      </c>
      <c r="S663" s="636">
        <v>49639</v>
      </c>
      <c r="T663" s="637">
        <f t="shared" si="270"/>
        <v>2680506</v>
      </c>
      <c r="U663" s="638">
        <v>54</v>
      </c>
      <c r="V663" s="638">
        <v>50711</v>
      </c>
      <c r="W663" s="635">
        <f t="shared" si="271"/>
        <v>2738394</v>
      </c>
      <c r="X663" s="636">
        <v>9</v>
      </c>
      <c r="Y663" s="636">
        <v>42749</v>
      </c>
      <c r="Z663" s="637">
        <f t="shared" si="272"/>
        <v>384741</v>
      </c>
      <c r="AA663" s="638">
        <v>9</v>
      </c>
      <c r="AB663" s="638">
        <v>44751</v>
      </c>
      <c r="AC663" s="635">
        <f t="shared" si="273"/>
        <v>402759</v>
      </c>
      <c r="AD663" s="636"/>
      <c r="AE663" s="636"/>
      <c r="AF663" s="637">
        <f t="shared" si="274"/>
        <v>0</v>
      </c>
      <c r="AG663" s="638">
        <v>3</v>
      </c>
      <c r="AH663" s="638">
        <v>48344</v>
      </c>
      <c r="AI663" s="635">
        <f t="shared" si="275"/>
        <v>145032</v>
      </c>
      <c r="AJ663" s="636"/>
      <c r="AK663" s="636"/>
      <c r="AL663" s="637">
        <f t="shared" si="276"/>
        <v>0</v>
      </c>
      <c r="AM663" s="638"/>
      <c r="AN663" s="638"/>
      <c r="AO663" s="640">
        <f t="shared" si="277"/>
        <v>0</v>
      </c>
      <c r="AP663" s="636">
        <v>6</v>
      </c>
      <c r="AQ663" s="636">
        <v>115621</v>
      </c>
      <c r="AR663" s="637">
        <f t="shared" si="278"/>
        <v>567606.61320000002</v>
      </c>
      <c r="AS663" s="638">
        <v>6</v>
      </c>
      <c r="AT663" s="638">
        <v>119467</v>
      </c>
      <c r="AU663" s="635">
        <f t="shared" si="279"/>
        <v>586487.39640000009</v>
      </c>
      <c r="AV663" s="636">
        <v>1</v>
      </c>
      <c r="AW663" s="636">
        <v>77884</v>
      </c>
      <c r="AX663" s="637">
        <f t="shared" si="280"/>
        <v>63724.688800000004</v>
      </c>
      <c r="AY663" s="638">
        <v>4</v>
      </c>
      <c r="AZ663" s="638">
        <v>73335</v>
      </c>
      <c r="BA663" s="635">
        <f t="shared" si="281"/>
        <v>240010.788</v>
      </c>
      <c r="BB663" s="636">
        <v>4</v>
      </c>
      <c r="BC663" s="636">
        <v>54861</v>
      </c>
      <c r="BD663" s="637">
        <f t="shared" si="282"/>
        <v>179549.0808</v>
      </c>
      <c r="BE663" s="638">
        <v>3</v>
      </c>
      <c r="BF663" s="638">
        <v>61248</v>
      </c>
      <c r="BG663" s="635">
        <f t="shared" si="283"/>
        <v>150339.34080000001</v>
      </c>
      <c r="BH663" s="636">
        <v>6</v>
      </c>
      <c r="BI663" s="636">
        <v>45149</v>
      </c>
      <c r="BJ663" s="637">
        <f t="shared" si="284"/>
        <v>221645.47080000001</v>
      </c>
      <c r="BK663" s="638">
        <v>6</v>
      </c>
      <c r="BL663" s="638">
        <v>50070</v>
      </c>
      <c r="BM663" s="635">
        <f t="shared" si="285"/>
        <v>245803.644</v>
      </c>
      <c r="BN663" s="636"/>
      <c r="BO663" s="636"/>
      <c r="BP663" s="637">
        <f t="shared" si="286"/>
        <v>0</v>
      </c>
      <c r="BQ663" s="638">
        <v>1</v>
      </c>
      <c r="BR663" s="638">
        <v>78012</v>
      </c>
      <c r="BS663" s="635">
        <f t="shared" si="287"/>
        <v>63829.418400000002</v>
      </c>
      <c r="BT663" s="636"/>
      <c r="BU663" s="636"/>
      <c r="BV663" s="637">
        <f t="shared" si="288"/>
        <v>0</v>
      </c>
      <c r="BW663" s="638"/>
      <c r="BX663" s="638"/>
      <c r="BY663" s="641">
        <f t="shared" si="289"/>
        <v>0</v>
      </c>
    </row>
    <row r="664" spans="1:77" x14ac:dyDescent="0.2">
      <c r="A664" s="352" t="s">
        <v>110</v>
      </c>
      <c r="B664" s="357" t="s">
        <v>852</v>
      </c>
      <c r="C664" s="358"/>
      <c r="D664" s="355">
        <v>237792</v>
      </c>
      <c r="E664" s="413">
        <v>5</v>
      </c>
      <c r="F664" s="631">
        <v>26</v>
      </c>
      <c r="G664" s="632">
        <v>73437</v>
      </c>
      <c r="H664" s="633">
        <f t="shared" si="266"/>
        <v>1909362</v>
      </c>
      <c r="I664" s="634">
        <v>28</v>
      </c>
      <c r="J664" s="634">
        <v>75656</v>
      </c>
      <c r="K664" s="635">
        <f t="shared" si="267"/>
        <v>2118368</v>
      </c>
      <c r="L664" s="636">
        <v>37</v>
      </c>
      <c r="M664" s="636">
        <v>62217</v>
      </c>
      <c r="N664" s="637">
        <f t="shared" si="268"/>
        <v>2302029</v>
      </c>
      <c r="O664" s="638">
        <v>40</v>
      </c>
      <c r="P664" s="638">
        <v>64031</v>
      </c>
      <c r="Q664" s="635">
        <f t="shared" si="269"/>
        <v>2561240</v>
      </c>
      <c r="R664" s="636">
        <v>45</v>
      </c>
      <c r="S664" s="636">
        <v>53109</v>
      </c>
      <c r="T664" s="637">
        <f t="shared" si="270"/>
        <v>2389905</v>
      </c>
      <c r="U664" s="638">
        <v>52</v>
      </c>
      <c r="V664" s="638">
        <v>55730</v>
      </c>
      <c r="W664" s="635">
        <f t="shared" si="271"/>
        <v>2897960</v>
      </c>
      <c r="X664" s="636"/>
      <c r="Y664" s="636"/>
      <c r="Z664" s="637">
        <f t="shared" si="272"/>
        <v>0</v>
      </c>
      <c r="AA664" s="638"/>
      <c r="AB664" s="638"/>
      <c r="AC664" s="635">
        <f t="shared" si="273"/>
        <v>0</v>
      </c>
      <c r="AD664" s="636">
        <v>13</v>
      </c>
      <c r="AE664" s="636">
        <v>48551</v>
      </c>
      <c r="AF664" s="637">
        <f t="shared" si="274"/>
        <v>631163</v>
      </c>
      <c r="AG664" s="638">
        <v>11</v>
      </c>
      <c r="AH664" s="638">
        <v>52470</v>
      </c>
      <c r="AI664" s="635">
        <f t="shared" si="275"/>
        <v>577170</v>
      </c>
      <c r="AJ664" s="636"/>
      <c r="AK664" s="636"/>
      <c r="AL664" s="637">
        <f t="shared" si="276"/>
        <v>0</v>
      </c>
      <c r="AM664" s="638"/>
      <c r="AN664" s="638"/>
      <c r="AO664" s="640">
        <f t="shared" si="277"/>
        <v>0</v>
      </c>
      <c r="AP664" s="636">
        <v>2</v>
      </c>
      <c r="AQ664" s="636">
        <v>95952</v>
      </c>
      <c r="AR664" s="637">
        <f t="shared" si="278"/>
        <v>157015.85279999999</v>
      </c>
      <c r="AS664" s="638">
        <v>2</v>
      </c>
      <c r="AT664" s="638">
        <v>89742</v>
      </c>
      <c r="AU664" s="635">
        <f t="shared" si="279"/>
        <v>146853.8088</v>
      </c>
      <c r="AV664" s="636">
        <v>1</v>
      </c>
      <c r="AW664" s="636">
        <v>71874</v>
      </c>
      <c r="AX664" s="637">
        <f t="shared" si="280"/>
        <v>58807.306800000006</v>
      </c>
      <c r="AY664" s="638"/>
      <c r="AZ664" s="638"/>
      <c r="BA664" s="635">
        <f t="shared" si="281"/>
        <v>0</v>
      </c>
      <c r="BB664" s="636"/>
      <c r="BC664" s="636"/>
      <c r="BD664" s="637">
        <f t="shared" si="282"/>
        <v>0</v>
      </c>
      <c r="BE664" s="638"/>
      <c r="BF664" s="638"/>
      <c r="BG664" s="635">
        <f t="shared" si="283"/>
        <v>0</v>
      </c>
      <c r="BH664" s="636"/>
      <c r="BI664" s="636"/>
      <c r="BJ664" s="637">
        <f t="shared" si="284"/>
        <v>0</v>
      </c>
      <c r="BK664" s="638"/>
      <c r="BL664" s="638"/>
      <c r="BM664" s="635">
        <f t="shared" si="285"/>
        <v>0</v>
      </c>
      <c r="BN664" s="636">
        <v>1</v>
      </c>
      <c r="BO664" s="636">
        <v>51102</v>
      </c>
      <c r="BP664" s="637">
        <f t="shared" si="286"/>
        <v>41811.6564</v>
      </c>
      <c r="BQ664" s="638">
        <v>1</v>
      </c>
      <c r="BR664" s="638">
        <v>56217</v>
      </c>
      <c r="BS664" s="635">
        <f t="shared" si="287"/>
        <v>45996.749400000001</v>
      </c>
      <c r="BT664" s="636"/>
      <c r="BU664" s="636"/>
      <c r="BV664" s="637">
        <f t="shared" si="288"/>
        <v>0</v>
      </c>
      <c r="BW664" s="638"/>
      <c r="BX664" s="638"/>
      <c r="BY664" s="641">
        <f t="shared" si="289"/>
        <v>0</v>
      </c>
    </row>
    <row r="665" spans="1:77" x14ac:dyDescent="0.2">
      <c r="A665" s="352" t="s">
        <v>110</v>
      </c>
      <c r="B665" s="353" t="s">
        <v>853</v>
      </c>
      <c r="C665" s="354"/>
      <c r="D665" s="355">
        <v>237215</v>
      </c>
      <c r="E665" s="356">
        <v>6</v>
      </c>
      <c r="F665" s="631">
        <v>23</v>
      </c>
      <c r="G665" s="632">
        <v>67627</v>
      </c>
      <c r="H665" s="633">
        <f t="shared" si="266"/>
        <v>1555421</v>
      </c>
      <c r="I665" s="634">
        <v>21</v>
      </c>
      <c r="J665" s="634">
        <v>66730</v>
      </c>
      <c r="K665" s="635">
        <f t="shared" si="267"/>
        <v>1401330</v>
      </c>
      <c r="L665" s="636">
        <v>16</v>
      </c>
      <c r="M665" s="636">
        <v>57152</v>
      </c>
      <c r="N665" s="637">
        <f t="shared" si="268"/>
        <v>914432</v>
      </c>
      <c r="O665" s="638">
        <v>18</v>
      </c>
      <c r="P665" s="638">
        <v>57999</v>
      </c>
      <c r="Q665" s="635">
        <f t="shared" si="269"/>
        <v>1043982</v>
      </c>
      <c r="R665" s="636">
        <v>28</v>
      </c>
      <c r="S665" s="636">
        <v>51091</v>
      </c>
      <c r="T665" s="637">
        <f t="shared" si="270"/>
        <v>1430548</v>
      </c>
      <c r="U665" s="638">
        <v>27</v>
      </c>
      <c r="V665" s="638">
        <v>53040</v>
      </c>
      <c r="W665" s="635">
        <f t="shared" si="271"/>
        <v>1432080</v>
      </c>
      <c r="X665" s="636">
        <v>3</v>
      </c>
      <c r="Y665" s="636">
        <v>41900</v>
      </c>
      <c r="Z665" s="637">
        <f t="shared" si="272"/>
        <v>125700</v>
      </c>
      <c r="AA665" s="638">
        <v>2</v>
      </c>
      <c r="AB665" s="638">
        <v>42576</v>
      </c>
      <c r="AC665" s="635">
        <f t="shared" si="273"/>
        <v>85152</v>
      </c>
      <c r="AD665" s="636">
        <v>1</v>
      </c>
      <c r="AE665" s="636">
        <v>39504</v>
      </c>
      <c r="AF665" s="637">
        <f t="shared" si="274"/>
        <v>39504</v>
      </c>
      <c r="AG665" s="638">
        <v>1</v>
      </c>
      <c r="AH665" s="638">
        <v>39564</v>
      </c>
      <c r="AI665" s="635">
        <f t="shared" si="275"/>
        <v>39564</v>
      </c>
      <c r="AJ665" s="636"/>
      <c r="AK665" s="636"/>
      <c r="AL665" s="637">
        <f t="shared" si="276"/>
        <v>0</v>
      </c>
      <c r="AM665" s="638"/>
      <c r="AN665" s="638"/>
      <c r="AO665" s="640">
        <f t="shared" si="277"/>
        <v>0</v>
      </c>
      <c r="AP665" s="636">
        <v>3</v>
      </c>
      <c r="AQ665" s="636">
        <v>76840</v>
      </c>
      <c r="AR665" s="637">
        <f t="shared" si="278"/>
        <v>188611.46400000001</v>
      </c>
      <c r="AS665" s="638">
        <v>2</v>
      </c>
      <c r="AT665" s="638">
        <v>74370</v>
      </c>
      <c r="AU665" s="635">
        <f t="shared" si="279"/>
        <v>121699.068</v>
      </c>
      <c r="AV665" s="636">
        <v>1</v>
      </c>
      <c r="AW665" s="636">
        <v>52164</v>
      </c>
      <c r="AX665" s="637">
        <f t="shared" si="280"/>
        <v>42680.584800000004</v>
      </c>
      <c r="AY665" s="638">
        <v>1</v>
      </c>
      <c r="AZ665" s="638">
        <v>52224</v>
      </c>
      <c r="BA665" s="635">
        <f t="shared" si="281"/>
        <v>42729.676800000001</v>
      </c>
      <c r="BB665" s="636">
        <v>1</v>
      </c>
      <c r="BC665" s="636">
        <v>53004</v>
      </c>
      <c r="BD665" s="637">
        <f t="shared" si="282"/>
        <v>43367.872800000005</v>
      </c>
      <c r="BE665" s="638">
        <v>1</v>
      </c>
      <c r="BF665" s="638">
        <v>53064</v>
      </c>
      <c r="BG665" s="635">
        <f t="shared" si="283"/>
        <v>43416.964800000002</v>
      </c>
      <c r="BH665" s="636"/>
      <c r="BI665" s="636"/>
      <c r="BJ665" s="637">
        <f t="shared" si="284"/>
        <v>0</v>
      </c>
      <c r="BK665" s="638"/>
      <c r="BL665" s="638"/>
      <c r="BM665" s="635">
        <f t="shared" si="285"/>
        <v>0</v>
      </c>
      <c r="BN665" s="636"/>
      <c r="BO665" s="636"/>
      <c r="BP665" s="637">
        <f t="shared" si="286"/>
        <v>0</v>
      </c>
      <c r="BQ665" s="638"/>
      <c r="BR665" s="638"/>
      <c r="BS665" s="635">
        <f t="shared" si="287"/>
        <v>0</v>
      </c>
      <c r="BT665" s="636"/>
      <c r="BU665" s="636"/>
      <c r="BV665" s="637">
        <f t="shared" si="288"/>
        <v>0</v>
      </c>
      <c r="BW665" s="638"/>
      <c r="BX665" s="638"/>
      <c r="BY665" s="641">
        <f t="shared" si="289"/>
        <v>0</v>
      </c>
    </row>
    <row r="666" spans="1:77" x14ac:dyDescent="0.2">
      <c r="A666" s="352" t="s">
        <v>110</v>
      </c>
      <c r="B666" s="353" t="s">
        <v>854</v>
      </c>
      <c r="C666" s="354"/>
      <c r="D666" s="355">
        <v>237330</v>
      </c>
      <c r="E666" s="356">
        <v>6</v>
      </c>
      <c r="F666" s="631">
        <v>25</v>
      </c>
      <c r="G666" s="632">
        <v>68598</v>
      </c>
      <c r="H666" s="633">
        <f t="shared" si="266"/>
        <v>1714950</v>
      </c>
      <c r="I666" s="634">
        <v>29</v>
      </c>
      <c r="J666" s="634">
        <v>69777</v>
      </c>
      <c r="K666" s="635">
        <f t="shared" si="267"/>
        <v>2023533</v>
      </c>
      <c r="L666" s="636">
        <v>26</v>
      </c>
      <c r="M666" s="636">
        <v>57437</v>
      </c>
      <c r="N666" s="637">
        <f t="shared" si="268"/>
        <v>1493362</v>
      </c>
      <c r="O666" s="638">
        <v>25</v>
      </c>
      <c r="P666" s="638">
        <v>58941</v>
      </c>
      <c r="Q666" s="635">
        <f t="shared" si="269"/>
        <v>1473525</v>
      </c>
      <c r="R666" s="636">
        <v>41</v>
      </c>
      <c r="S666" s="636">
        <v>48591</v>
      </c>
      <c r="T666" s="637">
        <f t="shared" si="270"/>
        <v>1992231</v>
      </c>
      <c r="U666" s="638">
        <v>41</v>
      </c>
      <c r="V666" s="638">
        <v>51853</v>
      </c>
      <c r="W666" s="635">
        <f t="shared" si="271"/>
        <v>2125973</v>
      </c>
      <c r="X666" s="636">
        <v>15</v>
      </c>
      <c r="Y666" s="636">
        <v>41403</v>
      </c>
      <c r="Z666" s="637">
        <f t="shared" si="272"/>
        <v>621045</v>
      </c>
      <c r="AA666" s="638">
        <v>16</v>
      </c>
      <c r="AB666" s="638">
        <v>42155</v>
      </c>
      <c r="AC666" s="635">
        <f t="shared" si="273"/>
        <v>674480</v>
      </c>
      <c r="AD666" s="636"/>
      <c r="AE666" s="636"/>
      <c r="AF666" s="637">
        <f t="shared" si="274"/>
        <v>0</v>
      </c>
      <c r="AG666" s="638">
        <v>5</v>
      </c>
      <c r="AH666" s="638">
        <v>31500</v>
      </c>
      <c r="AI666" s="635">
        <f t="shared" si="275"/>
        <v>157500</v>
      </c>
      <c r="AJ666" s="636"/>
      <c r="AK666" s="636"/>
      <c r="AL666" s="637">
        <f t="shared" si="276"/>
        <v>0</v>
      </c>
      <c r="AM666" s="638"/>
      <c r="AN666" s="638"/>
      <c r="AO666" s="640">
        <f t="shared" si="277"/>
        <v>0</v>
      </c>
      <c r="AP666" s="636">
        <v>4</v>
      </c>
      <c r="AQ666" s="636">
        <v>88190</v>
      </c>
      <c r="AR666" s="637">
        <f t="shared" si="278"/>
        <v>288628.23200000002</v>
      </c>
      <c r="AS666" s="638">
        <v>4</v>
      </c>
      <c r="AT666" s="638">
        <v>90751</v>
      </c>
      <c r="AU666" s="635">
        <f t="shared" si="279"/>
        <v>297009.87280000001</v>
      </c>
      <c r="AV666" s="636"/>
      <c r="AW666" s="636"/>
      <c r="AX666" s="637">
        <f t="shared" si="280"/>
        <v>0</v>
      </c>
      <c r="AY666" s="638"/>
      <c r="AZ666" s="638"/>
      <c r="BA666" s="635">
        <f t="shared" si="281"/>
        <v>0</v>
      </c>
      <c r="BB666" s="636"/>
      <c r="BC666" s="636"/>
      <c r="BD666" s="637">
        <f t="shared" si="282"/>
        <v>0</v>
      </c>
      <c r="BE666" s="638"/>
      <c r="BF666" s="638"/>
      <c r="BG666" s="635">
        <f t="shared" si="283"/>
        <v>0</v>
      </c>
      <c r="BH666" s="636">
        <v>1</v>
      </c>
      <c r="BI666" s="636">
        <v>38500</v>
      </c>
      <c r="BJ666" s="637">
        <f t="shared" si="284"/>
        <v>31500.7</v>
      </c>
      <c r="BK666" s="638">
        <v>2</v>
      </c>
      <c r="BL666" s="638">
        <v>42774</v>
      </c>
      <c r="BM666" s="635">
        <f t="shared" si="285"/>
        <v>69995.373600000006</v>
      </c>
      <c r="BN666" s="636"/>
      <c r="BO666" s="636"/>
      <c r="BP666" s="637">
        <f t="shared" si="286"/>
        <v>0</v>
      </c>
      <c r="BQ666" s="638"/>
      <c r="BR666" s="638"/>
      <c r="BS666" s="635">
        <f t="shared" si="287"/>
        <v>0</v>
      </c>
      <c r="BT666" s="636"/>
      <c r="BU666" s="636"/>
      <c r="BV666" s="637">
        <f t="shared" si="288"/>
        <v>0</v>
      </c>
      <c r="BW666" s="638"/>
      <c r="BX666" s="638"/>
      <c r="BY666" s="641">
        <f t="shared" si="289"/>
        <v>0</v>
      </c>
    </row>
    <row r="667" spans="1:77" x14ac:dyDescent="0.2">
      <c r="A667" s="352" t="s">
        <v>110</v>
      </c>
      <c r="B667" s="353" t="s">
        <v>855</v>
      </c>
      <c r="C667" s="354"/>
      <c r="D667" s="355">
        <v>237385</v>
      </c>
      <c r="E667" s="356">
        <v>6</v>
      </c>
      <c r="F667" s="631">
        <v>9</v>
      </c>
      <c r="G667" s="632">
        <v>66117</v>
      </c>
      <c r="H667" s="633">
        <f t="shared" si="266"/>
        <v>595053</v>
      </c>
      <c r="I667" s="634">
        <v>8</v>
      </c>
      <c r="J667" s="634">
        <v>70207</v>
      </c>
      <c r="K667" s="635">
        <f t="shared" si="267"/>
        <v>561656</v>
      </c>
      <c r="L667" s="636">
        <v>11</v>
      </c>
      <c r="M667" s="636">
        <v>60644</v>
      </c>
      <c r="N667" s="637">
        <f t="shared" si="268"/>
        <v>667084</v>
      </c>
      <c r="O667" s="638">
        <v>11</v>
      </c>
      <c r="P667" s="638">
        <v>64470</v>
      </c>
      <c r="Q667" s="635">
        <f t="shared" si="269"/>
        <v>709170</v>
      </c>
      <c r="R667" s="636">
        <v>24</v>
      </c>
      <c r="S667" s="636">
        <v>46426</v>
      </c>
      <c r="T667" s="637">
        <f t="shared" si="270"/>
        <v>1114224</v>
      </c>
      <c r="U667" s="638">
        <v>28</v>
      </c>
      <c r="V667" s="638">
        <v>50086</v>
      </c>
      <c r="W667" s="635">
        <f t="shared" si="271"/>
        <v>1402408</v>
      </c>
      <c r="X667" s="636">
        <v>19</v>
      </c>
      <c r="Y667" s="636">
        <v>37939</v>
      </c>
      <c r="Z667" s="637">
        <f t="shared" si="272"/>
        <v>720841</v>
      </c>
      <c r="AA667" s="638">
        <v>16</v>
      </c>
      <c r="AB667" s="638">
        <v>43752</v>
      </c>
      <c r="AC667" s="635">
        <f t="shared" si="273"/>
        <v>700032</v>
      </c>
      <c r="AD667" s="636"/>
      <c r="AE667" s="636"/>
      <c r="AF667" s="637">
        <f t="shared" si="274"/>
        <v>0</v>
      </c>
      <c r="AG667" s="638"/>
      <c r="AH667" s="638"/>
      <c r="AI667" s="635">
        <f t="shared" si="275"/>
        <v>0</v>
      </c>
      <c r="AJ667" s="636"/>
      <c r="AK667" s="636"/>
      <c r="AL667" s="637">
        <f t="shared" si="276"/>
        <v>0</v>
      </c>
      <c r="AM667" s="638"/>
      <c r="AN667" s="638"/>
      <c r="AO667" s="640">
        <f t="shared" si="277"/>
        <v>0</v>
      </c>
      <c r="AP667" s="636"/>
      <c r="AQ667" s="636"/>
      <c r="AR667" s="637">
        <f t="shared" si="278"/>
        <v>0</v>
      </c>
      <c r="AS667" s="638"/>
      <c r="AT667" s="638"/>
      <c r="AU667" s="635">
        <f t="shared" si="279"/>
        <v>0</v>
      </c>
      <c r="AV667" s="636">
        <v>2</v>
      </c>
      <c r="AW667" s="636">
        <v>71898</v>
      </c>
      <c r="AX667" s="637">
        <f t="shared" si="280"/>
        <v>117653.88720000001</v>
      </c>
      <c r="AY667" s="638">
        <v>2</v>
      </c>
      <c r="AZ667" s="638">
        <v>69366</v>
      </c>
      <c r="BA667" s="635">
        <f t="shared" si="281"/>
        <v>113510.5224</v>
      </c>
      <c r="BB667" s="636"/>
      <c r="BC667" s="636"/>
      <c r="BD667" s="637">
        <f t="shared" si="282"/>
        <v>0</v>
      </c>
      <c r="BE667" s="638"/>
      <c r="BF667" s="638"/>
      <c r="BG667" s="635">
        <f t="shared" si="283"/>
        <v>0</v>
      </c>
      <c r="BH667" s="636">
        <v>1</v>
      </c>
      <c r="BI667" s="636">
        <v>32760</v>
      </c>
      <c r="BJ667" s="637">
        <f t="shared" si="284"/>
        <v>26804.232</v>
      </c>
      <c r="BK667" s="638">
        <v>1</v>
      </c>
      <c r="BL667" s="638">
        <v>37289</v>
      </c>
      <c r="BM667" s="635">
        <f t="shared" si="285"/>
        <v>30509.859800000002</v>
      </c>
      <c r="BN667" s="636">
        <v>1</v>
      </c>
      <c r="BO667" s="636">
        <v>42816</v>
      </c>
      <c r="BP667" s="637">
        <f t="shared" si="286"/>
        <v>35032.051200000002</v>
      </c>
      <c r="BQ667" s="638">
        <v>1</v>
      </c>
      <c r="BR667" s="638">
        <v>45636</v>
      </c>
      <c r="BS667" s="635">
        <f t="shared" si="287"/>
        <v>37339.375200000002</v>
      </c>
      <c r="BT667" s="636"/>
      <c r="BU667" s="636"/>
      <c r="BV667" s="637">
        <f t="shared" si="288"/>
        <v>0</v>
      </c>
      <c r="BW667" s="638"/>
      <c r="BX667" s="638"/>
      <c r="BY667" s="641">
        <f t="shared" si="289"/>
        <v>0</v>
      </c>
    </row>
    <row r="668" spans="1:77" x14ac:dyDescent="0.2">
      <c r="A668" s="352" t="s">
        <v>110</v>
      </c>
      <c r="B668" s="414" t="s">
        <v>856</v>
      </c>
      <c r="C668" s="415"/>
      <c r="D668" s="355">
        <v>237932</v>
      </c>
      <c r="E668" s="356">
        <v>6</v>
      </c>
      <c r="F668" s="631">
        <v>15</v>
      </c>
      <c r="G668" s="632">
        <v>67650</v>
      </c>
      <c r="H668" s="633">
        <f t="shared" si="266"/>
        <v>1014750</v>
      </c>
      <c r="I668" s="634">
        <v>16</v>
      </c>
      <c r="J668" s="634">
        <v>67681</v>
      </c>
      <c r="K668" s="635">
        <f t="shared" si="267"/>
        <v>1082896</v>
      </c>
      <c r="L668" s="636">
        <v>30</v>
      </c>
      <c r="M668" s="636">
        <v>57070</v>
      </c>
      <c r="N668" s="637">
        <f t="shared" si="268"/>
        <v>1712100</v>
      </c>
      <c r="O668" s="638">
        <v>34</v>
      </c>
      <c r="P668" s="638">
        <v>64271</v>
      </c>
      <c r="Q668" s="635">
        <f t="shared" si="269"/>
        <v>2185214</v>
      </c>
      <c r="R668" s="636">
        <v>35</v>
      </c>
      <c r="S668" s="636">
        <v>50316</v>
      </c>
      <c r="T668" s="637">
        <f t="shared" si="270"/>
        <v>1761060</v>
      </c>
      <c r="U668" s="638">
        <v>41</v>
      </c>
      <c r="V668" s="638">
        <v>51374</v>
      </c>
      <c r="W668" s="635">
        <f t="shared" si="271"/>
        <v>2106334</v>
      </c>
      <c r="X668" s="636">
        <v>26</v>
      </c>
      <c r="Y668" s="636">
        <v>43529</v>
      </c>
      <c r="Z668" s="637">
        <f t="shared" si="272"/>
        <v>1131754</v>
      </c>
      <c r="AA668" s="638">
        <v>32</v>
      </c>
      <c r="AB668" s="638">
        <v>47811</v>
      </c>
      <c r="AC668" s="635">
        <f t="shared" si="273"/>
        <v>1529952</v>
      </c>
      <c r="AD668" s="636">
        <v>3</v>
      </c>
      <c r="AE668" s="636">
        <v>37457</v>
      </c>
      <c r="AF668" s="637">
        <f t="shared" si="274"/>
        <v>112371</v>
      </c>
      <c r="AG668" s="638">
        <v>2</v>
      </c>
      <c r="AH668" s="638">
        <v>39226</v>
      </c>
      <c r="AI668" s="635">
        <f t="shared" si="275"/>
        <v>78452</v>
      </c>
      <c r="AJ668" s="636"/>
      <c r="AK668" s="636"/>
      <c r="AL668" s="637">
        <f t="shared" si="276"/>
        <v>0</v>
      </c>
      <c r="AM668" s="638"/>
      <c r="AN668" s="638"/>
      <c r="AO668" s="640">
        <f t="shared" si="277"/>
        <v>0</v>
      </c>
      <c r="AP668" s="636">
        <v>1</v>
      </c>
      <c r="AQ668" s="636">
        <v>61750</v>
      </c>
      <c r="AR668" s="637">
        <f t="shared" si="278"/>
        <v>50523.850000000006</v>
      </c>
      <c r="AS668" s="638">
        <v>3</v>
      </c>
      <c r="AT668" s="638">
        <v>90662</v>
      </c>
      <c r="AU668" s="635">
        <f t="shared" si="279"/>
        <v>222538.94520000002</v>
      </c>
      <c r="AV668" s="636">
        <v>2</v>
      </c>
      <c r="AW668" s="636">
        <v>57583</v>
      </c>
      <c r="AX668" s="637">
        <f t="shared" si="280"/>
        <v>94228.821200000006</v>
      </c>
      <c r="AY668" s="638">
        <v>1</v>
      </c>
      <c r="AZ668" s="638">
        <v>66496</v>
      </c>
      <c r="BA668" s="635">
        <f t="shared" si="281"/>
        <v>54407.027200000004</v>
      </c>
      <c r="BB668" s="636">
        <v>2</v>
      </c>
      <c r="BC668" s="636">
        <v>88837</v>
      </c>
      <c r="BD668" s="637">
        <f t="shared" si="282"/>
        <v>145372.86680000002</v>
      </c>
      <c r="BE668" s="638">
        <v>1</v>
      </c>
      <c r="BF668" s="638">
        <v>96000</v>
      </c>
      <c r="BG668" s="635">
        <f t="shared" si="283"/>
        <v>78547.199999999997</v>
      </c>
      <c r="BH668" s="636">
        <v>4</v>
      </c>
      <c r="BI668" s="636">
        <v>48729</v>
      </c>
      <c r="BJ668" s="637">
        <f t="shared" si="284"/>
        <v>159480.27120000002</v>
      </c>
      <c r="BK668" s="638">
        <v>1</v>
      </c>
      <c r="BL668" s="638">
        <v>56563</v>
      </c>
      <c r="BM668" s="635">
        <f t="shared" si="285"/>
        <v>46279.846600000004</v>
      </c>
      <c r="BN668" s="636"/>
      <c r="BO668" s="636"/>
      <c r="BP668" s="637">
        <f t="shared" si="286"/>
        <v>0</v>
      </c>
      <c r="BQ668" s="638"/>
      <c r="BR668" s="638"/>
      <c r="BS668" s="635">
        <f t="shared" si="287"/>
        <v>0</v>
      </c>
      <c r="BT668" s="636"/>
      <c r="BU668" s="636"/>
      <c r="BV668" s="637">
        <f t="shared" si="288"/>
        <v>0</v>
      </c>
      <c r="BW668" s="638"/>
      <c r="BX668" s="638"/>
      <c r="BY668" s="641">
        <f t="shared" si="289"/>
        <v>0</v>
      </c>
    </row>
    <row r="669" spans="1:77" x14ac:dyDescent="0.2">
      <c r="A669" s="352" t="s">
        <v>110</v>
      </c>
      <c r="B669" s="353" t="s">
        <v>857</v>
      </c>
      <c r="C669" s="354"/>
      <c r="D669" s="355">
        <v>237899</v>
      </c>
      <c r="E669" s="356">
        <v>6</v>
      </c>
      <c r="F669" s="631">
        <v>19</v>
      </c>
      <c r="G669" s="632">
        <v>62118</v>
      </c>
      <c r="H669" s="633">
        <f t="shared" si="266"/>
        <v>1180242</v>
      </c>
      <c r="I669" s="634">
        <v>28</v>
      </c>
      <c r="J669" s="634">
        <v>63376</v>
      </c>
      <c r="K669" s="635">
        <f t="shared" si="267"/>
        <v>1774528</v>
      </c>
      <c r="L669" s="636">
        <v>35</v>
      </c>
      <c r="M669" s="636">
        <v>57950</v>
      </c>
      <c r="N669" s="637">
        <f t="shared" si="268"/>
        <v>2028250</v>
      </c>
      <c r="O669" s="638">
        <v>40</v>
      </c>
      <c r="P669" s="638">
        <v>54692</v>
      </c>
      <c r="Q669" s="635">
        <f t="shared" si="269"/>
        <v>2187680</v>
      </c>
      <c r="R669" s="636">
        <v>52</v>
      </c>
      <c r="S669" s="636">
        <v>48101</v>
      </c>
      <c r="T669" s="637">
        <f t="shared" si="270"/>
        <v>2501252</v>
      </c>
      <c r="U669" s="638">
        <v>42</v>
      </c>
      <c r="V669" s="638">
        <v>49013</v>
      </c>
      <c r="W669" s="635">
        <f t="shared" si="271"/>
        <v>2058546</v>
      </c>
      <c r="X669" s="636">
        <v>11</v>
      </c>
      <c r="Y669" s="636">
        <v>37433</v>
      </c>
      <c r="Z669" s="637">
        <f t="shared" si="272"/>
        <v>411763</v>
      </c>
      <c r="AA669" s="638">
        <v>8</v>
      </c>
      <c r="AB669" s="638">
        <v>38757</v>
      </c>
      <c r="AC669" s="635">
        <f t="shared" si="273"/>
        <v>310056</v>
      </c>
      <c r="AD669" s="636">
        <v>1</v>
      </c>
      <c r="AE669" s="636">
        <v>65000</v>
      </c>
      <c r="AF669" s="637">
        <f t="shared" si="274"/>
        <v>65000</v>
      </c>
      <c r="AG669" s="638"/>
      <c r="AH669" s="638"/>
      <c r="AI669" s="635">
        <f t="shared" si="275"/>
        <v>0</v>
      </c>
      <c r="AJ669" s="636"/>
      <c r="AK669" s="636"/>
      <c r="AL669" s="637">
        <f t="shared" si="276"/>
        <v>0</v>
      </c>
      <c r="AM669" s="638"/>
      <c r="AN669" s="638"/>
      <c r="AO669" s="640">
        <f t="shared" si="277"/>
        <v>0</v>
      </c>
      <c r="AP669" s="636"/>
      <c r="AQ669" s="636"/>
      <c r="AR669" s="637">
        <f t="shared" si="278"/>
        <v>0</v>
      </c>
      <c r="AS669" s="638">
        <v>1</v>
      </c>
      <c r="AT669" s="638">
        <v>76013</v>
      </c>
      <c r="AU669" s="635">
        <f t="shared" si="279"/>
        <v>62193.836600000002</v>
      </c>
      <c r="AV669" s="636">
        <v>1</v>
      </c>
      <c r="AW669" s="636">
        <v>74753</v>
      </c>
      <c r="AX669" s="637">
        <f t="shared" si="280"/>
        <v>61162.904600000002</v>
      </c>
      <c r="AY669" s="638">
        <v>1</v>
      </c>
      <c r="AZ669" s="638">
        <v>58212</v>
      </c>
      <c r="BA669" s="635">
        <f t="shared" si="281"/>
        <v>47629.058400000002</v>
      </c>
      <c r="BB669" s="636">
        <v>1</v>
      </c>
      <c r="BC669" s="636">
        <v>51954</v>
      </c>
      <c r="BD669" s="637">
        <f t="shared" si="282"/>
        <v>42508.762800000004</v>
      </c>
      <c r="BE669" s="638"/>
      <c r="BF669" s="638"/>
      <c r="BG669" s="635">
        <f t="shared" si="283"/>
        <v>0</v>
      </c>
      <c r="BH669" s="636"/>
      <c r="BI669" s="636"/>
      <c r="BJ669" s="637">
        <f t="shared" si="284"/>
        <v>0</v>
      </c>
      <c r="BK669" s="638"/>
      <c r="BL669" s="638"/>
      <c r="BM669" s="635">
        <f t="shared" si="285"/>
        <v>0</v>
      </c>
      <c r="BN669" s="636"/>
      <c r="BO669" s="636"/>
      <c r="BP669" s="637">
        <f t="shared" si="286"/>
        <v>0</v>
      </c>
      <c r="BQ669" s="638"/>
      <c r="BR669" s="638"/>
      <c r="BS669" s="635">
        <f t="shared" si="287"/>
        <v>0</v>
      </c>
      <c r="BT669" s="636"/>
      <c r="BU669" s="636"/>
      <c r="BV669" s="637">
        <f t="shared" si="288"/>
        <v>0</v>
      </c>
      <c r="BW669" s="638"/>
      <c r="BX669" s="638"/>
      <c r="BY669" s="641">
        <f t="shared" si="289"/>
        <v>0</v>
      </c>
    </row>
    <row r="670" spans="1:77" x14ac:dyDescent="0.2">
      <c r="A670" s="352" t="s">
        <v>110</v>
      </c>
      <c r="B670" s="353" t="s">
        <v>858</v>
      </c>
      <c r="C670" s="354"/>
      <c r="D670" s="355">
        <v>237950</v>
      </c>
      <c r="E670" s="356">
        <v>6</v>
      </c>
      <c r="F670" s="631">
        <v>28</v>
      </c>
      <c r="G670" s="632">
        <v>73632</v>
      </c>
      <c r="H670" s="633">
        <f t="shared" si="266"/>
        <v>2061696</v>
      </c>
      <c r="I670" s="634">
        <v>21</v>
      </c>
      <c r="J670" s="634">
        <v>77059</v>
      </c>
      <c r="K670" s="635">
        <f t="shared" si="267"/>
        <v>1618239</v>
      </c>
      <c r="L670" s="636">
        <v>19</v>
      </c>
      <c r="M670" s="636">
        <v>56662</v>
      </c>
      <c r="N670" s="637">
        <f t="shared" si="268"/>
        <v>1076578</v>
      </c>
      <c r="O670" s="638">
        <v>14</v>
      </c>
      <c r="P670" s="638">
        <v>57187</v>
      </c>
      <c r="Q670" s="635">
        <f t="shared" si="269"/>
        <v>800618</v>
      </c>
      <c r="R670" s="636">
        <v>26</v>
      </c>
      <c r="S670" s="636">
        <v>51214</v>
      </c>
      <c r="T670" s="637">
        <f t="shared" si="270"/>
        <v>1331564</v>
      </c>
      <c r="U670" s="638">
        <v>29</v>
      </c>
      <c r="V670" s="638">
        <v>53919</v>
      </c>
      <c r="W670" s="635">
        <f t="shared" si="271"/>
        <v>1563651</v>
      </c>
      <c r="X670" s="636">
        <v>2</v>
      </c>
      <c r="Y670" s="636">
        <v>39960</v>
      </c>
      <c r="Z670" s="637">
        <f t="shared" si="272"/>
        <v>79920</v>
      </c>
      <c r="AA670" s="638">
        <v>1</v>
      </c>
      <c r="AB670" s="638">
        <v>35000</v>
      </c>
      <c r="AC670" s="635">
        <f t="shared" si="273"/>
        <v>35000</v>
      </c>
      <c r="AD670" s="636">
        <v>9</v>
      </c>
      <c r="AE670" s="636">
        <v>46680</v>
      </c>
      <c r="AF670" s="637">
        <f t="shared" si="274"/>
        <v>420120</v>
      </c>
      <c r="AG670" s="638">
        <v>11</v>
      </c>
      <c r="AH670" s="638">
        <v>50755</v>
      </c>
      <c r="AI670" s="635">
        <f t="shared" si="275"/>
        <v>558305</v>
      </c>
      <c r="AJ670" s="636"/>
      <c r="AK670" s="636"/>
      <c r="AL670" s="637">
        <f t="shared" si="276"/>
        <v>0</v>
      </c>
      <c r="AM670" s="638"/>
      <c r="AN670" s="638"/>
      <c r="AO670" s="640">
        <f t="shared" si="277"/>
        <v>0</v>
      </c>
      <c r="AP670" s="636"/>
      <c r="AQ670" s="636"/>
      <c r="AR670" s="637">
        <f t="shared" si="278"/>
        <v>0</v>
      </c>
      <c r="AS670" s="638"/>
      <c r="AT670" s="638"/>
      <c r="AU670" s="635">
        <f t="shared" si="279"/>
        <v>0</v>
      </c>
      <c r="AV670" s="636">
        <v>3</v>
      </c>
      <c r="AW670" s="636">
        <v>63773</v>
      </c>
      <c r="AX670" s="637">
        <f t="shared" si="280"/>
        <v>156537.2058</v>
      </c>
      <c r="AY670" s="638">
        <v>2</v>
      </c>
      <c r="AZ670" s="638">
        <v>61725</v>
      </c>
      <c r="BA670" s="635">
        <f t="shared" si="281"/>
        <v>101006.79000000001</v>
      </c>
      <c r="BB670" s="636">
        <v>3</v>
      </c>
      <c r="BC670" s="636">
        <v>56097</v>
      </c>
      <c r="BD670" s="637">
        <f t="shared" si="282"/>
        <v>137695.69620000001</v>
      </c>
      <c r="BE670" s="638">
        <v>3</v>
      </c>
      <c r="BF670" s="638">
        <v>66746</v>
      </c>
      <c r="BG670" s="635">
        <f t="shared" si="283"/>
        <v>163834.7316</v>
      </c>
      <c r="BH670" s="636"/>
      <c r="BI670" s="636"/>
      <c r="BJ670" s="637">
        <f t="shared" si="284"/>
        <v>0</v>
      </c>
      <c r="BK670" s="638"/>
      <c r="BL670" s="638"/>
      <c r="BM670" s="635">
        <f t="shared" si="285"/>
        <v>0</v>
      </c>
      <c r="BN670" s="636"/>
      <c r="BO670" s="636"/>
      <c r="BP670" s="637">
        <f t="shared" si="286"/>
        <v>0</v>
      </c>
      <c r="BQ670" s="638"/>
      <c r="BR670" s="638"/>
      <c r="BS670" s="635">
        <f t="shared" si="287"/>
        <v>0</v>
      </c>
      <c r="BT670" s="636"/>
      <c r="BU670" s="636"/>
      <c r="BV670" s="637">
        <f t="shared" si="288"/>
        <v>0</v>
      </c>
      <c r="BW670" s="638"/>
      <c r="BX670" s="638"/>
      <c r="BY670" s="641">
        <f t="shared" si="289"/>
        <v>0</v>
      </c>
    </row>
    <row r="671" spans="1:77" x14ac:dyDescent="0.2">
      <c r="A671" s="352" t="s">
        <v>110</v>
      </c>
      <c r="B671" s="416" t="s">
        <v>859</v>
      </c>
      <c r="C671" s="417"/>
      <c r="D671" s="355">
        <v>237701</v>
      </c>
      <c r="E671" s="356">
        <v>7</v>
      </c>
      <c r="F671" s="631">
        <v>13</v>
      </c>
      <c r="G671" s="632">
        <v>66239</v>
      </c>
      <c r="H671" s="633">
        <f t="shared" si="266"/>
        <v>861107</v>
      </c>
      <c r="I671" s="634">
        <v>12</v>
      </c>
      <c r="J671" s="634">
        <v>69242</v>
      </c>
      <c r="K671" s="635">
        <f t="shared" si="267"/>
        <v>830904</v>
      </c>
      <c r="L671" s="636">
        <v>4</v>
      </c>
      <c r="M671" s="636">
        <v>48469</v>
      </c>
      <c r="N671" s="637">
        <f t="shared" si="268"/>
        <v>193876</v>
      </c>
      <c r="O671" s="638">
        <v>4</v>
      </c>
      <c r="P671" s="638">
        <v>50574</v>
      </c>
      <c r="Q671" s="635">
        <f t="shared" si="269"/>
        <v>202296</v>
      </c>
      <c r="R671" s="636">
        <v>11</v>
      </c>
      <c r="S671" s="636">
        <v>42574</v>
      </c>
      <c r="T671" s="637">
        <f t="shared" si="270"/>
        <v>468314</v>
      </c>
      <c r="U671" s="638">
        <v>11</v>
      </c>
      <c r="V671" s="638">
        <v>44116</v>
      </c>
      <c r="W671" s="635">
        <f t="shared" si="271"/>
        <v>485276</v>
      </c>
      <c r="X671" s="636">
        <v>13</v>
      </c>
      <c r="Y671" s="636">
        <v>38090</v>
      </c>
      <c r="Z671" s="637">
        <f t="shared" si="272"/>
        <v>495170</v>
      </c>
      <c r="AA671" s="638">
        <v>12</v>
      </c>
      <c r="AB671" s="638">
        <v>41292</v>
      </c>
      <c r="AC671" s="635">
        <f t="shared" si="273"/>
        <v>495504</v>
      </c>
      <c r="AD671" s="636"/>
      <c r="AE671" s="636"/>
      <c r="AF671" s="637">
        <f t="shared" si="274"/>
        <v>0</v>
      </c>
      <c r="AG671" s="638">
        <v>2</v>
      </c>
      <c r="AH671" s="638">
        <v>36250</v>
      </c>
      <c r="AI671" s="635">
        <f t="shared" si="275"/>
        <v>72500</v>
      </c>
      <c r="AJ671" s="636"/>
      <c r="AK671" s="636"/>
      <c r="AL671" s="637">
        <f t="shared" si="276"/>
        <v>0</v>
      </c>
      <c r="AM671" s="638"/>
      <c r="AN671" s="638"/>
      <c r="AO671" s="640">
        <f t="shared" si="277"/>
        <v>0</v>
      </c>
      <c r="AP671" s="636"/>
      <c r="AQ671" s="636"/>
      <c r="AR671" s="637">
        <f t="shared" si="278"/>
        <v>0</v>
      </c>
      <c r="AS671" s="638"/>
      <c r="AT671" s="638"/>
      <c r="AU671" s="635">
        <f t="shared" si="279"/>
        <v>0</v>
      </c>
      <c r="AV671" s="636"/>
      <c r="AW671" s="636"/>
      <c r="AX671" s="637">
        <f t="shared" si="280"/>
        <v>0</v>
      </c>
      <c r="AY671" s="638"/>
      <c r="AZ671" s="638"/>
      <c r="BA671" s="635">
        <f t="shared" si="281"/>
        <v>0</v>
      </c>
      <c r="BB671" s="636"/>
      <c r="BC671" s="636"/>
      <c r="BD671" s="637">
        <f t="shared" si="282"/>
        <v>0</v>
      </c>
      <c r="BE671" s="638"/>
      <c r="BF671" s="638"/>
      <c r="BG671" s="635">
        <f t="shared" si="283"/>
        <v>0</v>
      </c>
      <c r="BH671" s="636"/>
      <c r="BI671" s="636"/>
      <c r="BJ671" s="637">
        <f t="shared" si="284"/>
        <v>0</v>
      </c>
      <c r="BK671" s="638"/>
      <c r="BL671" s="638"/>
      <c r="BM671" s="635">
        <f t="shared" si="285"/>
        <v>0</v>
      </c>
      <c r="BN671" s="636"/>
      <c r="BO671" s="636"/>
      <c r="BP671" s="637">
        <f t="shared" si="286"/>
        <v>0</v>
      </c>
      <c r="BQ671" s="638"/>
      <c r="BR671" s="638"/>
      <c r="BS671" s="635">
        <f t="shared" si="287"/>
        <v>0</v>
      </c>
      <c r="BT671" s="636"/>
      <c r="BU671" s="636"/>
      <c r="BV671" s="637">
        <f t="shared" si="288"/>
        <v>0</v>
      </c>
      <c r="BW671" s="638"/>
      <c r="BX671" s="638"/>
      <c r="BY671" s="641">
        <f t="shared" si="289"/>
        <v>0</v>
      </c>
    </row>
    <row r="672" spans="1:77" x14ac:dyDescent="0.2">
      <c r="A672" s="352" t="s">
        <v>110</v>
      </c>
      <c r="B672" s="353" t="s">
        <v>860</v>
      </c>
      <c r="C672" s="354"/>
      <c r="D672" s="355">
        <v>237686</v>
      </c>
      <c r="E672" s="356">
        <v>7</v>
      </c>
      <c r="F672" s="631">
        <v>28</v>
      </c>
      <c r="G672" s="632">
        <v>55679</v>
      </c>
      <c r="H672" s="633">
        <f t="shared" si="266"/>
        <v>1559012</v>
      </c>
      <c r="I672" s="634">
        <v>27</v>
      </c>
      <c r="J672" s="634">
        <v>57994</v>
      </c>
      <c r="K672" s="635">
        <f t="shared" si="267"/>
        <v>1565838</v>
      </c>
      <c r="L672" s="636">
        <v>9</v>
      </c>
      <c r="M672" s="636">
        <v>52504</v>
      </c>
      <c r="N672" s="637">
        <f t="shared" si="268"/>
        <v>472536</v>
      </c>
      <c r="O672" s="638">
        <v>7</v>
      </c>
      <c r="P672" s="638">
        <v>55756</v>
      </c>
      <c r="Q672" s="635">
        <f t="shared" si="269"/>
        <v>390292</v>
      </c>
      <c r="R672" s="636">
        <v>11</v>
      </c>
      <c r="S672" s="636">
        <v>43689</v>
      </c>
      <c r="T672" s="637">
        <f t="shared" si="270"/>
        <v>480579</v>
      </c>
      <c r="U672" s="638">
        <v>18</v>
      </c>
      <c r="V672" s="638">
        <v>44602</v>
      </c>
      <c r="W672" s="635">
        <f t="shared" si="271"/>
        <v>802836</v>
      </c>
      <c r="X672" s="636">
        <v>33</v>
      </c>
      <c r="Y672" s="636">
        <v>36833</v>
      </c>
      <c r="Z672" s="637">
        <f t="shared" si="272"/>
        <v>1215489</v>
      </c>
      <c r="AA672" s="638">
        <v>24</v>
      </c>
      <c r="AB672" s="638">
        <v>38434</v>
      </c>
      <c r="AC672" s="635">
        <f t="shared" si="273"/>
        <v>922416</v>
      </c>
      <c r="AD672" s="636">
        <v>4</v>
      </c>
      <c r="AE672" s="636">
        <v>36070</v>
      </c>
      <c r="AF672" s="637">
        <f t="shared" si="274"/>
        <v>144280</v>
      </c>
      <c r="AG672" s="638">
        <v>9</v>
      </c>
      <c r="AH672" s="638">
        <v>36102</v>
      </c>
      <c r="AI672" s="635">
        <f t="shared" si="275"/>
        <v>324918</v>
      </c>
      <c r="AJ672" s="636"/>
      <c r="AK672" s="636"/>
      <c r="AL672" s="637">
        <f t="shared" si="276"/>
        <v>0</v>
      </c>
      <c r="AM672" s="638"/>
      <c r="AN672" s="638"/>
      <c r="AO672" s="640">
        <f t="shared" si="277"/>
        <v>0</v>
      </c>
      <c r="AP672" s="636">
        <v>2</v>
      </c>
      <c r="AQ672" s="636">
        <v>69431</v>
      </c>
      <c r="AR672" s="637">
        <f t="shared" si="278"/>
        <v>113616.88840000001</v>
      </c>
      <c r="AS672" s="638">
        <v>2</v>
      </c>
      <c r="AT672" s="638">
        <v>72532</v>
      </c>
      <c r="AU672" s="635">
        <f t="shared" si="279"/>
        <v>118691.36480000001</v>
      </c>
      <c r="AV672" s="636">
        <v>1</v>
      </c>
      <c r="AW672" s="636">
        <v>71081</v>
      </c>
      <c r="AX672" s="637">
        <f t="shared" si="280"/>
        <v>58158.474200000004</v>
      </c>
      <c r="AY672" s="638"/>
      <c r="AZ672" s="638"/>
      <c r="BA672" s="635">
        <f t="shared" si="281"/>
        <v>0</v>
      </c>
      <c r="BB672" s="636">
        <v>2</v>
      </c>
      <c r="BC672" s="636">
        <v>59257</v>
      </c>
      <c r="BD672" s="637">
        <f t="shared" si="282"/>
        <v>96968.154800000004</v>
      </c>
      <c r="BE672" s="638">
        <v>2</v>
      </c>
      <c r="BF672" s="638">
        <v>60785</v>
      </c>
      <c r="BG672" s="635">
        <f t="shared" si="283"/>
        <v>99468.574000000008</v>
      </c>
      <c r="BH672" s="636"/>
      <c r="BI672" s="636"/>
      <c r="BJ672" s="637">
        <f t="shared" si="284"/>
        <v>0</v>
      </c>
      <c r="BK672" s="638">
        <v>1</v>
      </c>
      <c r="BL672" s="638">
        <v>43080</v>
      </c>
      <c r="BM672" s="635">
        <f t="shared" si="285"/>
        <v>35248.056000000004</v>
      </c>
      <c r="BN672" s="636">
        <v>2</v>
      </c>
      <c r="BO672" s="636">
        <v>47348</v>
      </c>
      <c r="BP672" s="637">
        <f t="shared" si="286"/>
        <v>77480.267200000002</v>
      </c>
      <c r="BQ672" s="638">
        <v>1</v>
      </c>
      <c r="BR672" s="638">
        <v>46932</v>
      </c>
      <c r="BS672" s="635">
        <f t="shared" si="287"/>
        <v>38399.7624</v>
      </c>
      <c r="BT672" s="636"/>
      <c r="BU672" s="636"/>
      <c r="BV672" s="637">
        <f t="shared" si="288"/>
        <v>0</v>
      </c>
      <c r="BW672" s="638"/>
      <c r="BX672" s="638"/>
      <c r="BY672" s="641">
        <f t="shared" si="289"/>
        <v>0</v>
      </c>
    </row>
    <row r="673" spans="1:77" x14ac:dyDescent="0.2">
      <c r="A673" s="352" t="s">
        <v>110</v>
      </c>
      <c r="B673" s="357" t="s">
        <v>869</v>
      </c>
      <c r="C673" s="419" t="s">
        <v>513</v>
      </c>
      <c r="D673" s="355">
        <v>238014</v>
      </c>
      <c r="E673" s="420">
        <v>9</v>
      </c>
      <c r="F673" s="631">
        <v>23</v>
      </c>
      <c r="G673" s="632">
        <v>56966</v>
      </c>
      <c r="H673" s="633">
        <f t="shared" si="266"/>
        <v>1310218</v>
      </c>
      <c r="I673" s="634">
        <v>22</v>
      </c>
      <c r="J673" s="634">
        <v>58966</v>
      </c>
      <c r="K673" s="635">
        <f t="shared" si="267"/>
        <v>1297252</v>
      </c>
      <c r="L673" s="636">
        <v>10</v>
      </c>
      <c r="M673" s="636">
        <v>45621</v>
      </c>
      <c r="N673" s="637">
        <f t="shared" si="268"/>
        <v>456210</v>
      </c>
      <c r="O673" s="638">
        <v>9</v>
      </c>
      <c r="P673" s="638">
        <v>47293</v>
      </c>
      <c r="Q673" s="635">
        <f t="shared" si="269"/>
        <v>425637</v>
      </c>
      <c r="R673" s="636">
        <v>8</v>
      </c>
      <c r="S673" s="636">
        <v>39465</v>
      </c>
      <c r="T673" s="637">
        <f t="shared" si="270"/>
        <v>315720</v>
      </c>
      <c r="U673" s="638">
        <v>6</v>
      </c>
      <c r="V673" s="638">
        <v>41841</v>
      </c>
      <c r="W673" s="635">
        <f t="shared" si="271"/>
        <v>251046</v>
      </c>
      <c r="X673" s="636">
        <v>20</v>
      </c>
      <c r="Y673" s="636">
        <v>33318</v>
      </c>
      <c r="Z673" s="637">
        <f t="shared" si="272"/>
        <v>666360</v>
      </c>
      <c r="AA673" s="638">
        <v>20</v>
      </c>
      <c r="AB673" s="638">
        <v>35305</v>
      </c>
      <c r="AC673" s="635">
        <f t="shared" si="273"/>
        <v>706100</v>
      </c>
      <c r="AD673" s="636"/>
      <c r="AE673" s="636"/>
      <c r="AF673" s="637">
        <f t="shared" si="274"/>
        <v>0</v>
      </c>
      <c r="AG673" s="638"/>
      <c r="AH673" s="638"/>
      <c r="AI673" s="635">
        <f t="shared" si="275"/>
        <v>0</v>
      </c>
      <c r="AJ673" s="636"/>
      <c r="AK673" s="636"/>
      <c r="AL673" s="637">
        <f t="shared" si="276"/>
        <v>0</v>
      </c>
      <c r="AM673" s="638"/>
      <c r="AN673" s="638"/>
      <c r="AO673" s="640">
        <f t="shared" si="277"/>
        <v>0</v>
      </c>
      <c r="AP673" s="636"/>
      <c r="AQ673" s="636"/>
      <c r="AR673" s="637">
        <f t="shared" si="278"/>
        <v>0</v>
      </c>
      <c r="AS673" s="638"/>
      <c r="AT673" s="638"/>
      <c r="AU673" s="635">
        <f t="shared" si="279"/>
        <v>0</v>
      </c>
      <c r="AV673" s="636"/>
      <c r="AW673" s="636"/>
      <c r="AX673" s="637">
        <f t="shared" si="280"/>
        <v>0</v>
      </c>
      <c r="AY673" s="638"/>
      <c r="AZ673" s="638"/>
      <c r="BA673" s="635">
        <f t="shared" si="281"/>
        <v>0</v>
      </c>
      <c r="BB673" s="636"/>
      <c r="BC673" s="636"/>
      <c r="BD673" s="637">
        <f t="shared" si="282"/>
        <v>0</v>
      </c>
      <c r="BE673" s="638">
        <v>1</v>
      </c>
      <c r="BF673" s="638">
        <v>40500</v>
      </c>
      <c r="BG673" s="635">
        <f t="shared" si="283"/>
        <v>33137.1</v>
      </c>
      <c r="BH673" s="636">
        <v>1</v>
      </c>
      <c r="BI673" s="636">
        <v>31500</v>
      </c>
      <c r="BJ673" s="637">
        <f t="shared" si="284"/>
        <v>25773.300000000003</v>
      </c>
      <c r="BK673" s="638">
        <v>4</v>
      </c>
      <c r="BL673" s="638">
        <v>32500</v>
      </c>
      <c r="BM673" s="635">
        <f t="shared" si="285"/>
        <v>106366</v>
      </c>
      <c r="BN673" s="636"/>
      <c r="BO673" s="636"/>
      <c r="BP673" s="637">
        <f t="shared" si="286"/>
        <v>0</v>
      </c>
      <c r="BQ673" s="638"/>
      <c r="BR673" s="638"/>
      <c r="BS673" s="635">
        <f t="shared" si="287"/>
        <v>0</v>
      </c>
      <c r="BT673" s="636"/>
      <c r="BU673" s="636"/>
      <c r="BV673" s="637">
        <f t="shared" si="288"/>
        <v>0</v>
      </c>
      <c r="BW673" s="638"/>
      <c r="BX673" s="638"/>
      <c r="BY673" s="641">
        <f t="shared" si="289"/>
        <v>0</v>
      </c>
    </row>
    <row r="674" spans="1:77" x14ac:dyDescent="0.2">
      <c r="A674" s="352" t="s">
        <v>110</v>
      </c>
      <c r="B674" s="353" t="s">
        <v>861</v>
      </c>
      <c r="C674" s="354"/>
      <c r="D674" s="355">
        <v>446774</v>
      </c>
      <c r="E674" s="356">
        <v>10</v>
      </c>
      <c r="F674" s="631"/>
      <c r="G674" s="632"/>
      <c r="H674" s="633">
        <f t="shared" si="266"/>
        <v>0</v>
      </c>
      <c r="I674" s="634"/>
      <c r="J674" s="634"/>
      <c r="K674" s="635">
        <f t="shared" si="267"/>
        <v>0</v>
      </c>
      <c r="L674" s="636">
        <v>3</v>
      </c>
      <c r="M674" s="636">
        <v>61550</v>
      </c>
      <c r="N674" s="637">
        <f t="shared" si="268"/>
        <v>184650</v>
      </c>
      <c r="O674" s="638">
        <v>3</v>
      </c>
      <c r="P674" s="638">
        <v>64649</v>
      </c>
      <c r="Q674" s="635">
        <f t="shared" si="269"/>
        <v>193947</v>
      </c>
      <c r="R674" s="636">
        <v>7</v>
      </c>
      <c r="S674" s="636">
        <v>47243</v>
      </c>
      <c r="T674" s="637">
        <f t="shared" si="270"/>
        <v>330701</v>
      </c>
      <c r="U674" s="638">
        <v>11</v>
      </c>
      <c r="V674" s="638">
        <v>47381</v>
      </c>
      <c r="W674" s="635">
        <f t="shared" si="271"/>
        <v>521191</v>
      </c>
      <c r="X674" s="636">
        <v>6</v>
      </c>
      <c r="Y674" s="636">
        <v>40363</v>
      </c>
      <c r="Z674" s="637">
        <f t="shared" si="272"/>
        <v>242178</v>
      </c>
      <c r="AA674" s="638">
        <v>3</v>
      </c>
      <c r="AB674" s="638">
        <v>39762</v>
      </c>
      <c r="AC674" s="635">
        <f t="shared" si="273"/>
        <v>119286</v>
      </c>
      <c r="AD674" s="636">
        <v>7</v>
      </c>
      <c r="AE674" s="636">
        <v>36975</v>
      </c>
      <c r="AF674" s="637">
        <f t="shared" si="274"/>
        <v>258825</v>
      </c>
      <c r="AG674" s="638">
        <v>9</v>
      </c>
      <c r="AH674" s="638">
        <v>39474</v>
      </c>
      <c r="AI674" s="635">
        <f t="shared" si="275"/>
        <v>355266</v>
      </c>
      <c r="AJ674" s="636"/>
      <c r="AK674" s="636"/>
      <c r="AL674" s="637">
        <f t="shared" si="276"/>
        <v>0</v>
      </c>
      <c r="AM674" s="638"/>
      <c r="AN674" s="638"/>
      <c r="AO674" s="640">
        <f t="shared" si="277"/>
        <v>0</v>
      </c>
      <c r="AP674" s="636"/>
      <c r="AQ674" s="636"/>
      <c r="AR674" s="637">
        <f t="shared" si="278"/>
        <v>0</v>
      </c>
      <c r="AS674" s="638">
        <v>1</v>
      </c>
      <c r="AT674" s="638">
        <v>95270</v>
      </c>
      <c r="AU674" s="635">
        <f t="shared" si="279"/>
        <v>77949.914000000004</v>
      </c>
      <c r="AV674" s="636">
        <v>1</v>
      </c>
      <c r="AW674" s="636">
        <v>84670</v>
      </c>
      <c r="AX674" s="637">
        <f t="shared" si="280"/>
        <v>69276.994000000006</v>
      </c>
      <c r="AY674" s="638"/>
      <c r="AZ674" s="638"/>
      <c r="BA674" s="635">
        <f t="shared" si="281"/>
        <v>0</v>
      </c>
      <c r="BB674" s="636">
        <v>2</v>
      </c>
      <c r="BC674" s="636">
        <v>55944</v>
      </c>
      <c r="BD674" s="637">
        <f t="shared" si="282"/>
        <v>91546.761599999998</v>
      </c>
      <c r="BE674" s="638">
        <v>6</v>
      </c>
      <c r="BF674" s="638">
        <v>58360</v>
      </c>
      <c r="BG674" s="635">
        <f t="shared" si="283"/>
        <v>286500.91200000001</v>
      </c>
      <c r="BH674" s="636">
        <v>9</v>
      </c>
      <c r="BI674" s="636">
        <v>46606</v>
      </c>
      <c r="BJ674" s="637">
        <f t="shared" si="284"/>
        <v>343197.26280000003</v>
      </c>
      <c r="BK674" s="638">
        <v>4</v>
      </c>
      <c r="BL674" s="638">
        <v>44367</v>
      </c>
      <c r="BM674" s="635">
        <f t="shared" si="285"/>
        <v>145204.31760000001</v>
      </c>
      <c r="BN674" s="636">
        <v>6</v>
      </c>
      <c r="BO674" s="636">
        <v>41610</v>
      </c>
      <c r="BP674" s="637">
        <f t="shared" si="286"/>
        <v>204271.81200000001</v>
      </c>
      <c r="BQ674" s="638">
        <v>6</v>
      </c>
      <c r="BR674" s="638">
        <v>47071</v>
      </c>
      <c r="BS674" s="635">
        <f t="shared" si="287"/>
        <v>231080.95320000002</v>
      </c>
      <c r="BT674" s="636"/>
      <c r="BU674" s="636"/>
      <c r="BV674" s="637">
        <f t="shared" si="288"/>
        <v>0</v>
      </c>
      <c r="BW674" s="638"/>
      <c r="BX674" s="638"/>
      <c r="BY674" s="641">
        <f t="shared" si="289"/>
        <v>0</v>
      </c>
    </row>
    <row r="675" spans="1:77" x14ac:dyDescent="0.2">
      <c r="A675" s="352" t="s">
        <v>110</v>
      </c>
      <c r="B675" s="353" t="s">
        <v>862</v>
      </c>
      <c r="C675" s="354"/>
      <c r="D675" s="355">
        <v>445674</v>
      </c>
      <c r="E675" s="356">
        <v>10</v>
      </c>
      <c r="F675" s="631">
        <v>5</v>
      </c>
      <c r="G675" s="632">
        <v>77867</v>
      </c>
      <c r="H675" s="633">
        <f t="shared" si="266"/>
        <v>389335</v>
      </c>
      <c r="I675" s="634">
        <v>6</v>
      </c>
      <c r="J675" s="634">
        <v>77245</v>
      </c>
      <c r="K675" s="635">
        <f t="shared" si="267"/>
        <v>463470</v>
      </c>
      <c r="L675" s="636">
        <v>5</v>
      </c>
      <c r="M675" s="636">
        <v>62327</v>
      </c>
      <c r="N675" s="637">
        <f t="shared" si="268"/>
        <v>311635</v>
      </c>
      <c r="O675" s="638">
        <v>8</v>
      </c>
      <c r="P675" s="638">
        <v>64381</v>
      </c>
      <c r="Q675" s="635">
        <f t="shared" si="269"/>
        <v>515048</v>
      </c>
      <c r="R675" s="636">
        <v>8</v>
      </c>
      <c r="S675" s="636">
        <v>52798</v>
      </c>
      <c r="T675" s="637">
        <f t="shared" si="270"/>
        <v>422384</v>
      </c>
      <c r="U675" s="638">
        <v>8</v>
      </c>
      <c r="V675" s="638">
        <v>51285</v>
      </c>
      <c r="W675" s="635">
        <f t="shared" si="271"/>
        <v>410280</v>
      </c>
      <c r="X675" s="636">
        <v>9</v>
      </c>
      <c r="Y675" s="636">
        <v>41928</v>
      </c>
      <c r="Z675" s="637">
        <f t="shared" si="272"/>
        <v>377352</v>
      </c>
      <c r="AA675" s="638">
        <v>8</v>
      </c>
      <c r="AB675" s="638">
        <v>39712</v>
      </c>
      <c r="AC675" s="635">
        <f t="shared" si="273"/>
        <v>317696</v>
      </c>
      <c r="AD675" s="636"/>
      <c r="AE675" s="636"/>
      <c r="AF675" s="637">
        <f t="shared" si="274"/>
        <v>0</v>
      </c>
      <c r="AG675" s="638"/>
      <c r="AH675" s="638"/>
      <c r="AI675" s="635">
        <f t="shared" si="275"/>
        <v>0</v>
      </c>
      <c r="AJ675" s="636"/>
      <c r="AK675" s="636"/>
      <c r="AL675" s="637">
        <f t="shared" si="276"/>
        <v>0</v>
      </c>
      <c r="AM675" s="638"/>
      <c r="AN675" s="638"/>
      <c r="AO675" s="640">
        <f t="shared" si="277"/>
        <v>0</v>
      </c>
      <c r="AP675" s="636">
        <v>4</v>
      </c>
      <c r="AQ675" s="636">
        <v>78735</v>
      </c>
      <c r="AR675" s="637">
        <f t="shared" si="278"/>
        <v>257683.90800000002</v>
      </c>
      <c r="AS675" s="638">
        <v>2</v>
      </c>
      <c r="AT675" s="638">
        <v>87278</v>
      </c>
      <c r="AU675" s="635">
        <f t="shared" si="279"/>
        <v>142821.71919999999</v>
      </c>
      <c r="AV675" s="636"/>
      <c r="AW675" s="636"/>
      <c r="AX675" s="637">
        <f t="shared" si="280"/>
        <v>0</v>
      </c>
      <c r="AY675" s="638">
        <v>1</v>
      </c>
      <c r="AZ675" s="638">
        <v>80180</v>
      </c>
      <c r="BA675" s="635">
        <f t="shared" si="281"/>
        <v>65603.275999999998</v>
      </c>
      <c r="BB675" s="636">
        <v>1</v>
      </c>
      <c r="BC675" s="636">
        <v>66135</v>
      </c>
      <c r="BD675" s="637">
        <f t="shared" si="282"/>
        <v>54111.656999999999</v>
      </c>
      <c r="BE675" s="638"/>
      <c r="BF675" s="638"/>
      <c r="BG675" s="635">
        <f t="shared" si="283"/>
        <v>0</v>
      </c>
      <c r="BH675" s="636">
        <v>3</v>
      </c>
      <c r="BI675" s="636">
        <v>54884</v>
      </c>
      <c r="BJ675" s="637">
        <f t="shared" si="284"/>
        <v>134718.26639999999</v>
      </c>
      <c r="BK675" s="638">
        <v>2</v>
      </c>
      <c r="BL675" s="638">
        <v>59549</v>
      </c>
      <c r="BM675" s="635">
        <f t="shared" si="285"/>
        <v>97445.983600000007</v>
      </c>
      <c r="BN675" s="636"/>
      <c r="BO675" s="636"/>
      <c r="BP675" s="637">
        <f t="shared" si="286"/>
        <v>0</v>
      </c>
      <c r="BQ675" s="638">
        <v>3</v>
      </c>
      <c r="BR675" s="638">
        <v>51722</v>
      </c>
      <c r="BS675" s="635">
        <f t="shared" si="287"/>
        <v>126956.82120000001</v>
      </c>
      <c r="BT675" s="636"/>
      <c r="BU675" s="636"/>
      <c r="BV675" s="637">
        <f t="shared" si="288"/>
        <v>0</v>
      </c>
      <c r="BW675" s="638"/>
      <c r="BX675" s="638"/>
      <c r="BY675" s="641">
        <f t="shared" si="289"/>
        <v>0</v>
      </c>
    </row>
    <row r="676" spans="1:77" x14ac:dyDescent="0.2">
      <c r="A676" s="352" t="s">
        <v>110</v>
      </c>
      <c r="B676" s="353" t="s">
        <v>863</v>
      </c>
      <c r="C676" s="354"/>
      <c r="D676" s="355">
        <v>438708</v>
      </c>
      <c r="E676" s="356">
        <v>10</v>
      </c>
      <c r="F676" s="631"/>
      <c r="G676" s="632"/>
      <c r="H676" s="633">
        <f t="shared" si="266"/>
        <v>0</v>
      </c>
      <c r="I676" s="634"/>
      <c r="J676" s="634"/>
      <c r="K676" s="635">
        <f t="shared" si="267"/>
        <v>0</v>
      </c>
      <c r="L676" s="636"/>
      <c r="M676" s="636"/>
      <c r="N676" s="637">
        <f t="shared" si="268"/>
        <v>0</v>
      </c>
      <c r="O676" s="638"/>
      <c r="P676" s="638"/>
      <c r="Q676" s="635">
        <f t="shared" si="269"/>
        <v>0</v>
      </c>
      <c r="R676" s="636"/>
      <c r="S676" s="636"/>
      <c r="T676" s="637">
        <f t="shared" si="270"/>
        <v>0</v>
      </c>
      <c r="U676" s="638"/>
      <c r="V676" s="638"/>
      <c r="W676" s="635">
        <f t="shared" si="271"/>
        <v>0</v>
      </c>
      <c r="X676" s="636"/>
      <c r="Y676" s="636"/>
      <c r="Z676" s="637">
        <f t="shared" si="272"/>
        <v>0</v>
      </c>
      <c r="AA676" s="638"/>
      <c r="AB676" s="638"/>
      <c r="AC676" s="635">
        <f t="shared" si="273"/>
        <v>0</v>
      </c>
      <c r="AD676" s="636"/>
      <c r="AE676" s="636"/>
      <c r="AF676" s="637">
        <f t="shared" si="274"/>
        <v>0</v>
      </c>
      <c r="AG676" s="638"/>
      <c r="AH676" s="638"/>
      <c r="AI676" s="635">
        <f t="shared" si="275"/>
        <v>0</v>
      </c>
      <c r="AJ676" s="636"/>
      <c r="AK676" s="636"/>
      <c r="AL676" s="637">
        <f t="shared" si="276"/>
        <v>0</v>
      </c>
      <c r="AM676" s="638"/>
      <c r="AN676" s="638"/>
      <c r="AO676" s="640">
        <f t="shared" si="277"/>
        <v>0</v>
      </c>
      <c r="AP676" s="636"/>
      <c r="AQ676" s="636"/>
      <c r="AR676" s="637">
        <f t="shared" si="278"/>
        <v>0</v>
      </c>
      <c r="AS676" s="638"/>
      <c r="AT676" s="638"/>
      <c r="AU676" s="635">
        <f t="shared" si="279"/>
        <v>0</v>
      </c>
      <c r="AV676" s="636"/>
      <c r="AW676" s="636"/>
      <c r="AX676" s="637">
        <f t="shared" si="280"/>
        <v>0</v>
      </c>
      <c r="AY676" s="638"/>
      <c r="AZ676" s="638"/>
      <c r="BA676" s="635">
        <f t="shared" si="281"/>
        <v>0</v>
      </c>
      <c r="BB676" s="636"/>
      <c r="BC676" s="636"/>
      <c r="BD676" s="637">
        <f t="shared" si="282"/>
        <v>0</v>
      </c>
      <c r="BE676" s="638"/>
      <c r="BF676" s="638"/>
      <c r="BG676" s="635">
        <f t="shared" si="283"/>
        <v>0</v>
      </c>
      <c r="BH676" s="636"/>
      <c r="BI676" s="636"/>
      <c r="BJ676" s="637">
        <f t="shared" si="284"/>
        <v>0</v>
      </c>
      <c r="BK676" s="638"/>
      <c r="BL676" s="638"/>
      <c r="BM676" s="635">
        <f t="shared" si="285"/>
        <v>0</v>
      </c>
      <c r="BN676" s="636">
        <v>5</v>
      </c>
      <c r="BO676" s="636">
        <v>45497</v>
      </c>
      <c r="BP676" s="637">
        <f t="shared" si="286"/>
        <v>186128.22700000001</v>
      </c>
      <c r="BQ676" s="638">
        <v>5</v>
      </c>
      <c r="BR676" s="638">
        <v>39614</v>
      </c>
      <c r="BS676" s="635">
        <f t="shared" si="287"/>
        <v>162060.87400000001</v>
      </c>
      <c r="BT676" s="636"/>
      <c r="BU676" s="636"/>
      <c r="BV676" s="637">
        <f t="shared" si="288"/>
        <v>0</v>
      </c>
      <c r="BW676" s="638"/>
      <c r="BX676" s="638"/>
      <c r="BY676" s="641">
        <f t="shared" si="289"/>
        <v>0</v>
      </c>
    </row>
    <row r="677" spans="1:77" x14ac:dyDescent="0.2">
      <c r="A677" s="352" t="s">
        <v>110</v>
      </c>
      <c r="B677" s="353" t="s">
        <v>864</v>
      </c>
      <c r="C677" s="354"/>
      <c r="D677" s="355">
        <v>445018</v>
      </c>
      <c r="E677" s="356">
        <v>10</v>
      </c>
      <c r="F677" s="631">
        <v>2</v>
      </c>
      <c r="G677" s="632">
        <v>62865</v>
      </c>
      <c r="H677" s="633">
        <f t="shared" si="266"/>
        <v>125730</v>
      </c>
      <c r="I677" s="634">
        <v>2</v>
      </c>
      <c r="J677" s="634">
        <v>63421</v>
      </c>
      <c r="K677" s="635">
        <f t="shared" si="267"/>
        <v>126842</v>
      </c>
      <c r="L677" s="636">
        <v>3</v>
      </c>
      <c r="M677" s="636">
        <v>62516</v>
      </c>
      <c r="N677" s="637">
        <f t="shared" si="268"/>
        <v>187548</v>
      </c>
      <c r="O677" s="638">
        <v>2</v>
      </c>
      <c r="P677" s="638">
        <v>62582</v>
      </c>
      <c r="Q677" s="635">
        <f t="shared" si="269"/>
        <v>125164</v>
      </c>
      <c r="R677" s="636">
        <v>8</v>
      </c>
      <c r="S677" s="636">
        <v>54709</v>
      </c>
      <c r="T677" s="637">
        <f t="shared" si="270"/>
        <v>437672</v>
      </c>
      <c r="U677" s="638">
        <v>7</v>
      </c>
      <c r="V677" s="638">
        <v>52108</v>
      </c>
      <c r="W677" s="635">
        <f t="shared" si="271"/>
        <v>364756</v>
      </c>
      <c r="X677" s="636">
        <v>12</v>
      </c>
      <c r="Y677" s="636">
        <v>45465</v>
      </c>
      <c r="Z677" s="637">
        <f t="shared" si="272"/>
        <v>545580</v>
      </c>
      <c r="AA677" s="638">
        <v>20</v>
      </c>
      <c r="AB677" s="638">
        <v>44983</v>
      </c>
      <c r="AC677" s="635">
        <f t="shared" si="273"/>
        <v>899660</v>
      </c>
      <c r="AD677" s="636">
        <v>11</v>
      </c>
      <c r="AE677" s="636">
        <v>43521</v>
      </c>
      <c r="AF677" s="637">
        <f t="shared" si="274"/>
        <v>478731</v>
      </c>
      <c r="AG677" s="638">
        <v>8</v>
      </c>
      <c r="AH677" s="638">
        <v>46080</v>
      </c>
      <c r="AI677" s="635">
        <f t="shared" si="275"/>
        <v>368640</v>
      </c>
      <c r="AJ677" s="636"/>
      <c r="AK677" s="636"/>
      <c r="AL677" s="637">
        <f t="shared" si="276"/>
        <v>0</v>
      </c>
      <c r="AM677" s="638"/>
      <c r="AN677" s="638"/>
      <c r="AO677" s="640">
        <f t="shared" si="277"/>
        <v>0</v>
      </c>
      <c r="AP677" s="636"/>
      <c r="AQ677" s="636"/>
      <c r="AR677" s="637">
        <f t="shared" si="278"/>
        <v>0</v>
      </c>
      <c r="AS677" s="638"/>
      <c r="AT677" s="638"/>
      <c r="AU677" s="635">
        <f t="shared" si="279"/>
        <v>0</v>
      </c>
      <c r="AV677" s="636">
        <v>1</v>
      </c>
      <c r="AW677" s="636">
        <v>63538</v>
      </c>
      <c r="AX677" s="637">
        <f t="shared" si="280"/>
        <v>51986.791600000004</v>
      </c>
      <c r="AY677" s="638"/>
      <c r="AZ677" s="638"/>
      <c r="BA677" s="635">
        <f t="shared" si="281"/>
        <v>0</v>
      </c>
      <c r="BB677" s="636">
        <v>1</v>
      </c>
      <c r="BC677" s="636">
        <v>53828</v>
      </c>
      <c r="BD677" s="637">
        <f t="shared" si="282"/>
        <v>44042.069600000003</v>
      </c>
      <c r="BE677" s="638">
        <v>2</v>
      </c>
      <c r="BF677" s="638">
        <v>57049</v>
      </c>
      <c r="BG677" s="635">
        <f t="shared" si="283"/>
        <v>93354.983600000007</v>
      </c>
      <c r="BH677" s="636">
        <v>6</v>
      </c>
      <c r="BI677" s="636">
        <v>53679</v>
      </c>
      <c r="BJ677" s="637">
        <f t="shared" si="284"/>
        <v>263520.94680000003</v>
      </c>
      <c r="BK677" s="638">
        <v>11</v>
      </c>
      <c r="BL677" s="638">
        <v>50675</v>
      </c>
      <c r="BM677" s="635">
        <f t="shared" si="285"/>
        <v>456085.13500000001</v>
      </c>
      <c r="BN677" s="636"/>
      <c r="BO677" s="636"/>
      <c r="BP677" s="637">
        <f t="shared" si="286"/>
        <v>0</v>
      </c>
      <c r="BQ677" s="638">
        <v>2</v>
      </c>
      <c r="BR677" s="638">
        <v>60955</v>
      </c>
      <c r="BS677" s="635">
        <f t="shared" si="287"/>
        <v>99746.762000000002</v>
      </c>
      <c r="BT677" s="636"/>
      <c r="BU677" s="636"/>
      <c r="BV677" s="637">
        <f t="shared" si="288"/>
        <v>0</v>
      </c>
      <c r="BW677" s="638"/>
      <c r="BX677" s="638"/>
      <c r="BY677" s="641">
        <f t="shared" si="289"/>
        <v>0</v>
      </c>
    </row>
    <row r="678" spans="1:77" x14ac:dyDescent="0.2">
      <c r="A678" s="352" t="s">
        <v>110</v>
      </c>
      <c r="B678" s="357" t="s">
        <v>865</v>
      </c>
      <c r="C678" s="358"/>
      <c r="D678" s="355">
        <v>444954</v>
      </c>
      <c r="E678" s="356">
        <v>10</v>
      </c>
      <c r="F678" s="631">
        <v>11</v>
      </c>
      <c r="G678" s="632">
        <v>63055</v>
      </c>
      <c r="H678" s="633">
        <f t="shared" si="266"/>
        <v>693605</v>
      </c>
      <c r="I678" s="634">
        <v>10</v>
      </c>
      <c r="J678" s="634">
        <v>65720</v>
      </c>
      <c r="K678" s="635">
        <f t="shared" si="267"/>
        <v>657200</v>
      </c>
      <c r="L678" s="636">
        <v>10</v>
      </c>
      <c r="M678" s="636">
        <v>55605</v>
      </c>
      <c r="N678" s="637">
        <f t="shared" si="268"/>
        <v>556050</v>
      </c>
      <c r="O678" s="638">
        <v>10</v>
      </c>
      <c r="P678" s="638">
        <v>55921</v>
      </c>
      <c r="Q678" s="635">
        <f t="shared" si="269"/>
        <v>559210</v>
      </c>
      <c r="R678" s="636">
        <v>19</v>
      </c>
      <c r="S678" s="636">
        <v>42584</v>
      </c>
      <c r="T678" s="637">
        <f t="shared" si="270"/>
        <v>809096</v>
      </c>
      <c r="U678" s="638">
        <v>20</v>
      </c>
      <c r="V678" s="638">
        <v>41227</v>
      </c>
      <c r="W678" s="635">
        <f t="shared" si="271"/>
        <v>824540</v>
      </c>
      <c r="X678" s="636">
        <v>8</v>
      </c>
      <c r="Y678" s="636">
        <v>38894</v>
      </c>
      <c r="Z678" s="637">
        <f t="shared" si="272"/>
        <v>311152</v>
      </c>
      <c r="AA678" s="638">
        <v>8</v>
      </c>
      <c r="AB678" s="638">
        <v>39654</v>
      </c>
      <c r="AC678" s="635">
        <f t="shared" si="273"/>
        <v>317232</v>
      </c>
      <c r="AD678" s="636"/>
      <c r="AE678" s="636"/>
      <c r="AF678" s="637">
        <f t="shared" si="274"/>
        <v>0</v>
      </c>
      <c r="AG678" s="638"/>
      <c r="AH678" s="638"/>
      <c r="AI678" s="635">
        <f t="shared" si="275"/>
        <v>0</v>
      </c>
      <c r="AJ678" s="636"/>
      <c r="AK678" s="636"/>
      <c r="AL678" s="637">
        <f t="shared" si="276"/>
        <v>0</v>
      </c>
      <c r="AM678" s="638"/>
      <c r="AN678" s="638"/>
      <c r="AO678" s="640">
        <f t="shared" si="277"/>
        <v>0</v>
      </c>
      <c r="AP678" s="636"/>
      <c r="AQ678" s="636"/>
      <c r="AR678" s="637">
        <f t="shared" si="278"/>
        <v>0</v>
      </c>
      <c r="AS678" s="638"/>
      <c r="AT678" s="638"/>
      <c r="AU678" s="635">
        <f t="shared" si="279"/>
        <v>0</v>
      </c>
      <c r="AV678" s="636"/>
      <c r="AW678" s="636"/>
      <c r="AX678" s="637">
        <f t="shared" si="280"/>
        <v>0</v>
      </c>
      <c r="AY678" s="638"/>
      <c r="AZ678" s="638"/>
      <c r="BA678" s="635">
        <f t="shared" si="281"/>
        <v>0</v>
      </c>
      <c r="BB678" s="636">
        <v>2</v>
      </c>
      <c r="BC678" s="636">
        <v>50465</v>
      </c>
      <c r="BD678" s="637">
        <f t="shared" si="282"/>
        <v>82580.926000000007</v>
      </c>
      <c r="BE678" s="638">
        <v>2</v>
      </c>
      <c r="BF678" s="638">
        <v>50997</v>
      </c>
      <c r="BG678" s="635">
        <f t="shared" si="283"/>
        <v>83451.4908</v>
      </c>
      <c r="BH678" s="636">
        <v>3</v>
      </c>
      <c r="BI678" s="636">
        <v>43285</v>
      </c>
      <c r="BJ678" s="637">
        <f t="shared" si="284"/>
        <v>106247.361</v>
      </c>
      <c r="BK678" s="638">
        <v>2</v>
      </c>
      <c r="BL678" s="638">
        <v>43509</v>
      </c>
      <c r="BM678" s="635">
        <f t="shared" si="285"/>
        <v>71198.127600000007</v>
      </c>
      <c r="BN678" s="636"/>
      <c r="BO678" s="636"/>
      <c r="BP678" s="637">
        <f t="shared" si="286"/>
        <v>0</v>
      </c>
      <c r="BQ678" s="638"/>
      <c r="BR678" s="638"/>
      <c r="BS678" s="635">
        <f t="shared" si="287"/>
        <v>0</v>
      </c>
      <c r="BT678" s="636"/>
      <c r="BU678" s="636"/>
      <c r="BV678" s="637">
        <f t="shared" si="288"/>
        <v>0</v>
      </c>
      <c r="BW678" s="638"/>
      <c r="BX678" s="638"/>
      <c r="BY678" s="641">
        <f t="shared" si="289"/>
        <v>0</v>
      </c>
    </row>
    <row r="679" spans="1:77" x14ac:dyDescent="0.2">
      <c r="A679" s="352" t="s">
        <v>110</v>
      </c>
      <c r="B679" s="357" t="s">
        <v>866</v>
      </c>
      <c r="C679" s="358" t="s">
        <v>881</v>
      </c>
      <c r="D679" s="355">
        <v>447582</v>
      </c>
      <c r="E679" s="356">
        <v>10</v>
      </c>
      <c r="F679" s="631">
        <v>7</v>
      </c>
      <c r="G679" s="632">
        <v>64179</v>
      </c>
      <c r="H679" s="633">
        <f t="shared" si="266"/>
        <v>449253</v>
      </c>
      <c r="I679" s="634">
        <v>7</v>
      </c>
      <c r="J679" s="634">
        <v>66705</v>
      </c>
      <c r="K679" s="635">
        <f t="shared" si="267"/>
        <v>466935</v>
      </c>
      <c r="L679" s="636">
        <v>5</v>
      </c>
      <c r="M679" s="636">
        <v>55255</v>
      </c>
      <c r="N679" s="637">
        <f t="shared" si="268"/>
        <v>276275</v>
      </c>
      <c r="O679" s="638">
        <v>6</v>
      </c>
      <c r="P679" s="638">
        <v>56202</v>
      </c>
      <c r="Q679" s="635">
        <f t="shared" si="269"/>
        <v>337212</v>
      </c>
      <c r="R679" s="636">
        <v>7</v>
      </c>
      <c r="S679" s="636">
        <v>45132</v>
      </c>
      <c r="T679" s="637">
        <f t="shared" si="270"/>
        <v>315924</v>
      </c>
      <c r="U679" s="638">
        <v>6</v>
      </c>
      <c r="V679" s="638">
        <v>46876</v>
      </c>
      <c r="W679" s="635">
        <f t="shared" si="271"/>
        <v>281256</v>
      </c>
      <c r="X679" s="636">
        <v>15</v>
      </c>
      <c r="Y679" s="636">
        <v>39267</v>
      </c>
      <c r="Z679" s="637">
        <f t="shared" si="272"/>
        <v>589005</v>
      </c>
      <c r="AA679" s="638">
        <v>15</v>
      </c>
      <c r="AB679" s="638">
        <v>40177</v>
      </c>
      <c r="AC679" s="635">
        <f t="shared" si="273"/>
        <v>602655</v>
      </c>
      <c r="AD679" s="636"/>
      <c r="AE679" s="636"/>
      <c r="AF679" s="637">
        <f t="shared" si="274"/>
        <v>0</v>
      </c>
      <c r="AG679" s="638"/>
      <c r="AH679" s="638"/>
      <c r="AI679" s="635">
        <f t="shared" si="275"/>
        <v>0</v>
      </c>
      <c r="AJ679" s="636"/>
      <c r="AK679" s="636"/>
      <c r="AL679" s="637">
        <f t="shared" si="276"/>
        <v>0</v>
      </c>
      <c r="AM679" s="638"/>
      <c r="AN679" s="638"/>
      <c r="AO679" s="640">
        <f t="shared" si="277"/>
        <v>0</v>
      </c>
      <c r="AP679" s="636"/>
      <c r="AQ679" s="636"/>
      <c r="AR679" s="637">
        <f t="shared" si="278"/>
        <v>0</v>
      </c>
      <c r="AS679" s="638"/>
      <c r="AT679" s="638"/>
      <c r="AU679" s="635">
        <f t="shared" si="279"/>
        <v>0</v>
      </c>
      <c r="AV679" s="636">
        <v>1</v>
      </c>
      <c r="AW679" s="636">
        <v>67380</v>
      </c>
      <c r="AX679" s="637">
        <f t="shared" si="280"/>
        <v>55130.316000000006</v>
      </c>
      <c r="AY679" s="638">
        <v>1</v>
      </c>
      <c r="AZ679" s="638">
        <v>69048</v>
      </c>
      <c r="BA679" s="635">
        <f t="shared" si="281"/>
        <v>56495.073600000003</v>
      </c>
      <c r="BB679" s="636"/>
      <c r="BC679" s="636"/>
      <c r="BD679" s="637">
        <f t="shared" si="282"/>
        <v>0</v>
      </c>
      <c r="BE679" s="638"/>
      <c r="BF679" s="638"/>
      <c r="BG679" s="635">
        <f t="shared" si="283"/>
        <v>0</v>
      </c>
      <c r="BH679" s="636">
        <v>9</v>
      </c>
      <c r="BI679" s="636">
        <v>47189</v>
      </c>
      <c r="BJ679" s="637">
        <f t="shared" si="284"/>
        <v>347490.35820000002</v>
      </c>
      <c r="BK679" s="638">
        <v>15</v>
      </c>
      <c r="BL679" s="638">
        <v>50133</v>
      </c>
      <c r="BM679" s="635">
        <f t="shared" si="285"/>
        <v>615282.30900000001</v>
      </c>
      <c r="BN679" s="636"/>
      <c r="BO679" s="636"/>
      <c r="BP679" s="637">
        <f t="shared" si="286"/>
        <v>0</v>
      </c>
      <c r="BQ679" s="638"/>
      <c r="BR679" s="638"/>
      <c r="BS679" s="635">
        <f t="shared" si="287"/>
        <v>0</v>
      </c>
      <c r="BT679" s="636"/>
      <c r="BU679" s="636"/>
      <c r="BV679" s="637">
        <f t="shared" si="288"/>
        <v>0</v>
      </c>
      <c r="BW679" s="638"/>
      <c r="BX679" s="638"/>
      <c r="BY679" s="641">
        <f t="shared" si="289"/>
        <v>0</v>
      </c>
    </row>
    <row r="680" spans="1:77" x14ac:dyDescent="0.2">
      <c r="A680" s="352" t="s">
        <v>110</v>
      </c>
      <c r="B680" s="418" t="s">
        <v>867</v>
      </c>
      <c r="C680" s="358" t="s">
        <v>881</v>
      </c>
      <c r="D680" s="355">
        <v>443492</v>
      </c>
      <c r="E680" s="356">
        <v>10</v>
      </c>
      <c r="F680" s="631">
        <v>4</v>
      </c>
      <c r="G680" s="632">
        <v>70135</v>
      </c>
      <c r="H680" s="633">
        <f t="shared" si="266"/>
        <v>280540</v>
      </c>
      <c r="I680" s="634">
        <v>3</v>
      </c>
      <c r="J680" s="634">
        <v>73844</v>
      </c>
      <c r="K680" s="635">
        <f t="shared" si="267"/>
        <v>221532</v>
      </c>
      <c r="L680" s="636">
        <v>4</v>
      </c>
      <c r="M680" s="636">
        <v>54143</v>
      </c>
      <c r="N680" s="637">
        <f t="shared" si="268"/>
        <v>216572</v>
      </c>
      <c r="O680" s="638">
        <v>3</v>
      </c>
      <c r="P680" s="638">
        <v>49692</v>
      </c>
      <c r="Q680" s="635">
        <f t="shared" si="269"/>
        <v>149076</v>
      </c>
      <c r="R680" s="636">
        <v>29</v>
      </c>
      <c r="S680" s="636">
        <v>48554</v>
      </c>
      <c r="T680" s="637">
        <f t="shared" si="270"/>
        <v>1408066</v>
      </c>
      <c r="U680" s="638">
        <v>28</v>
      </c>
      <c r="V680" s="638">
        <v>50162</v>
      </c>
      <c r="W680" s="635">
        <f t="shared" si="271"/>
        <v>1404536</v>
      </c>
      <c r="X680" s="636">
        <v>12</v>
      </c>
      <c r="Y680" s="636">
        <v>45014</v>
      </c>
      <c r="Z680" s="637">
        <f t="shared" si="272"/>
        <v>540168</v>
      </c>
      <c r="AA680" s="638">
        <v>13</v>
      </c>
      <c r="AB680" s="638">
        <v>44795</v>
      </c>
      <c r="AC680" s="635">
        <f t="shared" si="273"/>
        <v>582335</v>
      </c>
      <c r="AD680" s="636"/>
      <c r="AE680" s="636"/>
      <c r="AF680" s="637">
        <f t="shared" si="274"/>
        <v>0</v>
      </c>
      <c r="AG680" s="638">
        <v>2</v>
      </c>
      <c r="AH680" s="638">
        <v>41670</v>
      </c>
      <c r="AI680" s="635">
        <f t="shared" si="275"/>
        <v>83340</v>
      </c>
      <c r="AJ680" s="636"/>
      <c r="AK680" s="636"/>
      <c r="AL680" s="637">
        <f t="shared" si="276"/>
        <v>0</v>
      </c>
      <c r="AM680" s="638"/>
      <c r="AN680" s="638"/>
      <c r="AO680" s="640">
        <f t="shared" si="277"/>
        <v>0</v>
      </c>
      <c r="AP680" s="636">
        <v>4</v>
      </c>
      <c r="AQ680" s="636">
        <v>98217</v>
      </c>
      <c r="AR680" s="637">
        <f t="shared" si="278"/>
        <v>321444.59760000004</v>
      </c>
      <c r="AS680" s="638">
        <v>4</v>
      </c>
      <c r="AT680" s="638">
        <v>101799</v>
      </c>
      <c r="AU680" s="635">
        <f t="shared" si="279"/>
        <v>333167.7672</v>
      </c>
      <c r="AV680" s="636"/>
      <c r="AW680" s="636"/>
      <c r="AX680" s="637">
        <f t="shared" si="280"/>
        <v>0</v>
      </c>
      <c r="AY680" s="638">
        <v>1</v>
      </c>
      <c r="AZ680" s="638">
        <v>58332</v>
      </c>
      <c r="BA680" s="635">
        <f t="shared" si="281"/>
        <v>47727.242400000003</v>
      </c>
      <c r="BB680" s="636">
        <v>3</v>
      </c>
      <c r="BC680" s="636">
        <v>58671</v>
      </c>
      <c r="BD680" s="637">
        <f t="shared" si="282"/>
        <v>144013.83660000001</v>
      </c>
      <c r="BE680" s="638">
        <v>4</v>
      </c>
      <c r="BF680" s="638">
        <v>59214</v>
      </c>
      <c r="BG680" s="635">
        <f t="shared" si="283"/>
        <v>193795.57920000001</v>
      </c>
      <c r="BH680" s="636">
        <v>6</v>
      </c>
      <c r="BI680" s="636">
        <v>53942</v>
      </c>
      <c r="BJ680" s="637">
        <f t="shared" si="284"/>
        <v>264812.06640000001</v>
      </c>
      <c r="BK680" s="638">
        <v>5</v>
      </c>
      <c r="BL680" s="638">
        <v>53428</v>
      </c>
      <c r="BM680" s="635">
        <f t="shared" si="285"/>
        <v>218573.948</v>
      </c>
      <c r="BN680" s="636"/>
      <c r="BO680" s="636"/>
      <c r="BP680" s="637">
        <f t="shared" si="286"/>
        <v>0</v>
      </c>
      <c r="BQ680" s="638"/>
      <c r="BR680" s="638"/>
      <c r="BS680" s="635">
        <f t="shared" si="287"/>
        <v>0</v>
      </c>
      <c r="BT680" s="636"/>
      <c r="BU680" s="636"/>
      <c r="BV680" s="637">
        <f t="shared" si="288"/>
        <v>0</v>
      </c>
      <c r="BW680" s="638"/>
      <c r="BX680" s="638"/>
      <c r="BY680" s="641">
        <f t="shared" si="289"/>
        <v>0</v>
      </c>
    </row>
    <row r="681" spans="1:77" x14ac:dyDescent="0.2">
      <c r="A681" s="352" t="s">
        <v>110</v>
      </c>
      <c r="B681" s="353" t="s">
        <v>868</v>
      </c>
      <c r="C681" s="354"/>
      <c r="D681" s="355">
        <v>237817</v>
      </c>
      <c r="E681" s="356">
        <v>10</v>
      </c>
      <c r="F681" s="631">
        <v>18</v>
      </c>
      <c r="G681" s="632">
        <v>60295</v>
      </c>
      <c r="H681" s="633">
        <f t="shared" si="266"/>
        <v>1085310</v>
      </c>
      <c r="I681" s="634">
        <v>19</v>
      </c>
      <c r="J681" s="634">
        <v>59816</v>
      </c>
      <c r="K681" s="635">
        <f t="shared" si="267"/>
        <v>1136504</v>
      </c>
      <c r="L681" s="636">
        <v>11</v>
      </c>
      <c r="M681" s="636">
        <v>48425</v>
      </c>
      <c r="N681" s="637">
        <f t="shared" si="268"/>
        <v>532675</v>
      </c>
      <c r="O681" s="638">
        <v>13</v>
      </c>
      <c r="P681" s="638">
        <v>48380</v>
      </c>
      <c r="Q681" s="635">
        <f t="shared" si="269"/>
        <v>628940</v>
      </c>
      <c r="R681" s="636">
        <v>19</v>
      </c>
      <c r="S681" s="636">
        <v>40668</v>
      </c>
      <c r="T681" s="637">
        <f t="shared" si="270"/>
        <v>772692</v>
      </c>
      <c r="U681" s="638">
        <v>23</v>
      </c>
      <c r="V681" s="638">
        <v>41376</v>
      </c>
      <c r="W681" s="635">
        <f t="shared" si="271"/>
        <v>951648</v>
      </c>
      <c r="X681" s="636">
        <v>27</v>
      </c>
      <c r="Y681" s="636">
        <v>33769</v>
      </c>
      <c r="Z681" s="637">
        <f t="shared" si="272"/>
        <v>911763</v>
      </c>
      <c r="AA681" s="638">
        <v>18</v>
      </c>
      <c r="AB681" s="638">
        <v>32811</v>
      </c>
      <c r="AC681" s="635">
        <f t="shared" si="273"/>
        <v>590598</v>
      </c>
      <c r="AD681" s="636"/>
      <c r="AE681" s="636"/>
      <c r="AF681" s="637">
        <f t="shared" si="274"/>
        <v>0</v>
      </c>
      <c r="AG681" s="638"/>
      <c r="AH681" s="638"/>
      <c r="AI681" s="635">
        <f t="shared" si="275"/>
        <v>0</v>
      </c>
      <c r="AJ681" s="636"/>
      <c r="AK681" s="636"/>
      <c r="AL681" s="637">
        <f t="shared" si="276"/>
        <v>0</v>
      </c>
      <c r="AM681" s="638"/>
      <c r="AN681" s="638"/>
      <c r="AO681" s="640">
        <f t="shared" si="277"/>
        <v>0</v>
      </c>
      <c r="AP681" s="636"/>
      <c r="AQ681" s="636"/>
      <c r="AR681" s="637">
        <f t="shared" si="278"/>
        <v>0</v>
      </c>
      <c r="AS681" s="638"/>
      <c r="AT681" s="638"/>
      <c r="AU681" s="635">
        <f t="shared" si="279"/>
        <v>0</v>
      </c>
      <c r="AV681" s="636"/>
      <c r="AW681" s="636"/>
      <c r="AX681" s="637">
        <f t="shared" si="280"/>
        <v>0</v>
      </c>
      <c r="AY681" s="638"/>
      <c r="AZ681" s="638"/>
      <c r="BA681" s="635">
        <f t="shared" si="281"/>
        <v>0</v>
      </c>
      <c r="BB681" s="636"/>
      <c r="BC681" s="636"/>
      <c r="BD681" s="637">
        <f t="shared" si="282"/>
        <v>0</v>
      </c>
      <c r="BE681" s="638"/>
      <c r="BF681" s="638"/>
      <c r="BG681" s="635">
        <f t="shared" si="283"/>
        <v>0</v>
      </c>
      <c r="BH681" s="636">
        <v>1</v>
      </c>
      <c r="BI681" s="636">
        <v>39408</v>
      </c>
      <c r="BJ681" s="637">
        <f t="shared" si="284"/>
        <v>32243.625600000003</v>
      </c>
      <c r="BK681" s="638">
        <v>1</v>
      </c>
      <c r="BL681" s="638">
        <v>39698</v>
      </c>
      <c r="BM681" s="635">
        <f t="shared" si="285"/>
        <v>32480.903600000001</v>
      </c>
      <c r="BN681" s="636"/>
      <c r="BO681" s="636"/>
      <c r="BP681" s="637">
        <f t="shared" si="286"/>
        <v>0</v>
      </c>
      <c r="BQ681" s="638"/>
      <c r="BR681" s="638"/>
      <c r="BS681" s="635">
        <f t="shared" si="287"/>
        <v>0</v>
      </c>
      <c r="BT681" s="636"/>
      <c r="BU681" s="636"/>
      <c r="BV681" s="637">
        <f t="shared" si="288"/>
        <v>0</v>
      </c>
      <c r="BW681" s="638"/>
      <c r="BX681" s="638"/>
      <c r="BY681" s="641">
        <f t="shared" si="289"/>
        <v>0</v>
      </c>
    </row>
  </sheetData>
  <sortState ref="A9:BY682">
    <sortCondition ref="A9:A682"/>
    <sortCondition ref="E9:E682"/>
    <sortCondition ref="B9:B682"/>
  </sortState>
  <mergeCells count="2">
    <mergeCell ref="A5:E5"/>
    <mergeCell ref="A6:E6"/>
  </mergeCells>
  <phoneticPr fontId="21" type="noConversion"/>
  <pageMargins left="0.75" right="0.75" top="1" bottom="1" header="0.5" footer="0.5"/>
  <pageSetup orientation="portrait" r:id="rId1"/>
  <headerFooter alignWithMargins="0"/>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FF00"/>
  </sheetPr>
  <dimension ref="A1:S383"/>
  <sheetViews>
    <sheetView workbookViewId="0">
      <selection sqref="A1:XFD1048576"/>
    </sheetView>
  </sheetViews>
  <sheetFormatPr defaultColWidth="8.625" defaultRowHeight="12.75" x14ac:dyDescent="0.2"/>
  <cols>
    <col min="1" max="1" width="8.625" style="212"/>
    <col min="2" max="2" width="24" style="212" customWidth="1"/>
    <col min="3" max="18" width="8.625" style="212"/>
    <col min="19" max="19" width="8.625" style="104"/>
    <col min="20" max="16384" width="8.625" style="212"/>
  </cols>
  <sheetData>
    <row r="1" spans="1:19" x14ac:dyDescent="0.2">
      <c r="A1" s="211"/>
    </row>
    <row r="2" spans="1:19" x14ac:dyDescent="0.2">
      <c r="A2" s="213"/>
    </row>
    <row r="3" spans="1:19" x14ac:dyDescent="0.2">
      <c r="A3" s="214"/>
      <c r="B3" s="215"/>
      <c r="C3" s="214"/>
      <c r="D3" s="215"/>
      <c r="E3" s="215"/>
      <c r="F3" s="215"/>
      <c r="G3" s="215"/>
      <c r="H3" s="215"/>
      <c r="I3" s="215"/>
      <c r="J3" s="215"/>
      <c r="K3" s="215"/>
      <c r="L3" s="215"/>
      <c r="M3" s="215"/>
      <c r="N3" s="215"/>
      <c r="O3" s="215"/>
      <c r="P3" s="215"/>
      <c r="Q3" s="215"/>
      <c r="R3" s="215"/>
      <c r="S3" s="228"/>
    </row>
    <row r="4" spans="1:19" x14ac:dyDescent="0.2">
      <c r="A4" s="216"/>
      <c r="B4" s="217"/>
      <c r="C4" s="214"/>
      <c r="D4" s="215"/>
      <c r="E4" s="215"/>
      <c r="F4" s="215"/>
      <c r="G4" s="215"/>
      <c r="H4" s="215"/>
      <c r="I4" s="214"/>
      <c r="J4" s="214"/>
      <c r="K4" s="215"/>
      <c r="L4" s="215"/>
      <c r="M4" s="215"/>
      <c r="N4" s="514"/>
      <c r="O4" s="214"/>
      <c r="P4" s="214"/>
      <c r="Q4" s="215"/>
      <c r="R4" s="214"/>
      <c r="S4" s="228"/>
    </row>
    <row r="5" spans="1:19" x14ac:dyDescent="0.2">
      <c r="A5" s="214"/>
      <c r="B5" s="214"/>
      <c r="C5" s="218"/>
      <c r="D5" s="219"/>
      <c r="E5" s="219"/>
      <c r="F5" s="219"/>
      <c r="G5" s="219"/>
      <c r="H5" s="219"/>
      <c r="I5" s="216"/>
      <c r="J5" s="218"/>
      <c r="K5" s="219"/>
      <c r="L5" s="219"/>
      <c r="M5" s="219"/>
      <c r="N5" s="223"/>
      <c r="O5" s="216"/>
      <c r="P5" s="218"/>
      <c r="Q5" s="219"/>
      <c r="R5" s="216"/>
      <c r="S5" s="229"/>
    </row>
    <row r="6" spans="1:19" x14ac:dyDescent="0.2">
      <c r="A6" s="220"/>
      <c r="B6" s="214"/>
      <c r="C6" s="221"/>
      <c r="D6" s="222"/>
      <c r="E6" s="222"/>
      <c r="F6" s="222"/>
      <c r="G6" s="222"/>
      <c r="H6" s="222"/>
      <c r="I6" s="221"/>
      <c r="J6" s="221"/>
      <c r="K6" s="222"/>
      <c r="L6" s="222"/>
      <c r="M6" s="222"/>
      <c r="N6" s="221"/>
      <c r="O6" s="221"/>
      <c r="P6" s="221"/>
      <c r="Q6" s="222"/>
      <c r="R6" s="221"/>
      <c r="S6" s="90"/>
    </row>
    <row r="7" spans="1:19" x14ac:dyDescent="0.2">
      <c r="A7" s="216"/>
      <c r="B7" s="223"/>
      <c r="C7" s="224"/>
      <c r="D7" s="90"/>
      <c r="E7" s="90"/>
      <c r="F7" s="90"/>
      <c r="G7" s="90"/>
      <c r="H7" s="90"/>
      <c r="I7" s="224"/>
      <c r="J7" s="224"/>
      <c r="K7" s="90"/>
      <c r="L7" s="90"/>
      <c r="M7" s="90"/>
      <c r="N7" s="224"/>
      <c r="O7" s="224"/>
      <c r="P7" s="224"/>
      <c r="Q7" s="90"/>
      <c r="R7" s="224"/>
      <c r="S7" s="90"/>
    </row>
    <row r="8" spans="1:19" x14ac:dyDescent="0.2">
      <c r="A8" s="216"/>
      <c r="B8" s="225"/>
      <c r="C8" s="227"/>
      <c r="D8" s="226"/>
      <c r="E8" s="226"/>
      <c r="F8" s="226"/>
      <c r="G8" s="512"/>
      <c r="H8" s="226"/>
      <c r="I8" s="227"/>
      <c r="J8" s="227"/>
      <c r="K8" s="226"/>
      <c r="L8" s="226"/>
      <c r="M8" s="226"/>
      <c r="N8" s="227"/>
      <c r="O8" s="227"/>
      <c r="P8" s="227"/>
      <c r="Q8" s="226"/>
      <c r="R8" s="227"/>
      <c r="S8" s="230"/>
    </row>
    <row r="9" spans="1:19" x14ac:dyDescent="0.2">
      <c r="A9" s="216"/>
      <c r="B9" s="214"/>
      <c r="C9" s="221"/>
      <c r="D9" s="222"/>
      <c r="E9" s="222"/>
      <c r="F9" s="222"/>
      <c r="G9" s="222"/>
      <c r="H9" s="222"/>
      <c r="I9" s="221"/>
      <c r="J9" s="221"/>
      <c r="K9" s="222"/>
      <c r="L9" s="222"/>
      <c r="M9" s="222"/>
      <c r="N9" s="221"/>
      <c r="O9" s="221"/>
      <c r="P9" s="221"/>
      <c r="Q9" s="222"/>
      <c r="R9" s="221"/>
      <c r="S9" s="90"/>
    </row>
    <row r="10" spans="1:19" x14ac:dyDescent="0.2">
      <c r="A10" s="216"/>
      <c r="B10" s="223"/>
      <c r="C10" s="224"/>
      <c r="D10" s="90"/>
      <c r="E10" s="90"/>
      <c r="F10" s="90"/>
      <c r="G10" s="90"/>
      <c r="H10" s="90"/>
      <c r="I10" s="224"/>
      <c r="J10" s="224"/>
      <c r="K10" s="90"/>
      <c r="L10" s="90"/>
      <c r="M10" s="90"/>
      <c r="N10" s="224"/>
      <c r="O10" s="224"/>
      <c r="P10" s="224"/>
      <c r="Q10" s="90"/>
      <c r="R10" s="224"/>
      <c r="S10" s="90"/>
    </row>
    <row r="11" spans="1:19" x14ac:dyDescent="0.2">
      <c r="A11" s="216"/>
      <c r="B11" s="225"/>
      <c r="C11" s="227"/>
      <c r="D11" s="226"/>
      <c r="E11" s="226"/>
      <c r="F11" s="226"/>
      <c r="G11" s="226"/>
      <c r="H11" s="226"/>
      <c r="I11" s="227"/>
      <c r="J11" s="227"/>
      <c r="K11" s="226"/>
      <c r="L11" s="226"/>
      <c r="M11" s="226"/>
      <c r="N11" s="227"/>
      <c r="O11" s="227"/>
      <c r="P11" s="227"/>
      <c r="Q11" s="226"/>
      <c r="R11" s="227"/>
      <c r="S11" s="230"/>
    </row>
    <row r="12" spans="1:19" x14ac:dyDescent="0.2">
      <c r="A12" s="216"/>
      <c r="B12" s="214"/>
      <c r="C12" s="221"/>
      <c r="D12" s="222"/>
      <c r="E12" s="222"/>
      <c r="F12" s="222"/>
      <c r="G12" s="222"/>
      <c r="H12" s="222"/>
      <c r="I12" s="221"/>
      <c r="J12" s="221"/>
      <c r="K12" s="222"/>
      <c r="L12" s="222"/>
      <c r="M12" s="222"/>
      <c r="N12" s="221"/>
      <c r="O12" s="221"/>
      <c r="P12" s="221"/>
      <c r="Q12" s="222"/>
      <c r="R12" s="221"/>
      <c r="S12" s="90"/>
    </row>
    <row r="13" spans="1:19" x14ac:dyDescent="0.2">
      <c r="A13" s="216"/>
      <c r="B13" s="223"/>
      <c r="C13" s="224"/>
      <c r="D13" s="90"/>
      <c r="E13" s="90"/>
      <c r="F13" s="90"/>
      <c r="G13" s="90"/>
      <c r="H13" s="90"/>
      <c r="I13" s="224"/>
      <c r="J13" s="224"/>
      <c r="K13" s="90"/>
      <c r="L13" s="90"/>
      <c r="M13" s="90"/>
      <c r="N13" s="224"/>
      <c r="O13" s="224"/>
      <c r="P13" s="224"/>
      <c r="Q13" s="90"/>
      <c r="R13" s="224"/>
      <c r="S13" s="90"/>
    </row>
    <row r="14" spans="1:19" x14ac:dyDescent="0.2">
      <c r="A14" s="216"/>
      <c r="B14" s="225"/>
      <c r="C14" s="227"/>
      <c r="D14" s="226"/>
      <c r="E14" s="226"/>
      <c r="F14" s="226"/>
      <c r="G14" s="226"/>
      <c r="H14" s="226"/>
      <c r="I14" s="227"/>
      <c r="J14" s="227"/>
      <c r="K14" s="226"/>
      <c r="L14" s="226"/>
      <c r="M14" s="226"/>
      <c r="N14" s="227"/>
      <c r="O14" s="227"/>
      <c r="P14" s="227"/>
      <c r="Q14" s="226"/>
      <c r="R14" s="227"/>
      <c r="S14" s="230"/>
    </row>
    <row r="15" spans="1:19" x14ac:dyDescent="0.2">
      <c r="A15" s="216"/>
      <c r="B15" s="214"/>
      <c r="C15" s="221"/>
      <c r="D15" s="222"/>
      <c r="E15" s="222"/>
      <c r="F15" s="222"/>
      <c r="G15" s="222"/>
      <c r="H15" s="222"/>
      <c r="I15" s="221"/>
      <c r="J15" s="221"/>
      <c r="K15" s="222"/>
      <c r="L15" s="222"/>
      <c r="M15" s="222"/>
      <c r="N15" s="221"/>
      <c r="O15" s="221"/>
      <c r="P15" s="221"/>
      <c r="Q15" s="222"/>
      <c r="R15" s="221"/>
      <c r="S15" s="90"/>
    </row>
    <row r="16" spans="1:19" x14ac:dyDescent="0.2">
      <c r="A16" s="216"/>
      <c r="B16" s="223"/>
      <c r="C16" s="224"/>
      <c r="D16" s="90"/>
      <c r="E16" s="90"/>
      <c r="F16" s="90"/>
      <c r="G16" s="90"/>
      <c r="H16" s="90"/>
      <c r="I16" s="224"/>
      <c r="J16" s="224"/>
      <c r="K16" s="90"/>
      <c r="L16" s="90"/>
      <c r="M16" s="90"/>
      <c r="N16" s="224"/>
      <c r="O16" s="224"/>
      <c r="P16" s="224"/>
      <c r="Q16" s="90"/>
      <c r="R16" s="224"/>
      <c r="S16" s="90"/>
    </row>
    <row r="17" spans="1:19" x14ac:dyDescent="0.2">
      <c r="A17" s="216"/>
      <c r="B17" s="225"/>
      <c r="C17" s="227"/>
      <c r="D17" s="226"/>
      <c r="E17" s="226"/>
      <c r="F17" s="512"/>
      <c r="G17" s="512"/>
      <c r="H17" s="512"/>
      <c r="I17" s="227"/>
      <c r="J17" s="227"/>
      <c r="K17" s="226"/>
      <c r="L17" s="226"/>
      <c r="M17" s="226"/>
      <c r="N17" s="227"/>
      <c r="O17" s="227"/>
      <c r="P17" s="227"/>
      <c r="Q17" s="226"/>
      <c r="R17" s="227"/>
      <c r="S17" s="230"/>
    </row>
    <row r="18" spans="1:19" x14ac:dyDescent="0.2">
      <c r="A18" s="216"/>
      <c r="B18" s="214"/>
      <c r="C18" s="221"/>
      <c r="D18" s="222"/>
      <c r="E18" s="222"/>
      <c r="F18" s="222"/>
      <c r="G18" s="222"/>
      <c r="H18" s="222"/>
      <c r="I18" s="221"/>
      <c r="J18" s="221"/>
      <c r="K18" s="222"/>
      <c r="L18" s="222"/>
      <c r="M18" s="222"/>
      <c r="N18" s="221"/>
      <c r="O18" s="221"/>
      <c r="P18" s="221"/>
      <c r="Q18" s="222"/>
      <c r="R18" s="221"/>
      <c r="S18" s="90"/>
    </row>
    <row r="19" spans="1:19" x14ac:dyDescent="0.2">
      <c r="A19" s="216"/>
      <c r="B19" s="223"/>
      <c r="C19" s="224"/>
      <c r="D19" s="90"/>
      <c r="E19" s="90"/>
      <c r="F19" s="90"/>
      <c r="G19" s="90"/>
      <c r="H19" s="90"/>
      <c r="I19" s="224"/>
      <c r="J19" s="224"/>
      <c r="K19" s="90"/>
      <c r="L19" s="90"/>
      <c r="M19" s="90"/>
      <c r="N19" s="224"/>
      <c r="O19" s="224"/>
      <c r="P19" s="224"/>
      <c r="Q19" s="90"/>
      <c r="R19" s="224"/>
      <c r="S19" s="90"/>
    </row>
    <row r="20" spans="1:19" x14ac:dyDescent="0.2">
      <c r="A20" s="216"/>
      <c r="B20" s="225"/>
      <c r="C20" s="227"/>
      <c r="D20" s="226"/>
      <c r="E20" s="226"/>
      <c r="F20" s="226"/>
      <c r="G20" s="226"/>
      <c r="H20" s="226"/>
      <c r="I20" s="227"/>
      <c r="J20" s="227"/>
      <c r="K20" s="226"/>
      <c r="L20" s="226"/>
      <c r="M20" s="226"/>
      <c r="N20" s="227"/>
      <c r="O20" s="227"/>
      <c r="P20" s="227"/>
      <c r="Q20" s="226"/>
      <c r="R20" s="227"/>
      <c r="S20" s="230"/>
    </row>
    <row r="21" spans="1:19" x14ac:dyDescent="0.2">
      <c r="A21" s="216"/>
      <c r="B21" s="214"/>
      <c r="C21" s="221"/>
      <c r="D21" s="222"/>
      <c r="E21" s="222"/>
      <c r="F21" s="222"/>
      <c r="G21" s="222"/>
      <c r="H21" s="222"/>
      <c r="I21" s="221"/>
      <c r="J21" s="221"/>
      <c r="K21" s="222"/>
      <c r="L21" s="222"/>
      <c r="M21" s="222"/>
      <c r="N21" s="221"/>
      <c r="O21" s="221"/>
      <c r="P21" s="221"/>
      <c r="Q21" s="222"/>
      <c r="R21" s="221"/>
      <c r="S21" s="90"/>
    </row>
    <row r="22" spans="1:19" x14ac:dyDescent="0.2">
      <c r="A22" s="216"/>
      <c r="B22" s="223"/>
      <c r="C22" s="224"/>
      <c r="D22" s="90"/>
      <c r="E22" s="90"/>
      <c r="F22" s="90"/>
      <c r="G22" s="90"/>
      <c r="H22" s="90"/>
      <c r="I22" s="224"/>
      <c r="J22" s="224"/>
      <c r="K22" s="90"/>
      <c r="L22" s="90"/>
      <c r="M22" s="90"/>
      <c r="N22" s="224"/>
      <c r="O22" s="224"/>
      <c r="P22" s="224"/>
      <c r="Q22" s="90"/>
      <c r="R22" s="224"/>
      <c r="S22" s="90"/>
    </row>
    <row r="23" spans="1:19" x14ac:dyDescent="0.2">
      <c r="A23" s="216"/>
      <c r="B23" s="225"/>
      <c r="C23" s="227"/>
      <c r="D23" s="226"/>
      <c r="E23" s="226"/>
      <c r="F23" s="226"/>
      <c r="G23" s="226"/>
      <c r="H23" s="226"/>
      <c r="I23" s="227"/>
      <c r="J23" s="227"/>
      <c r="K23" s="226"/>
      <c r="L23" s="226"/>
      <c r="M23" s="226"/>
      <c r="N23" s="227"/>
      <c r="O23" s="227"/>
      <c r="P23" s="227"/>
      <c r="Q23" s="226"/>
      <c r="R23" s="227"/>
      <c r="S23" s="230"/>
    </row>
    <row r="24" spans="1:19" x14ac:dyDescent="0.2">
      <c r="A24" s="216"/>
      <c r="B24" s="214"/>
      <c r="C24" s="221"/>
      <c r="D24" s="222"/>
      <c r="E24" s="222"/>
      <c r="F24" s="222"/>
      <c r="G24" s="222"/>
      <c r="H24" s="222"/>
      <c r="I24" s="221"/>
      <c r="J24" s="221"/>
      <c r="K24" s="222"/>
      <c r="L24" s="222"/>
      <c r="M24" s="222"/>
      <c r="N24" s="221"/>
      <c r="O24" s="221"/>
      <c r="P24" s="221"/>
      <c r="Q24" s="222"/>
      <c r="R24" s="221"/>
      <c r="S24" s="90"/>
    </row>
    <row r="25" spans="1:19" x14ac:dyDescent="0.2">
      <c r="A25" s="216"/>
      <c r="B25" s="223"/>
      <c r="C25" s="224"/>
      <c r="D25" s="90"/>
      <c r="E25" s="90"/>
      <c r="F25" s="90"/>
      <c r="G25" s="90"/>
      <c r="H25" s="90"/>
      <c r="I25" s="224"/>
      <c r="J25" s="224"/>
      <c r="K25" s="90"/>
      <c r="L25" s="90"/>
      <c r="M25" s="90"/>
      <c r="N25" s="224"/>
      <c r="O25" s="224"/>
      <c r="P25" s="224"/>
      <c r="Q25" s="90"/>
      <c r="R25" s="224"/>
      <c r="S25" s="90"/>
    </row>
    <row r="26" spans="1:19" x14ac:dyDescent="0.2">
      <c r="A26" s="216"/>
      <c r="B26" s="225"/>
      <c r="C26" s="227"/>
      <c r="D26" s="226"/>
      <c r="E26" s="226"/>
      <c r="F26" s="226"/>
      <c r="G26" s="226"/>
      <c r="H26" s="226"/>
      <c r="I26" s="227"/>
      <c r="J26" s="227"/>
      <c r="K26" s="226"/>
      <c r="L26" s="226"/>
      <c r="M26" s="226"/>
      <c r="N26" s="227"/>
      <c r="O26" s="227"/>
      <c r="P26" s="227"/>
      <c r="Q26" s="226"/>
      <c r="R26" s="227"/>
      <c r="S26" s="230"/>
    </row>
    <row r="27" spans="1:19" x14ac:dyDescent="0.2">
      <c r="A27" s="220"/>
      <c r="B27" s="214"/>
      <c r="C27" s="221"/>
      <c r="D27" s="222"/>
      <c r="E27" s="222"/>
      <c r="F27" s="222"/>
      <c r="G27" s="222"/>
      <c r="H27" s="222"/>
      <c r="I27" s="221"/>
      <c r="J27" s="221"/>
      <c r="K27" s="222"/>
      <c r="L27" s="222"/>
      <c r="M27" s="222"/>
      <c r="N27" s="221"/>
      <c r="O27" s="221"/>
      <c r="P27" s="221"/>
      <c r="Q27" s="222"/>
      <c r="R27" s="221"/>
      <c r="S27" s="90"/>
    </row>
    <row r="28" spans="1:19" x14ac:dyDescent="0.2">
      <c r="A28" s="216"/>
      <c r="B28" s="223"/>
      <c r="C28" s="224"/>
      <c r="D28" s="90"/>
      <c r="E28" s="90"/>
      <c r="F28" s="90"/>
      <c r="G28" s="90"/>
      <c r="H28" s="90"/>
      <c r="I28" s="224"/>
      <c r="J28" s="224"/>
      <c r="K28" s="90"/>
      <c r="L28" s="90"/>
      <c r="M28" s="90"/>
      <c r="N28" s="224"/>
      <c r="O28" s="224"/>
      <c r="P28" s="224"/>
      <c r="Q28" s="90"/>
      <c r="R28" s="224"/>
      <c r="S28" s="90"/>
    </row>
    <row r="29" spans="1:19" x14ac:dyDescent="0.2">
      <c r="A29" s="216"/>
      <c r="B29" s="225"/>
      <c r="C29" s="227"/>
      <c r="D29" s="226"/>
      <c r="E29" s="226"/>
      <c r="F29" s="226"/>
      <c r="G29" s="226"/>
      <c r="H29" s="226"/>
      <c r="I29" s="227"/>
      <c r="J29" s="227"/>
      <c r="K29" s="226"/>
      <c r="L29" s="512"/>
      <c r="M29" s="226"/>
      <c r="N29" s="227"/>
      <c r="O29" s="227"/>
      <c r="P29" s="227"/>
      <c r="Q29" s="226"/>
      <c r="R29" s="227"/>
      <c r="S29" s="230"/>
    </row>
    <row r="30" spans="1:19" x14ac:dyDescent="0.2">
      <c r="A30" s="216"/>
      <c r="B30" s="214"/>
      <c r="C30" s="221"/>
      <c r="D30" s="222"/>
      <c r="E30" s="222"/>
      <c r="F30" s="222"/>
      <c r="G30" s="222"/>
      <c r="H30" s="222"/>
      <c r="I30" s="221"/>
      <c r="J30" s="221"/>
      <c r="K30" s="222"/>
      <c r="L30" s="222"/>
      <c r="M30" s="222"/>
      <c r="N30" s="221"/>
      <c r="O30" s="221"/>
      <c r="P30" s="221"/>
      <c r="Q30" s="222"/>
      <c r="R30" s="221"/>
      <c r="S30" s="90"/>
    </row>
    <row r="31" spans="1:19" x14ac:dyDescent="0.2">
      <c r="A31" s="216"/>
      <c r="B31" s="223"/>
      <c r="C31" s="224"/>
      <c r="D31" s="90"/>
      <c r="E31" s="90"/>
      <c r="F31" s="90"/>
      <c r="G31" s="90"/>
      <c r="H31" s="90"/>
      <c r="I31" s="224"/>
      <c r="J31" s="224"/>
      <c r="K31" s="90"/>
      <c r="L31" s="90"/>
      <c r="M31" s="90"/>
      <c r="N31" s="224"/>
      <c r="O31" s="224"/>
      <c r="P31" s="224"/>
      <c r="Q31" s="90"/>
      <c r="R31" s="224"/>
      <c r="S31" s="90"/>
    </row>
    <row r="32" spans="1:19" x14ac:dyDescent="0.2">
      <c r="A32" s="216"/>
      <c r="B32" s="225"/>
      <c r="C32" s="227"/>
      <c r="D32" s="226"/>
      <c r="E32" s="226"/>
      <c r="F32" s="226"/>
      <c r="G32" s="226"/>
      <c r="H32" s="226"/>
      <c r="I32" s="227"/>
      <c r="J32" s="227"/>
      <c r="K32" s="226"/>
      <c r="L32" s="226"/>
      <c r="M32" s="226"/>
      <c r="N32" s="227"/>
      <c r="O32" s="227"/>
      <c r="P32" s="227"/>
      <c r="Q32" s="226"/>
      <c r="R32" s="227"/>
      <c r="S32" s="230"/>
    </row>
    <row r="33" spans="1:19" x14ac:dyDescent="0.2">
      <c r="A33" s="216"/>
      <c r="B33" s="214"/>
      <c r="C33" s="221"/>
      <c r="D33" s="222"/>
      <c r="E33" s="222"/>
      <c r="F33" s="222"/>
      <c r="G33" s="222"/>
      <c r="H33" s="222"/>
      <c r="I33" s="221"/>
      <c r="J33" s="221"/>
      <c r="K33" s="222"/>
      <c r="L33" s="222"/>
      <c r="M33" s="222"/>
      <c r="N33" s="221"/>
      <c r="O33" s="221"/>
      <c r="P33" s="221"/>
      <c r="Q33" s="222"/>
      <c r="R33" s="221"/>
      <c r="S33" s="90"/>
    </row>
    <row r="34" spans="1:19" x14ac:dyDescent="0.2">
      <c r="A34" s="216"/>
      <c r="B34" s="223"/>
      <c r="C34" s="224"/>
      <c r="D34" s="90"/>
      <c r="E34" s="90"/>
      <c r="F34" s="90"/>
      <c r="G34" s="90"/>
      <c r="H34" s="90"/>
      <c r="I34" s="224"/>
      <c r="J34" s="224"/>
      <c r="K34" s="90"/>
      <c r="L34" s="90"/>
      <c r="M34" s="90"/>
      <c r="N34" s="224"/>
      <c r="O34" s="224"/>
      <c r="P34" s="224"/>
      <c r="Q34" s="90"/>
      <c r="R34" s="224"/>
      <c r="S34" s="90"/>
    </row>
    <row r="35" spans="1:19" x14ac:dyDescent="0.2">
      <c r="A35" s="216"/>
      <c r="B35" s="225"/>
      <c r="C35" s="227"/>
      <c r="D35" s="226"/>
      <c r="E35" s="226"/>
      <c r="F35" s="226"/>
      <c r="G35" s="226"/>
      <c r="H35" s="226"/>
      <c r="I35" s="227"/>
      <c r="J35" s="227"/>
      <c r="K35" s="226"/>
      <c r="L35" s="226"/>
      <c r="M35" s="512"/>
      <c r="N35" s="227"/>
      <c r="O35" s="227"/>
      <c r="P35" s="227"/>
      <c r="Q35" s="226"/>
      <c r="R35" s="227"/>
      <c r="S35" s="230"/>
    </row>
    <row r="36" spans="1:19" x14ac:dyDescent="0.2">
      <c r="A36" s="216"/>
      <c r="B36" s="214"/>
      <c r="C36" s="221"/>
      <c r="D36" s="222"/>
      <c r="E36" s="222"/>
      <c r="F36" s="222"/>
      <c r="G36" s="222"/>
      <c r="H36" s="222"/>
      <c r="I36" s="221"/>
      <c r="J36" s="221"/>
      <c r="K36" s="222"/>
      <c r="L36" s="222"/>
      <c r="M36" s="222"/>
      <c r="N36" s="221"/>
      <c r="O36" s="221"/>
      <c r="P36" s="221"/>
      <c r="Q36" s="222"/>
      <c r="R36" s="221"/>
      <c r="S36" s="90"/>
    </row>
    <row r="37" spans="1:19" x14ac:dyDescent="0.2">
      <c r="A37" s="216"/>
      <c r="B37" s="223"/>
      <c r="C37" s="224"/>
      <c r="D37" s="90"/>
      <c r="E37" s="90"/>
      <c r="F37" s="90"/>
      <c r="G37" s="90"/>
      <c r="H37" s="90"/>
      <c r="I37" s="224"/>
      <c r="J37" s="224"/>
      <c r="K37" s="90"/>
      <c r="L37" s="90"/>
      <c r="M37" s="90"/>
      <c r="N37" s="224"/>
      <c r="O37" s="224"/>
      <c r="P37" s="224"/>
      <c r="Q37" s="90"/>
      <c r="R37" s="224"/>
      <c r="S37" s="90"/>
    </row>
    <row r="38" spans="1:19" x14ac:dyDescent="0.2">
      <c r="A38" s="216"/>
      <c r="B38" s="225"/>
      <c r="C38" s="227"/>
      <c r="D38" s="226"/>
      <c r="E38" s="226"/>
      <c r="F38" s="226"/>
      <c r="G38" s="226"/>
      <c r="H38" s="226"/>
      <c r="I38" s="227"/>
      <c r="J38" s="227"/>
      <c r="K38" s="226"/>
      <c r="L38" s="226"/>
      <c r="M38" s="226"/>
      <c r="N38" s="227"/>
      <c r="O38" s="227"/>
      <c r="P38" s="227"/>
      <c r="Q38" s="226"/>
      <c r="R38" s="227"/>
      <c r="S38" s="230"/>
    </row>
    <row r="39" spans="1:19" x14ac:dyDescent="0.2">
      <c r="A39" s="216"/>
      <c r="B39" s="214"/>
      <c r="C39" s="221"/>
      <c r="D39" s="222"/>
      <c r="E39" s="222"/>
      <c r="F39" s="222"/>
      <c r="G39" s="222"/>
      <c r="H39" s="222"/>
      <c r="I39" s="221"/>
      <c r="J39" s="221"/>
      <c r="K39" s="222"/>
      <c r="L39" s="222"/>
      <c r="M39" s="222"/>
      <c r="N39" s="221"/>
      <c r="O39" s="221"/>
      <c r="P39" s="221"/>
      <c r="Q39" s="222"/>
      <c r="R39" s="221"/>
      <c r="S39" s="90"/>
    </row>
    <row r="40" spans="1:19" x14ac:dyDescent="0.2">
      <c r="A40" s="216"/>
      <c r="B40" s="223"/>
      <c r="C40" s="224"/>
      <c r="D40" s="90"/>
      <c r="E40" s="90"/>
      <c r="F40" s="90"/>
      <c r="G40" s="90"/>
      <c r="H40" s="90"/>
      <c r="I40" s="224"/>
      <c r="J40" s="224"/>
      <c r="K40" s="90"/>
      <c r="L40" s="90"/>
      <c r="M40" s="90"/>
      <c r="N40" s="224"/>
      <c r="O40" s="224"/>
      <c r="P40" s="224"/>
      <c r="Q40" s="90"/>
      <c r="R40" s="224"/>
      <c r="S40" s="90"/>
    </row>
    <row r="41" spans="1:19" x14ac:dyDescent="0.2">
      <c r="A41" s="216"/>
      <c r="B41" s="225"/>
      <c r="C41" s="227"/>
      <c r="D41" s="226"/>
      <c r="E41" s="226"/>
      <c r="F41" s="226"/>
      <c r="G41" s="226"/>
      <c r="H41" s="226"/>
      <c r="I41" s="227"/>
      <c r="J41" s="227"/>
      <c r="K41" s="226"/>
      <c r="L41" s="226"/>
      <c r="M41" s="226"/>
      <c r="N41" s="227"/>
      <c r="O41" s="227"/>
      <c r="P41" s="227"/>
      <c r="Q41" s="226"/>
      <c r="R41" s="227"/>
      <c r="S41" s="230"/>
    </row>
    <row r="42" spans="1:19" x14ac:dyDescent="0.2">
      <c r="A42" s="216"/>
      <c r="B42" s="214"/>
      <c r="C42" s="221"/>
      <c r="D42" s="222"/>
      <c r="E42" s="222"/>
      <c r="F42" s="222"/>
      <c r="G42" s="222"/>
      <c r="H42" s="222"/>
      <c r="I42" s="221"/>
      <c r="J42" s="221"/>
      <c r="K42" s="222"/>
      <c r="L42" s="222"/>
      <c r="M42" s="222"/>
      <c r="N42" s="221"/>
      <c r="O42" s="221"/>
      <c r="P42" s="221"/>
      <c r="Q42" s="222"/>
      <c r="R42" s="221"/>
      <c r="S42" s="90"/>
    </row>
    <row r="43" spans="1:19" x14ac:dyDescent="0.2">
      <c r="A43" s="216"/>
      <c r="B43" s="223"/>
      <c r="C43" s="224"/>
      <c r="D43" s="90"/>
      <c r="E43" s="90"/>
      <c r="F43" s="90"/>
      <c r="G43" s="90"/>
      <c r="H43" s="90"/>
      <c r="I43" s="224"/>
      <c r="J43" s="224"/>
      <c r="K43" s="90"/>
      <c r="L43" s="90"/>
      <c r="M43" s="90"/>
      <c r="N43" s="224"/>
      <c r="O43" s="224"/>
      <c r="P43" s="224"/>
      <c r="Q43" s="90"/>
      <c r="R43" s="224"/>
      <c r="S43" s="90"/>
    </row>
    <row r="44" spans="1:19" x14ac:dyDescent="0.2">
      <c r="A44" s="216"/>
      <c r="B44" s="225"/>
      <c r="C44" s="227"/>
      <c r="D44" s="226"/>
      <c r="E44" s="226"/>
      <c r="F44" s="226"/>
      <c r="G44" s="226"/>
      <c r="H44" s="226"/>
      <c r="I44" s="227"/>
      <c r="J44" s="227"/>
      <c r="K44" s="226"/>
      <c r="L44" s="226"/>
      <c r="M44" s="226"/>
      <c r="N44" s="227"/>
      <c r="O44" s="227"/>
      <c r="P44" s="227"/>
      <c r="Q44" s="226"/>
      <c r="R44" s="227"/>
      <c r="S44" s="230"/>
    </row>
    <row r="45" spans="1:19" x14ac:dyDescent="0.2">
      <c r="A45" s="216"/>
      <c r="B45" s="214"/>
      <c r="C45" s="221"/>
      <c r="D45" s="222"/>
      <c r="E45" s="222"/>
      <c r="F45" s="222"/>
      <c r="G45" s="222"/>
      <c r="H45" s="222"/>
      <c r="I45" s="221"/>
      <c r="J45" s="221"/>
      <c r="K45" s="222"/>
      <c r="L45" s="222"/>
      <c r="M45" s="222"/>
      <c r="N45" s="221"/>
      <c r="O45" s="221"/>
      <c r="P45" s="221"/>
      <c r="Q45" s="222"/>
      <c r="R45" s="221"/>
      <c r="S45" s="90"/>
    </row>
    <row r="46" spans="1:19" x14ac:dyDescent="0.2">
      <c r="A46" s="216"/>
      <c r="B46" s="223"/>
      <c r="C46" s="224"/>
      <c r="D46" s="90"/>
      <c r="E46" s="90"/>
      <c r="F46" s="90"/>
      <c r="G46" s="90"/>
      <c r="H46" s="90"/>
      <c r="I46" s="224"/>
      <c r="J46" s="224"/>
      <c r="K46" s="90"/>
      <c r="L46" s="90"/>
      <c r="M46" s="90"/>
      <c r="N46" s="224"/>
      <c r="O46" s="224"/>
      <c r="P46" s="224"/>
      <c r="Q46" s="90"/>
      <c r="R46" s="224"/>
      <c r="S46" s="90"/>
    </row>
    <row r="47" spans="1:19" x14ac:dyDescent="0.2">
      <c r="A47" s="216"/>
      <c r="B47" s="225"/>
      <c r="C47" s="227"/>
      <c r="D47" s="226"/>
      <c r="E47" s="226"/>
      <c r="F47" s="226"/>
      <c r="G47" s="226"/>
      <c r="H47" s="226"/>
      <c r="I47" s="227"/>
      <c r="J47" s="227"/>
      <c r="K47" s="226"/>
      <c r="L47" s="226"/>
      <c r="M47" s="226"/>
      <c r="N47" s="227"/>
      <c r="O47" s="227"/>
      <c r="P47" s="227"/>
      <c r="Q47" s="226"/>
      <c r="R47" s="227"/>
      <c r="S47" s="230"/>
    </row>
    <row r="48" spans="1:19" x14ac:dyDescent="0.2">
      <c r="A48" s="220"/>
      <c r="B48" s="214"/>
      <c r="C48" s="221"/>
      <c r="D48" s="222"/>
      <c r="E48" s="222"/>
      <c r="F48" s="222"/>
      <c r="G48" s="222"/>
      <c r="H48" s="222"/>
      <c r="I48" s="221"/>
      <c r="J48" s="221"/>
      <c r="K48" s="222"/>
      <c r="L48" s="222"/>
      <c r="M48" s="222"/>
      <c r="N48" s="221"/>
      <c r="O48" s="221"/>
      <c r="P48" s="221"/>
      <c r="Q48" s="222"/>
      <c r="R48" s="221"/>
      <c r="S48" s="90"/>
    </row>
    <row r="49" spans="1:19" x14ac:dyDescent="0.2">
      <c r="A49" s="216"/>
      <c r="B49" s="223"/>
      <c r="C49" s="224"/>
      <c r="D49" s="90"/>
      <c r="E49" s="90"/>
      <c r="F49" s="90"/>
      <c r="G49" s="90"/>
      <c r="H49" s="90"/>
      <c r="I49" s="224"/>
      <c r="J49" s="224"/>
      <c r="K49" s="90"/>
      <c r="L49" s="90"/>
      <c r="M49" s="90"/>
      <c r="N49" s="224"/>
      <c r="O49" s="224"/>
      <c r="P49" s="224"/>
      <c r="Q49" s="90"/>
      <c r="R49" s="224"/>
      <c r="S49" s="90"/>
    </row>
    <row r="50" spans="1:19" x14ac:dyDescent="0.2">
      <c r="A50" s="216"/>
      <c r="B50" s="225"/>
      <c r="C50" s="227"/>
      <c r="D50" s="226"/>
      <c r="E50" s="226"/>
      <c r="F50" s="226"/>
      <c r="G50" s="226"/>
      <c r="H50" s="226"/>
      <c r="I50" s="227"/>
      <c r="J50" s="227"/>
      <c r="K50" s="226"/>
      <c r="L50" s="226"/>
      <c r="M50" s="226"/>
      <c r="N50" s="227"/>
      <c r="O50" s="227"/>
      <c r="P50" s="227"/>
      <c r="Q50" s="226"/>
      <c r="R50" s="227"/>
      <c r="S50" s="230"/>
    </row>
    <row r="51" spans="1:19" x14ac:dyDescent="0.2">
      <c r="A51" s="216"/>
      <c r="B51" s="214"/>
      <c r="C51" s="221"/>
      <c r="D51" s="222"/>
      <c r="E51" s="222"/>
      <c r="F51" s="222"/>
      <c r="G51" s="222"/>
      <c r="H51" s="222"/>
      <c r="I51" s="221"/>
      <c r="J51" s="221"/>
      <c r="K51" s="222"/>
      <c r="L51" s="222"/>
      <c r="M51" s="222"/>
      <c r="N51" s="221"/>
      <c r="O51" s="221"/>
      <c r="P51" s="221"/>
      <c r="Q51" s="222"/>
      <c r="R51" s="221"/>
      <c r="S51" s="90"/>
    </row>
    <row r="52" spans="1:19" x14ac:dyDescent="0.2">
      <c r="A52" s="216"/>
      <c r="B52" s="223"/>
      <c r="C52" s="224"/>
      <c r="D52" s="90"/>
      <c r="E52" s="90"/>
      <c r="F52" s="90"/>
      <c r="G52" s="90"/>
      <c r="H52" s="90"/>
      <c r="I52" s="224"/>
      <c r="J52" s="224"/>
      <c r="K52" s="90"/>
      <c r="L52" s="90"/>
      <c r="M52" s="90"/>
      <c r="N52" s="224"/>
      <c r="O52" s="224"/>
      <c r="P52" s="224"/>
      <c r="Q52" s="90"/>
      <c r="R52" s="224"/>
      <c r="S52" s="90"/>
    </row>
    <row r="53" spans="1:19" x14ac:dyDescent="0.2">
      <c r="A53" s="216"/>
      <c r="B53" s="225"/>
      <c r="C53" s="227"/>
      <c r="D53" s="226"/>
      <c r="E53" s="226"/>
      <c r="F53" s="226"/>
      <c r="G53" s="226"/>
      <c r="H53" s="226"/>
      <c r="I53" s="227"/>
      <c r="J53" s="227"/>
      <c r="K53" s="226"/>
      <c r="L53" s="226"/>
      <c r="M53" s="226"/>
      <c r="N53" s="227"/>
      <c r="O53" s="227"/>
      <c r="P53" s="227"/>
      <c r="Q53" s="226"/>
      <c r="R53" s="227"/>
      <c r="S53" s="230"/>
    </row>
    <row r="54" spans="1:19" x14ac:dyDescent="0.2">
      <c r="A54" s="216"/>
      <c r="B54" s="214"/>
      <c r="C54" s="221"/>
      <c r="D54" s="222"/>
      <c r="E54" s="222"/>
      <c r="F54" s="222"/>
      <c r="G54" s="222"/>
      <c r="H54" s="222"/>
      <c r="I54" s="221"/>
      <c r="J54" s="221"/>
      <c r="K54" s="222"/>
      <c r="L54" s="222"/>
      <c r="M54" s="222"/>
      <c r="N54" s="221"/>
      <c r="O54" s="221"/>
      <c r="P54" s="221"/>
      <c r="Q54" s="222"/>
      <c r="R54" s="221"/>
      <c r="S54" s="90"/>
    </row>
    <row r="55" spans="1:19" x14ac:dyDescent="0.2">
      <c r="A55" s="216"/>
      <c r="B55" s="223"/>
      <c r="C55" s="224"/>
      <c r="D55" s="90"/>
      <c r="E55" s="90"/>
      <c r="F55" s="90"/>
      <c r="G55" s="90"/>
      <c r="H55" s="90"/>
      <c r="I55" s="224"/>
      <c r="J55" s="224"/>
      <c r="K55" s="90"/>
      <c r="L55" s="90"/>
      <c r="M55" s="90"/>
      <c r="N55" s="224"/>
      <c r="O55" s="224"/>
      <c r="P55" s="224"/>
      <c r="Q55" s="90"/>
      <c r="R55" s="224"/>
      <c r="S55" s="90"/>
    </row>
    <row r="56" spans="1:19" x14ac:dyDescent="0.2">
      <c r="A56" s="216"/>
      <c r="B56" s="225"/>
      <c r="C56" s="227"/>
      <c r="D56" s="226"/>
      <c r="E56" s="226"/>
      <c r="F56" s="226"/>
      <c r="G56" s="226"/>
      <c r="H56" s="226"/>
      <c r="I56" s="227"/>
      <c r="J56" s="227"/>
      <c r="K56" s="226"/>
      <c r="L56" s="226"/>
      <c r="M56" s="226"/>
      <c r="N56" s="227"/>
      <c r="O56" s="227"/>
      <c r="P56" s="227"/>
      <c r="Q56" s="226"/>
      <c r="R56" s="227"/>
      <c r="S56" s="230"/>
    </row>
    <row r="57" spans="1:19" x14ac:dyDescent="0.2">
      <c r="A57" s="216"/>
      <c r="B57" s="214"/>
      <c r="C57" s="221"/>
      <c r="D57" s="222"/>
      <c r="E57" s="222"/>
      <c r="F57" s="222"/>
      <c r="G57" s="222"/>
      <c r="H57" s="222"/>
      <c r="I57" s="221"/>
      <c r="J57" s="221"/>
      <c r="K57" s="222"/>
      <c r="L57" s="222"/>
      <c r="M57" s="222"/>
      <c r="N57" s="221"/>
      <c r="O57" s="221"/>
      <c r="P57" s="221"/>
      <c r="Q57" s="222"/>
      <c r="R57" s="221"/>
      <c r="S57" s="90"/>
    </row>
    <row r="58" spans="1:19" x14ac:dyDescent="0.2">
      <c r="A58" s="216"/>
      <c r="B58" s="223"/>
      <c r="C58" s="224"/>
      <c r="D58" s="90"/>
      <c r="E58" s="90"/>
      <c r="F58" s="90"/>
      <c r="G58" s="90"/>
      <c r="H58" s="90"/>
      <c r="I58" s="224"/>
      <c r="J58" s="224"/>
      <c r="K58" s="90"/>
      <c r="L58" s="90"/>
      <c r="M58" s="90"/>
      <c r="N58" s="224"/>
      <c r="O58" s="224"/>
      <c r="P58" s="224"/>
      <c r="Q58" s="90"/>
      <c r="R58" s="224"/>
      <c r="S58" s="90"/>
    </row>
    <row r="59" spans="1:19" x14ac:dyDescent="0.2">
      <c r="A59" s="216"/>
      <c r="B59" s="225"/>
      <c r="C59" s="227"/>
      <c r="D59" s="226"/>
      <c r="E59" s="226"/>
      <c r="F59" s="512"/>
      <c r="G59" s="226"/>
      <c r="H59" s="226"/>
      <c r="I59" s="227"/>
      <c r="J59" s="227"/>
      <c r="K59" s="226"/>
      <c r="L59" s="226"/>
      <c r="M59" s="226"/>
      <c r="N59" s="227"/>
      <c r="O59" s="227"/>
      <c r="P59" s="227"/>
      <c r="Q59" s="226"/>
      <c r="R59" s="227"/>
      <c r="S59" s="230"/>
    </row>
    <row r="60" spans="1:19" x14ac:dyDescent="0.2">
      <c r="A60" s="216"/>
      <c r="B60" s="214"/>
      <c r="C60" s="221"/>
      <c r="D60" s="222"/>
      <c r="E60" s="222"/>
      <c r="F60" s="222"/>
      <c r="G60" s="222"/>
      <c r="H60" s="222"/>
      <c r="I60" s="221"/>
      <c r="J60" s="221"/>
      <c r="K60" s="222"/>
      <c r="L60" s="222"/>
      <c r="M60" s="222"/>
      <c r="N60" s="221"/>
      <c r="O60" s="221"/>
      <c r="P60" s="221"/>
      <c r="Q60" s="222"/>
      <c r="R60" s="221"/>
      <c r="S60" s="90"/>
    </row>
    <row r="61" spans="1:19" x14ac:dyDescent="0.2">
      <c r="A61" s="216"/>
      <c r="B61" s="223"/>
      <c r="C61" s="224"/>
      <c r="D61" s="90"/>
      <c r="E61" s="90"/>
      <c r="F61" s="90"/>
      <c r="G61" s="90"/>
      <c r="H61" s="90"/>
      <c r="I61" s="224"/>
      <c r="J61" s="224"/>
      <c r="K61" s="90"/>
      <c r="L61" s="90"/>
      <c r="M61" s="90"/>
      <c r="N61" s="224"/>
      <c r="O61" s="224"/>
      <c r="P61" s="224"/>
      <c r="Q61" s="90"/>
      <c r="R61" s="224"/>
      <c r="S61" s="90"/>
    </row>
    <row r="62" spans="1:19" x14ac:dyDescent="0.2">
      <c r="A62" s="216"/>
      <c r="B62" s="225"/>
      <c r="C62" s="227"/>
      <c r="D62" s="226"/>
      <c r="E62" s="226"/>
      <c r="F62" s="226"/>
      <c r="G62" s="226"/>
      <c r="H62" s="226"/>
      <c r="I62" s="227"/>
      <c r="J62" s="227"/>
      <c r="K62" s="226"/>
      <c r="L62" s="226"/>
      <c r="M62" s="226"/>
      <c r="N62" s="227"/>
      <c r="O62" s="227"/>
      <c r="P62" s="227"/>
      <c r="Q62" s="226"/>
      <c r="R62" s="227"/>
      <c r="S62" s="230"/>
    </row>
    <row r="63" spans="1:19" x14ac:dyDescent="0.2">
      <c r="A63" s="216"/>
      <c r="B63" s="214"/>
      <c r="C63" s="221"/>
      <c r="D63" s="222"/>
      <c r="E63" s="222"/>
      <c r="F63" s="222"/>
      <c r="G63" s="222"/>
      <c r="H63" s="222"/>
      <c r="I63" s="221"/>
      <c r="J63" s="221"/>
      <c r="K63" s="222"/>
      <c r="L63" s="222"/>
      <c r="M63" s="222"/>
      <c r="N63" s="221"/>
      <c r="O63" s="221"/>
      <c r="P63" s="221"/>
      <c r="Q63" s="222"/>
      <c r="R63" s="221"/>
      <c r="S63" s="90"/>
    </row>
    <row r="64" spans="1:19" x14ac:dyDescent="0.2">
      <c r="A64" s="216"/>
      <c r="B64" s="223"/>
      <c r="C64" s="224"/>
      <c r="D64" s="90"/>
      <c r="E64" s="90"/>
      <c r="F64" s="90"/>
      <c r="G64" s="90"/>
      <c r="H64" s="90"/>
      <c r="I64" s="224"/>
      <c r="J64" s="224"/>
      <c r="K64" s="90"/>
      <c r="L64" s="90"/>
      <c r="M64" s="90"/>
      <c r="N64" s="224"/>
      <c r="O64" s="224"/>
      <c r="P64" s="224"/>
      <c r="Q64" s="90"/>
      <c r="R64" s="224"/>
      <c r="S64" s="90"/>
    </row>
    <row r="65" spans="1:19" x14ac:dyDescent="0.2">
      <c r="A65" s="216"/>
      <c r="B65" s="225"/>
      <c r="C65" s="227"/>
      <c r="D65" s="226"/>
      <c r="E65" s="226"/>
      <c r="F65" s="226"/>
      <c r="G65" s="226"/>
      <c r="H65" s="226"/>
      <c r="I65" s="227"/>
      <c r="J65" s="227"/>
      <c r="K65" s="226"/>
      <c r="L65" s="226"/>
      <c r="M65" s="226"/>
      <c r="N65" s="227"/>
      <c r="O65" s="227"/>
      <c r="P65" s="227"/>
      <c r="Q65" s="226"/>
      <c r="R65" s="227"/>
      <c r="S65" s="230"/>
    </row>
    <row r="66" spans="1:19" x14ac:dyDescent="0.2">
      <c r="A66" s="216"/>
      <c r="B66" s="214"/>
      <c r="C66" s="221"/>
      <c r="D66" s="222"/>
      <c r="E66" s="222"/>
      <c r="F66" s="222"/>
      <c r="G66" s="222"/>
      <c r="H66" s="222"/>
      <c r="I66" s="221"/>
      <c r="J66" s="221"/>
      <c r="K66" s="222"/>
      <c r="L66" s="222"/>
      <c r="M66" s="222"/>
      <c r="N66" s="221"/>
      <c r="O66" s="221"/>
      <c r="P66" s="221"/>
      <c r="Q66" s="222"/>
      <c r="R66" s="221"/>
      <c r="S66" s="90"/>
    </row>
    <row r="67" spans="1:19" x14ac:dyDescent="0.2">
      <c r="A67" s="216"/>
      <c r="B67" s="223"/>
      <c r="C67" s="224"/>
      <c r="D67" s="90"/>
      <c r="E67" s="90"/>
      <c r="F67" s="90"/>
      <c r="G67" s="90"/>
      <c r="H67" s="90"/>
      <c r="I67" s="224"/>
      <c r="J67" s="224"/>
      <c r="K67" s="90"/>
      <c r="L67" s="90"/>
      <c r="M67" s="90"/>
      <c r="N67" s="224"/>
      <c r="O67" s="224"/>
      <c r="P67" s="224"/>
      <c r="Q67" s="90"/>
      <c r="R67" s="224"/>
      <c r="S67" s="90"/>
    </row>
    <row r="68" spans="1:19" x14ac:dyDescent="0.2">
      <c r="A68" s="216"/>
      <c r="B68" s="225"/>
      <c r="C68" s="227"/>
      <c r="D68" s="226"/>
      <c r="E68" s="226"/>
      <c r="F68" s="226"/>
      <c r="G68" s="226"/>
      <c r="H68" s="226"/>
      <c r="I68" s="227"/>
      <c r="J68" s="227"/>
      <c r="K68" s="226"/>
      <c r="L68" s="226"/>
      <c r="M68" s="226"/>
      <c r="N68" s="227"/>
      <c r="O68" s="227"/>
      <c r="P68" s="227"/>
      <c r="Q68" s="226"/>
      <c r="R68" s="227"/>
      <c r="S68" s="230"/>
    </row>
    <row r="69" spans="1:19" x14ac:dyDescent="0.2">
      <c r="A69" s="220"/>
      <c r="B69" s="214"/>
      <c r="C69" s="221"/>
      <c r="D69" s="222"/>
      <c r="E69" s="222"/>
      <c r="F69" s="222"/>
      <c r="G69" s="222"/>
      <c r="H69" s="222"/>
      <c r="I69" s="221"/>
      <c r="J69" s="221"/>
      <c r="K69" s="222"/>
      <c r="L69" s="222"/>
      <c r="M69" s="222"/>
      <c r="N69" s="221"/>
      <c r="O69" s="221"/>
      <c r="P69" s="221"/>
      <c r="Q69" s="222"/>
      <c r="R69" s="221"/>
      <c r="S69" s="90"/>
    </row>
    <row r="70" spans="1:19" x14ac:dyDescent="0.2">
      <c r="A70" s="216"/>
      <c r="B70" s="223"/>
      <c r="C70" s="224"/>
      <c r="D70" s="90"/>
      <c r="E70" s="90"/>
      <c r="F70" s="90"/>
      <c r="G70" s="90"/>
      <c r="H70" s="90"/>
      <c r="I70" s="224"/>
      <c r="J70" s="224"/>
      <c r="K70" s="90"/>
      <c r="L70" s="90"/>
      <c r="M70" s="90"/>
      <c r="N70" s="224"/>
      <c r="O70" s="224"/>
      <c r="P70" s="224"/>
      <c r="Q70" s="90"/>
      <c r="R70" s="224"/>
      <c r="S70" s="90"/>
    </row>
    <row r="71" spans="1:19" x14ac:dyDescent="0.2">
      <c r="A71" s="216"/>
      <c r="B71" s="225"/>
      <c r="C71" s="227"/>
      <c r="D71" s="512"/>
      <c r="E71" s="226"/>
      <c r="F71" s="226"/>
      <c r="G71" s="226"/>
      <c r="H71" s="512"/>
      <c r="I71" s="227"/>
      <c r="J71" s="227"/>
      <c r="K71" s="226"/>
      <c r="L71" s="226"/>
      <c r="M71" s="226"/>
      <c r="N71" s="227"/>
      <c r="O71" s="227"/>
      <c r="P71" s="227"/>
      <c r="Q71" s="226"/>
      <c r="R71" s="227"/>
      <c r="S71" s="230"/>
    </row>
    <row r="72" spans="1:19" x14ac:dyDescent="0.2">
      <c r="A72" s="216"/>
      <c r="B72" s="214"/>
      <c r="C72" s="221"/>
      <c r="D72" s="222"/>
      <c r="E72" s="222"/>
      <c r="F72" s="222"/>
      <c r="G72" s="222"/>
      <c r="H72" s="222"/>
      <c r="I72" s="221"/>
      <c r="J72" s="221"/>
      <c r="K72" s="222"/>
      <c r="L72" s="222"/>
      <c r="M72" s="222"/>
      <c r="N72" s="221"/>
      <c r="O72" s="221"/>
      <c r="P72" s="221"/>
      <c r="Q72" s="222"/>
      <c r="R72" s="221"/>
      <c r="S72" s="90"/>
    </row>
    <row r="73" spans="1:19" x14ac:dyDescent="0.2">
      <c r="A73" s="216"/>
      <c r="B73" s="223"/>
      <c r="C73" s="224"/>
      <c r="D73" s="90"/>
      <c r="E73" s="90"/>
      <c r="F73" s="90"/>
      <c r="G73" s="90"/>
      <c r="H73" s="90"/>
      <c r="I73" s="224"/>
      <c r="J73" s="224"/>
      <c r="K73" s="90"/>
      <c r="L73" s="90"/>
      <c r="M73" s="90"/>
      <c r="N73" s="224"/>
      <c r="O73" s="224"/>
      <c r="P73" s="224"/>
      <c r="Q73" s="90"/>
      <c r="R73" s="224"/>
      <c r="S73" s="90"/>
    </row>
    <row r="74" spans="1:19" x14ac:dyDescent="0.2">
      <c r="A74" s="216"/>
      <c r="B74" s="225"/>
      <c r="C74" s="227"/>
      <c r="D74" s="226"/>
      <c r="E74" s="226"/>
      <c r="F74" s="226"/>
      <c r="G74" s="226"/>
      <c r="H74" s="226"/>
      <c r="I74" s="227"/>
      <c r="J74" s="227"/>
      <c r="K74" s="226"/>
      <c r="L74" s="226"/>
      <c r="M74" s="226"/>
      <c r="N74" s="227"/>
      <c r="O74" s="227"/>
      <c r="P74" s="227"/>
      <c r="Q74" s="226"/>
      <c r="R74" s="227"/>
      <c r="S74" s="230"/>
    </row>
    <row r="75" spans="1:19" x14ac:dyDescent="0.2">
      <c r="A75" s="216"/>
      <c r="B75" s="214"/>
      <c r="C75" s="221"/>
      <c r="D75" s="222"/>
      <c r="E75" s="222"/>
      <c r="F75" s="222"/>
      <c r="G75" s="222"/>
      <c r="H75" s="222"/>
      <c r="I75" s="221"/>
      <c r="J75" s="221"/>
      <c r="K75" s="222"/>
      <c r="L75" s="222"/>
      <c r="M75" s="222"/>
      <c r="N75" s="221"/>
      <c r="O75" s="221"/>
      <c r="P75" s="221"/>
      <c r="Q75" s="222"/>
      <c r="R75" s="221"/>
      <c r="S75" s="90"/>
    </row>
    <row r="76" spans="1:19" x14ac:dyDescent="0.2">
      <c r="A76" s="216"/>
      <c r="B76" s="223"/>
      <c r="C76" s="224"/>
      <c r="D76" s="90"/>
      <c r="E76" s="90"/>
      <c r="F76" s="90"/>
      <c r="G76" s="90"/>
      <c r="H76" s="90"/>
      <c r="I76" s="224"/>
      <c r="J76" s="224"/>
      <c r="K76" s="90"/>
      <c r="L76" s="90"/>
      <c r="M76" s="90"/>
      <c r="N76" s="224"/>
      <c r="O76" s="224"/>
      <c r="P76" s="224"/>
      <c r="Q76" s="90"/>
      <c r="R76" s="224"/>
      <c r="S76" s="90"/>
    </row>
    <row r="77" spans="1:19" x14ac:dyDescent="0.2">
      <c r="A77" s="216"/>
      <c r="B77" s="225"/>
      <c r="C77" s="227"/>
      <c r="D77" s="226"/>
      <c r="E77" s="226"/>
      <c r="F77" s="512"/>
      <c r="G77" s="226"/>
      <c r="H77" s="512"/>
      <c r="I77" s="227"/>
      <c r="J77" s="227"/>
      <c r="K77" s="226"/>
      <c r="L77" s="226"/>
      <c r="M77" s="226"/>
      <c r="N77" s="227"/>
      <c r="O77" s="227"/>
      <c r="P77" s="227"/>
      <c r="Q77" s="226"/>
      <c r="R77" s="227"/>
      <c r="S77" s="230"/>
    </row>
    <row r="78" spans="1:19" x14ac:dyDescent="0.2">
      <c r="A78" s="216"/>
      <c r="B78" s="214"/>
      <c r="C78" s="221"/>
      <c r="D78" s="222"/>
      <c r="E78" s="222"/>
      <c r="F78" s="222"/>
      <c r="G78" s="222"/>
      <c r="H78" s="222"/>
      <c r="I78" s="221"/>
      <c r="J78" s="221"/>
      <c r="K78" s="222"/>
      <c r="L78" s="222"/>
      <c r="M78" s="222"/>
      <c r="N78" s="221"/>
      <c r="O78" s="221"/>
      <c r="P78" s="221"/>
      <c r="Q78" s="222"/>
      <c r="R78" s="221"/>
      <c r="S78" s="90"/>
    </row>
    <row r="79" spans="1:19" x14ac:dyDescent="0.2">
      <c r="A79" s="216"/>
      <c r="B79" s="223"/>
      <c r="C79" s="224"/>
      <c r="D79" s="90"/>
      <c r="E79" s="90"/>
      <c r="F79" s="90"/>
      <c r="G79" s="90"/>
      <c r="H79" s="90"/>
      <c r="I79" s="224"/>
      <c r="J79" s="224"/>
      <c r="K79" s="90"/>
      <c r="L79" s="90"/>
      <c r="M79" s="90"/>
      <c r="N79" s="224"/>
      <c r="O79" s="224"/>
      <c r="P79" s="224"/>
      <c r="Q79" s="90"/>
      <c r="R79" s="224"/>
      <c r="S79" s="90"/>
    </row>
    <row r="80" spans="1:19" x14ac:dyDescent="0.2">
      <c r="A80" s="216"/>
      <c r="B80" s="225"/>
      <c r="C80" s="227"/>
      <c r="D80" s="226"/>
      <c r="E80" s="226"/>
      <c r="F80" s="226"/>
      <c r="G80" s="226"/>
      <c r="H80" s="226"/>
      <c r="I80" s="227"/>
      <c r="J80" s="227"/>
      <c r="K80" s="226"/>
      <c r="L80" s="226"/>
      <c r="M80" s="226"/>
      <c r="N80" s="227"/>
      <c r="O80" s="227"/>
      <c r="P80" s="227"/>
      <c r="Q80" s="226"/>
      <c r="R80" s="227"/>
      <c r="S80" s="230"/>
    </row>
    <row r="81" spans="1:19" x14ac:dyDescent="0.2">
      <c r="A81" s="216"/>
      <c r="B81" s="214"/>
      <c r="C81" s="221"/>
      <c r="D81" s="222"/>
      <c r="E81" s="222"/>
      <c r="F81" s="222"/>
      <c r="G81" s="222"/>
      <c r="H81" s="222"/>
      <c r="I81" s="221"/>
      <c r="J81" s="221"/>
      <c r="K81" s="222"/>
      <c r="L81" s="222"/>
      <c r="M81" s="222"/>
      <c r="N81" s="221"/>
      <c r="O81" s="221"/>
      <c r="P81" s="221"/>
      <c r="Q81" s="222"/>
      <c r="R81" s="221"/>
      <c r="S81" s="90"/>
    </row>
    <row r="82" spans="1:19" x14ac:dyDescent="0.2">
      <c r="A82" s="216"/>
      <c r="B82" s="223"/>
      <c r="C82" s="224"/>
      <c r="D82" s="90"/>
      <c r="E82" s="90"/>
      <c r="F82" s="90"/>
      <c r="G82" s="90"/>
      <c r="H82" s="90"/>
      <c r="I82" s="224"/>
      <c r="J82" s="224"/>
      <c r="K82" s="90"/>
      <c r="L82" s="90"/>
      <c r="M82" s="90"/>
      <c r="N82" s="224"/>
      <c r="O82" s="224"/>
      <c r="P82" s="224"/>
      <c r="Q82" s="90"/>
      <c r="R82" s="224"/>
      <c r="S82" s="90"/>
    </row>
    <row r="83" spans="1:19" x14ac:dyDescent="0.2">
      <c r="A83" s="216"/>
      <c r="B83" s="225"/>
      <c r="C83" s="227"/>
      <c r="D83" s="226"/>
      <c r="E83" s="226"/>
      <c r="F83" s="226"/>
      <c r="G83" s="226"/>
      <c r="H83" s="226"/>
      <c r="I83" s="227"/>
      <c r="J83" s="227"/>
      <c r="K83" s="226"/>
      <c r="L83" s="226"/>
      <c r="M83" s="226"/>
      <c r="N83" s="227"/>
      <c r="O83" s="227"/>
      <c r="P83" s="227"/>
      <c r="Q83" s="226"/>
      <c r="R83" s="227"/>
      <c r="S83" s="230"/>
    </row>
    <row r="84" spans="1:19" x14ac:dyDescent="0.2">
      <c r="A84" s="216"/>
      <c r="B84" s="214"/>
      <c r="C84" s="221"/>
      <c r="D84" s="222"/>
      <c r="E84" s="222"/>
      <c r="F84" s="222"/>
      <c r="G84" s="222"/>
      <c r="H84" s="222"/>
      <c r="I84" s="221"/>
      <c r="J84" s="221"/>
      <c r="K84" s="222"/>
      <c r="L84" s="222"/>
      <c r="M84" s="222"/>
      <c r="N84" s="221"/>
      <c r="O84" s="221"/>
      <c r="P84" s="221"/>
      <c r="Q84" s="222"/>
      <c r="R84" s="221"/>
      <c r="S84" s="90"/>
    </row>
    <row r="85" spans="1:19" x14ac:dyDescent="0.2">
      <c r="A85" s="216"/>
      <c r="B85" s="223"/>
      <c r="C85" s="224"/>
      <c r="D85" s="90"/>
      <c r="E85" s="90"/>
      <c r="F85" s="90"/>
      <c r="G85" s="90"/>
      <c r="H85" s="90"/>
      <c r="I85" s="224"/>
      <c r="J85" s="224"/>
      <c r="K85" s="90"/>
      <c r="L85" s="90"/>
      <c r="M85" s="90"/>
      <c r="N85" s="224"/>
      <c r="O85" s="224"/>
      <c r="P85" s="224"/>
      <c r="Q85" s="90"/>
      <c r="R85" s="224"/>
      <c r="S85" s="90"/>
    </row>
    <row r="86" spans="1:19" x14ac:dyDescent="0.2">
      <c r="A86" s="216"/>
      <c r="B86" s="225"/>
      <c r="C86" s="227"/>
      <c r="D86" s="226"/>
      <c r="E86" s="226"/>
      <c r="F86" s="226"/>
      <c r="G86" s="226"/>
      <c r="H86" s="226"/>
      <c r="I86" s="227"/>
      <c r="J86" s="513"/>
      <c r="K86" s="512"/>
      <c r="L86" s="512"/>
      <c r="M86" s="512"/>
      <c r="N86" s="227"/>
      <c r="O86" s="227"/>
      <c r="P86" s="227"/>
      <c r="Q86" s="226"/>
      <c r="R86" s="227"/>
      <c r="S86" s="230"/>
    </row>
    <row r="87" spans="1:19" x14ac:dyDescent="0.2">
      <c r="A87" s="216"/>
      <c r="B87" s="214"/>
      <c r="C87" s="221"/>
      <c r="D87" s="222"/>
      <c r="E87" s="222"/>
      <c r="F87" s="222"/>
      <c r="G87" s="222"/>
      <c r="H87" s="222"/>
      <c r="I87" s="221"/>
      <c r="J87" s="221"/>
      <c r="K87" s="222"/>
      <c r="L87" s="222"/>
      <c r="M87" s="222"/>
      <c r="N87" s="221"/>
      <c r="O87" s="221"/>
      <c r="P87" s="221"/>
      <c r="Q87" s="222"/>
      <c r="R87" s="221"/>
      <c r="S87" s="90"/>
    </row>
    <row r="88" spans="1:19" x14ac:dyDescent="0.2">
      <c r="A88" s="216"/>
      <c r="B88" s="223"/>
      <c r="C88" s="224"/>
      <c r="D88" s="90"/>
      <c r="E88" s="90"/>
      <c r="F88" s="90"/>
      <c r="G88" s="90"/>
      <c r="H88" s="90"/>
      <c r="I88" s="224"/>
      <c r="J88" s="224"/>
      <c r="K88" s="90"/>
      <c r="L88" s="90"/>
      <c r="M88" s="90"/>
      <c r="N88" s="224"/>
      <c r="O88" s="224"/>
      <c r="P88" s="224"/>
      <c r="Q88" s="90"/>
      <c r="R88" s="224"/>
      <c r="S88" s="90"/>
    </row>
    <row r="89" spans="1:19" x14ac:dyDescent="0.2">
      <c r="A89" s="216"/>
      <c r="B89" s="225"/>
      <c r="C89" s="227"/>
      <c r="D89" s="226"/>
      <c r="E89" s="226"/>
      <c r="F89" s="226"/>
      <c r="G89" s="226"/>
      <c r="H89" s="226"/>
      <c r="I89" s="227"/>
      <c r="J89" s="227"/>
      <c r="K89" s="226"/>
      <c r="L89" s="226"/>
      <c r="M89" s="226"/>
      <c r="N89" s="227"/>
      <c r="O89" s="227"/>
      <c r="P89" s="227"/>
      <c r="Q89" s="226"/>
      <c r="R89" s="227"/>
      <c r="S89" s="230"/>
    </row>
    <row r="90" spans="1:19" x14ac:dyDescent="0.2">
      <c r="A90" s="220"/>
      <c r="B90" s="214"/>
      <c r="C90" s="221"/>
      <c r="D90" s="222"/>
      <c r="E90" s="222"/>
      <c r="F90" s="222"/>
      <c r="G90" s="222"/>
      <c r="H90" s="222"/>
      <c r="I90" s="221"/>
      <c r="J90" s="221"/>
      <c r="K90" s="222"/>
      <c r="L90" s="222"/>
      <c r="M90" s="222"/>
      <c r="N90" s="221"/>
      <c r="O90" s="221"/>
      <c r="P90" s="221"/>
      <c r="Q90" s="222"/>
      <c r="R90" s="221"/>
      <c r="S90" s="90"/>
    </row>
    <row r="91" spans="1:19" x14ac:dyDescent="0.2">
      <c r="A91" s="216"/>
      <c r="B91" s="223"/>
      <c r="C91" s="224"/>
      <c r="D91" s="90"/>
      <c r="E91" s="90"/>
      <c r="F91" s="90"/>
      <c r="G91" s="90"/>
      <c r="H91" s="90"/>
      <c r="I91" s="224"/>
      <c r="J91" s="224"/>
      <c r="K91" s="90"/>
      <c r="L91" s="90"/>
      <c r="M91" s="90"/>
      <c r="N91" s="224"/>
      <c r="O91" s="224"/>
      <c r="P91" s="224"/>
      <c r="Q91" s="90"/>
      <c r="R91" s="224"/>
      <c r="S91" s="90"/>
    </row>
    <row r="92" spans="1:19" x14ac:dyDescent="0.2">
      <c r="A92" s="216"/>
      <c r="B92" s="225"/>
      <c r="C92" s="227"/>
      <c r="D92" s="226"/>
      <c r="E92" s="512"/>
      <c r="F92" s="226"/>
      <c r="G92" s="512"/>
      <c r="H92" s="226"/>
      <c r="I92" s="227"/>
      <c r="J92" s="513"/>
      <c r="K92" s="512"/>
      <c r="L92" s="226"/>
      <c r="M92" s="226"/>
      <c r="N92" s="227"/>
      <c r="O92" s="227"/>
      <c r="P92" s="227"/>
      <c r="Q92" s="226"/>
      <c r="R92" s="227"/>
      <c r="S92" s="230"/>
    </row>
    <row r="93" spans="1:19" x14ac:dyDescent="0.2">
      <c r="A93" s="216"/>
      <c r="B93" s="214"/>
      <c r="C93" s="221"/>
      <c r="D93" s="222"/>
      <c r="E93" s="222"/>
      <c r="F93" s="222"/>
      <c r="G93" s="222"/>
      <c r="H93" s="222"/>
      <c r="I93" s="221"/>
      <c r="J93" s="221"/>
      <c r="K93" s="222"/>
      <c r="L93" s="222"/>
      <c r="M93" s="222"/>
      <c r="N93" s="221"/>
      <c r="O93" s="221"/>
      <c r="P93" s="221"/>
      <c r="Q93" s="222"/>
      <c r="R93" s="221"/>
      <c r="S93" s="90"/>
    </row>
    <row r="94" spans="1:19" x14ac:dyDescent="0.2">
      <c r="A94" s="216"/>
      <c r="B94" s="223"/>
      <c r="C94" s="224"/>
      <c r="D94" s="90"/>
      <c r="E94" s="90"/>
      <c r="F94" s="90"/>
      <c r="G94" s="90"/>
      <c r="H94" s="90"/>
      <c r="I94" s="224"/>
      <c r="J94" s="224"/>
      <c r="K94" s="90"/>
      <c r="L94" s="90"/>
      <c r="M94" s="90"/>
      <c r="N94" s="224"/>
      <c r="O94" s="224"/>
      <c r="P94" s="224"/>
      <c r="Q94" s="90"/>
      <c r="R94" s="224"/>
      <c r="S94" s="90"/>
    </row>
    <row r="95" spans="1:19" x14ac:dyDescent="0.2">
      <c r="A95" s="216"/>
      <c r="B95" s="225"/>
      <c r="C95" s="227"/>
      <c r="D95" s="226"/>
      <c r="E95" s="226"/>
      <c r="F95" s="226"/>
      <c r="G95" s="226"/>
      <c r="H95" s="512"/>
      <c r="I95" s="227"/>
      <c r="J95" s="227"/>
      <c r="K95" s="512"/>
      <c r="L95" s="512"/>
      <c r="M95" s="226"/>
      <c r="N95" s="227"/>
      <c r="O95" s="227"/>
      <c r="P95" s="227"/>
      <c r="Q95" s="226"/>
      <c r="R95" s="227"/>
      <c r="S95" s="230"/>
    </row>
    <row r="96" spans="1:19" x14ac:dyDescent="0.2">
      <c r="A96" s="216"/>
      <c r="B96" s="214"/>
      <c r="C96" s="221"/>
      <c r="D96" s="222"/>
      <c r="E96" s="222"/>
      <c r="F96" s="222"/>
      <c r="G96" s="222"/>
      <c r="H96" s="222"/>
      <c r="I96" s="221"/>
      <c r="J96" s="221"/>
      <c r="K96" s="222"/>
      <c r="L96" s="222"/>
      <c r="M96" s="222"/>
      <c r="N96" s="221"/>
      <c r="O96" s="221"/>
      <c r="P96" s="221"/>
      <c r="Q96" s="222"/>
      <c r="R96" s="221"/>
      <c r="S96" s="90"/>
    </row>
    <row r="97" spans="1:19" x14ac:dyDescent="0.2">
      <c r="A97" s="216"/>
      <c r="B97" s="223"/>
      <c r="C97" s="224"/>
      <c r="D97" s="90"/>
      <c r="E97" s="90"/>
      <c r="F97" s="90"/>
      <c r="G97" s="90"/>
      <c r="H97" s="90"/>
      <c r="I97" s="224"/>
      <c r="J97" s="224"/>
      <c r="K97" s="90"/>
      <c r="L97" s="90"/>
      <c r="M97" s="90"/>
      <c r="N97" s="224"/>
      <c r="O97" s="224"/>
      <c r="P97" s="224"/>
      <c r="Q97" s="90"/>
      <c r="R97" s="224"/>
      <c r="S97" s="90"/>
    </row>
    <row r="98" spans="1:19" x14ac:dyDescent="0.2">
      <c r="A98" s="216"/>
      <c r="B98" s="225"/>
      <c r="C98" s="227"/>
      <c r="D98" s="226"/>
      <c r="E98" s="226"/>
      <c r="F98" s="226"/>
      <c r="G98" s="512"/>
      <c r="H98" s="226"/>
      <c r="I98" s="227"/>
      <c r="J98" s="227"/>
      <c r="K98" s="512"/>
      <c r="L98" s="512"/>
      <c r="M98" s="512"/>
      <c r="N98" s="227"/>
      <c r="O98" s="227"/>
      <c r="P98" s="227"/>
      <c r="Q98" s="226"/>
      <c r="R98" s="227"/>
      <c r="S98" s="230"/>
    </row>
    <row r="99" spans="1:19" x14ac:dyDescent="0.2">
      <c r="A99" s="216"/>
      <c r="B99" s="214"/>
      <c r="C99" s="221"/>
      <c r="D99" s="222"/>
      <c r="E99" s="222"/>
      <c r="F99" s="222"/>
      <c r="G99" s="222"/>
      <c r="H99" s="222"/>
      <c r="I99" s="221"/>
      <c r="J99" s="221"/>
      <c r="K99" s="222"/>
      <c r="L99" s="222"/>
      <c r="M99" s="222"/>
      <c r="N99" s="221"/>
      <c r="O99" s="221"/>
      <c r="P99" s="221"/>
      <c r="Q99" s="222"/>
      <c r="R99" s="221"/>
      <c r="S99" s="90"/>
    </row>
    <row r="100" spans="1:19" x14ac:dyDescent="0.2">
      <c r="A100" s="216"/>
      <c r="B100" s="223"/>
      <c r="C100" s="224"/>
      <c r="D100" s="90"/>
      <c r="E100" s="90"/>
      <c r="F100" s="90"/>
      <c r="G100" s="90"/>
      <c r="H100" s="90"/>
      <c r="I100" s="224"/>
      <c r="J100" s="224"/>
      <c r="K100" s="90"/>
      <c r="L100" s="90"/>
      <c r="M100" s="90"/>
      <c r="N100" s="224"/>
      <c r="O100" s="224"/>
      <c r="P100" s="224"/>
      <c r="Q100" s="90"/>
      <c r="R100" s="224"/>
      <c r="S100" s="90"/>
    </row>
    <row r="101" spans="1:19" x14ac:dyDescent="0.2">
      <c r="A101" s="216"/>
      <c r="B101" s="225"/>
      <c r="C101" s="227"/>
      <c r="D101" s="512"/>
      <c r="E101" s="226"/>
      <c r="F101" s="226"/>
      <c r="G101" s="226"/>
      <c r="H101" s="512"/>
      <c r="I101" s="227"/>
      <c r="J101" s="227"/>
      <c r="K101" s="512"/>
      <c r="L101" s="226"/>
      <c r="M101" s="226"/>
      <c r="N101" s="227"/>
      <c r="O101" s="227"/>
      <c r="P101" s="227"/>
      <c r="Q101" s="226"/>
      <c r="R101" s="227"/>
      <c r="S101" s="230"/>
    </row>
    <row r="102" spans="1:19" x14ac:dyDescent="0.2">
      <c r="A102" s="216"/>
      <c r="B102" s="214"/>
      <c r="C102" s="221"/>
      <c r="D102" s="222"/>
      <c r="E102" s="222"/>
      <c r="F102" s="222"/>
      <c r="G102" s="222"/>
      <c r="H102" s="222"/>
      <c r="I102" s="221"/>
      <c r="J102" s="221"/>
      <c r="K102" s="222"/>
      <c r="L102" s="222"/>
      <c r="M102" s="222"/>
      <c r="N102" s="221"/>
      <c r="O102" s="221"/>
      <c r="P102" s="221"/>
      <c r="Q102" s="222"/>
      <c r="R102" s="221"/>
      <c r="S102" s="90"/>
    </row>
    <row r="103" spans="1:19" x14ac:dyDescent="0.2">
      <c r="A103" s="216"/>
      <c r="B103" s="223"/>
      <c r="C103" s="224"/>
      <c r="D103" s="90"/>
      <c r="E103" s="90"/>
      <c r="F103" s="90"/>
      <c r="G103" s="90"/>
      <c r="H103" s="90"/>
      <c r="I103" s="224"/>
      <c r="J103" s="224"/>
      <c r="K103" s="90"/>
      <c r="L103" s="90"/>
      <c r="M103" s="90"/>
      <c r="N103" s="224"/>
      <c r="O103" s="224"/>
      <c r="P103" s="224"/>
      <c r="Q103" s="90"/>
      <c r="R103" s="224"/>
      <c r="S103" s="90"/>
    </row>
    <row r="104" spans="1:19" x14ac:dyDescent="0.2">
      <c r="A104" s="216"/>
      <c r="B104" s="225"/>
      <c r="C104" s="227"/>
      <c r="D104" s="226"/>
      <c r="E104" s="226"/>
      <c r="F104" s="226"/>
      <c r="G104" s="226"/>
      <c r="H104" s="226"/>
      <c r="I104" s="227"/>
      <c r="J104" s="227"/>
      <c r="K104" s="226"/>
      <c r="L104" s="226"/>
      <c r="M104" s="226"/>
      <c r="N104" s="227"/>
      <c r="O104" s="227"/>
      <c r="P104" s="227"/>
      <c r="Q104" s="226"/>
      <c r="R104" s="227"/>
      <c r="S104" s="230"/>
    </row>
    <row r="105" spans="1:19" x14ac:dyDescent="0.2">
      <c r="A105" s="216"/>
      <c r="B105" s="214"/>
      <c r="C105" s="221"/>
      <c r="D105" s="222"/>
      <c r="E105" s="222"/>
      <c r="F105" s="222"/>
      <c r="G105" s="222"/>
      <c r="H105" s="222"/>
      <c r="I105" s="221"/>
      <c r="J105" s="221"/>
      <c r="K105" s="222"/>
      <c r="L105" s="222"/>
      <c r="M105" s="222"/>
      <c r="N105" s="221"/>
      <c r="O105" s="221"/>
      <c r="P105" s="221"/>
      <c r="Q105" s="222"/>
      <c r="R105" s="221"/>
      <c r="S105" s="90"/>
    </row>
    <row r="106" spans="1:19" x14ac:dyDescent="0.2">
      <c r="A106" s="216"/>
      <c r="B106" s="223"/>
      <c r="C106" s="224"/>
      <c r="D106" s="90"/>
      <c r="E106" s="90"/>
      <c r="F106" s="90"/>
      <c r="G106" s="90"/>
      <c r="H106" s="90"/>
      <c r="I106" s="224"/>
      <c r="J106" s="224"/>
      <c r="K106" s="90"/>
      <c r="L106" s="90"/>
      <c r="M106" s="90"/>
      <c r="N106" s="224"/>
      <c r="O106" s="224"/>
      <c r="P106" s="224"/>
      <c r="Q106" s="90"/>
      <c r="R106" s="224"/>
      <c r="S106" s="90"/>
    </row>
    <row r="107" spans="1:19" x14ac:dyDescent="0.2">
      <c r="A107" s="216"/>
      <c r="B107" s="225"/>
      <c r="C107" s="227"/>
      <c r="D107" s="226"/>
      <c r="E107" s="226"/>
      <c r="F107" s="226"/>
      <c r="G107" s="226"/>
      <c r="H107" s="226"/>
      <c r="I107" s="227"/>
      <c r="J107" s="227"/>
      <c r="K107" s="226"/>
      <c r="L107" s="226"/>
      <c r="M107" s="226"/>
      <c r="N107" s="227"/>
      <c r="O107" s="227"/>
      <c r="P107" s="227"/>
      <c r="Q107" s="226"/>
      <c r="R107" s="227"/>
      <c r="S107" s="230"/>
    </row>
    <row r="108" spans="1:19" x14ac:dyDescent="0.2">
      <c r="A108" s="216"/>
      <c r="B108" s="214"/>
      <c r="C108" s="221"/>
      <c r="D108" s="222"/>
      <c r="E108" s="222"/>
      <c r="F108" s="222"/>
      <c r="G108" s="222"/>
      <c r="H108" s="222"/>
      <c r="I108" s="221"/>
      <c r="J108" s="221"/>
      <c r="K108" s="222"/>
      <c r="L108" s="222"/>
      <c r="M108" s="222"/>
      <c r="N108" s="221"/>
      <c r="O108" s="221"/>
      <c r="P108" s="221"/>
      <c r="Q108" s="222"/>
      <c r="R108" s="221"/>
      <c r="S108" s="90"/>
    </row>
    <row r="109" spans="1:19" x14ac:dyDescent="0.2">
      <c r="A109" s="216"/>
      <c r="B109" s="223"/>
      <c r="C109" s="224"/>
      <c r="D109" s="90"/>
      <c r="E109" s="90"/>
      <c r="F109" s="90"/>
      <c r="G109" s="90"/>
      <c r="H109" s="90"/>
      <c r="I109" s="224"/>
      <c r="J109" s="224"/>
      <c r="K109" s="90"/>
      <c r="L109" s="90"/>
      <c r="M109" s="90"/>
      <c r="N109" s="224"/>
      <c r="O109" s="224"/>
      <c r="P109" s="224"/>
      <c r="Q109" s="90"/>
      <c r="R109" s="224"/>
      <c r="S109" s="90"/>
    </row>
    <row r="110" spans="1:19" x14ac:dyDescent="0.2">
      <c r="A110" s="216"/>
      <c r="B110" s="225"/>
      <c r="C110" s="227"/>
      <c r="D110" s="226"/>
      <c r="E110" s="226"/>
      <c r="F110" s="226"/>
      <c r="G110" s="226"/>
      <c r="H110" s="226"/>
      <c r="I110" s="227"/>
      <c r="J110" s="227"/>
      <c r="K110" s="226"/>
      <c r="L110" s="226"/>
      <c r="M110" s="226"/>
      <c r="N110" s="227"/>
      <c r="O110" s="227"/>
      <c r="P110" s="227"/>
      <c r="Q110" s="226"/>
      <c r="R110" s="227"/>
      <c r="S110" s="230"/>
    </row>
    <row r="111" spans="1:19" x14ac:dyDescent="0.2">
      <c r="A111" s="220"/>
      <c r="B111" s="214"/>
      <c r="C111" s="221"/>
      <c r="D111" s="222"/>
      <c r="E111" s="222"/>
      <c r="F111" s="222"/>
      <c r="G111" s="222"/>
      <c r="H111" s="222"/>
      <c r="I111" s="221"/>
      <c r="J111" s="221"/>
      <c r="K111" s="222"/>
      <c r="L111" s="222"/>
      <c r="M111" s="222"/>
      <c r="N111" s="221"/>
      <c r="O111" s="221"/>
      <c r="P111" s="221"/>
      <c r="Q111" s="222"/>
      <c r="R111" s="221"/>
      <c r="S111" s="90"/>
    </row>
    <row r="112" spans="1:19" x14ac:dyDescent="0.2">
      <c r="A112" s="216"/>
      <c r="B112" s="223"/>
      <c r="C112" s="224"/>
      <c r="D112" s="90"/>
      <c r="E112" s="90"/>
      <c r="F112" s="90"/>
      <c r="G112" s="90"/>
      <c r="H112" s="90"/>
      <c r="I112" s="224"/>
      <c r="J112" s="224"/>
      <c r="K112" s="90"/>
      <c r="L112" s="90"/>
      <c r="M112" s="90"/>
      <c r="N112" s="224"/>
      <c r="O112" s="224"/>
      <c r="P112" s="224"/>
      <c r="Q112" s="90"/>
      <c r="R112" s="224"/>
      <c r="S112" s="90"/>
    </row>
    <row r="113" spans="1:19" x14ac:dyDescent="0.2">
      <c r="A113" s="216"/>
      <c r="B113" s="225"/>
      <c r="C113" s="227"/>
      <c r="D113" s="226"/>
      <c r="E113" s="226"/>
      <c r="F113" s="226"/>
      <c r="G113" s="226"/>
      <c r="H113" s="226"/>
      <c r="I113" s="227"/>
      <c r="J113" s="227"/>
      <c r="K113" s="226"/>
      <c r="L113" s="226"/>
      <c r="M113" s="226"/>
      <c r="N113" s="227"/>
      <c r="O113" s="227"/>
      <c r="P113" s="513"/>
      <c r="Q113" s="226"/>
      <c r="R113" s="227"/>
      <c r="S113" s="230"/>
    </row>
    <row r="114" spans="1:19" x14ac:dyDescent="0.2">
      <c r="A114" s="216"/>
      <c r="B114" s="214"/>
      <c r="C114" s="221"/>
      <c r="D114" s="222"/>
      <c r="E114" s="222"/>
      <c r="F114" s="222"/>
      <c r="G114" s="222"/>
      <c r="H114" s="222"/>
      <c r="I114" s="221"/>
      <c r="J114" s="221"/>
      <c r="K114" s="222"/>
      <c r="L114" s="222"/>
      <c r="M114" s="222"/>
      <c r="N114" s="221"/>
      <c r="O114" s="221"/>
      <c r="P114" s="221"/>
      <c r="Q114" s="222"/>
      <c r="R114" s="221"/>
      <c r="S114" s="90"/>
    </row>
    <row r="115" spans="1:19" x14ac:dyDescent="0.2">
      <c r="A115" s="216"/>
      <c r="B115" s="223"/>
      <c r="C115" s="224"/>
      <c r="D115" s="90"/>
      <c r="E115" s="90"/>
      <c r="F115" s="90"/>
      <c r="G115" s="90"/>
      <c r="H115" s="90"/>
      <c r="I115" s="224"/>
      <c r="J115" s="224"/>
      <c r="K115" s="90"/>
      <c r="L115" s="90"/>
      <c r="M115" s="90"/>
      <c r="N115" s="224"/>
      <c r="O115" s="224"/>
      <c r="P115" s="224"/>
      <c r="Q115" s="90"/>
      <c r="R115" s="224"/>
      <c r="S115" s="90"/>
    </row>
    <row r="116" spans="1:19" x14ac:dyDescent="0.2">
      <c r="A116" s="216"/>
      <c r="B116" s="225"/>
      <c r="C116" s="227"/>
      <c r="D116" s="226"/>
      <c r="E116" s="226"/>
      <c r="F116" s="512"/>
      <c r="G116" s="226"/>
      <c r="H116" s="226"/>
      <c r="I116" s="227"/>
      <c r="J116" s="227"/>
      <c r="K116" s="226"/>
      <c r="L116" s="226"/>
      <c r="M116" s="226"/>
      <c r="N116" s="227"/>
      <c r="O116" s="227"/>
      <c r="P116" s="227"/>
      <c r="Q116" s="226"/>
      <c r="R116" s="227"/>
      <c r="S116" s="230"/>
    </row>
    <row r="117" spans="1:19" x14ac:dyDescent="0.2">
      <c r="A117" s="216"/>
      <c r="B117" s="214"/>
      <c r="C117" s="221"/>
      <c r="D117" s="222"/>
      <c r="E117" s="222"/>
      <c r="F117" s="222"/>
      <c r="G117" s="222"/>
      <c r="H117" s="222"/>
      <c r="I117" s="221"/>
      <c r="J117" s="221"/>
      <c r="K117" s="222"/>
      <c r="L117" s="222"/>
      <c r="M117" s="222"/>
      <c r="N117" s="221"/>
      <c r="O117" s="221"/>
      <c r="P117" s="221"/>
      <c r="Q117" s="222"/>
      <c r="R117" s="221"/>
      <c r="S117" s="90"/>
    </row>
    <row r="118" spans="1:19" x14ac:dyDescent="0.2">
      <c r="A118" s="216"/>
      <c r="B118" s="223"/>
      <c r="C118" s="224"/>
      <c r="D118" s="90"/>
      <c r="E118" s="90"/>
      <c r="F118" s="90"/>
      <c r="G118" s="90"/>
      <c r="H118" s="90"/>
      <c r="I118" s="224"/>
      <c r="J118" s="224"/>
      <c r="K118" s="90"/>
      <c r="L118" s="90"/>
      <c r="M118" s="90"/>
      <c r="N118" s="224"/>
      <c r="O118" s="224"/>
      <c r="P118" s="224"/>
      <c r="Q118" s="90"/>
      <c r="R118" s="224"/>
      <c r="S118" s="90"/>
    </row>
    <row r="119" spans="1:19" x14ac:dyDescent="0.2">
      <c r="A119" s="216"/>
      <c r="B119" s="225"/>
      <c r="C119" s="227"/>
      <c r="D119" s="226"/>
      <c r="E119" s="226"/>
      <c r="F119" s="226"/>
      <c r="G119" s="226"/>
      <c r="H119" s="226"/>
      <c r="I119" s="227"/>
      <c r="J119" s="227"/>
      <c r="K119" s="226"/>
      <c r="L119" s="226"/>
      <c r="M119" s="512"/>
      <c r="N119" s="227"/>
      <c r="O119" s="227"/>
      <c r="P119" s="227"/>
      <c r="Q119" s="226"/>
      <c r="R119" s="227"/>
      <c r="S119" s="230"/>
    </row>
    <row r="120" spans="1:19" x14ac:dyDescent="0.2">
      <c r="A120" s="216"/>
      <c r="B120" s="214"/>
      <c r="C120" s="221"/>
      <c r="D120" s="222"/>
      <c r="E120" s="222"/>
      <c r="F120" s="222"/>
      <c r="G120" s="222"/>
      <c r="H120" s="222"/>
      <c r="I120" s="221"/>
      <c r="J120" s="221"/>
      <c r="K120" s="222"/>
      <c r="L120" s="222"/>
      <c r="M120" s="222"/>
      <c r="N120" s="221"/>
      <c r="O120" s="221"/>
      <c r="P120" s="221"/>
      <c r="Q120" s="222"/>
      <c r="R120" s="221"/>
      <c r="S120" s="90"/>
    </row>
    <row r="121" spans="1:19" x14ac:dyDescent="0.2">
      <c r="A121" s="216"/>
      <c r="B121" s="223"/>
      <c r="C121" s="224"/>
      <c r="D121" s="90"/>
      <c r="E121" s="90"/>
      <c r="F121" s="90"/>
      <c r="G121" s="90"/>
      <c r="H121" s="90"/>
      <c r="I121" s="224"/>
      <c r="J121" s="224"/>
      <c r="K121" s="90"/>
      <c r="L121" s="90"/>
      <c r="M121" s="90"/>
      <c r="N121" s="224"/>
      <c r="O121" s="224"/>
      <c r="P121" s="224"/>
      <c r="Q121" s="90"/>
      <c r="R121" s="224"/>
      <c r="S121" s="90"/>
    </row>
    <row r="122" spans="1:19" x14ac:dyDescent="0.2">
      <c r="A122" s="216"/>
      <c r="B122" s="225"/>
      <c r="C122" s="227"/>
      <c r="D122" s="226"/>
      <c r="E122" s="226"/>
      <c r="F122" s="512"/>
      <c r="G122" s="226"/>
      <c r="H122" s="226"/>
      <c r="I122" s="227"/>
      <c r="J122" s="227"/>
      <c r="K122" s="226"/>
      <c r="L122" s="226"/>
      <c r="M122" s="226"/>
      <c r="N122" s="227"/>
      <c r="O122" s="227"/>
      <c r="P122" s="227"/>
      <c r="Q122" s="226"/>
      <c r="R122" s="227"/>
      <c r="S122" s="230"/>
    </row>
    <row r="123" spans="1:19" x14ac:dyDescent="0.2">
      <c r="A123" s="216"/>
      <c r="B123" s="214"/>
      <c r="C123" s="221"/>
      <c r="D123" s="222"/>
      <c r="E123" s="222"/>
      <c r="F123" s="222"/>
      <c r="G123" s="222"/>
      <c r="H123" s="222"/>
      <c r="I123" s="221"/>
      <c r="J123" s="221"/>
      <c r="K123" s="222"/>
      <c r="L123" s="222"/>
      <c r="M123" s="222"/>
      <c r="N123" s="221"/>
      <c r="O123" s="221"/>
      <c r="P123" s="221"/>
      <c r="Q123" s="222"/>
      <c r="R123" s="221"/>
      <c r="S123" s="90"/>
    </row>
    <row r="124" spans="1:19" x14ac:dyDescent="0.2">
      <c r="A124" s="216"/>
      <c r="B124" s="223"/>
      <c r="C124" s="224"/>
      <c r="D124" s="90"/>
      <c r="E124" s="90"/>
      <c r="F124" s="90"/>
      <c r="G124" s="90"/>
      <c r="H124" s="90"/>
      <c r="I124" s="224"/>
      <c r="J124" s="224"/>
      <c r="K124" s="90"/>
      <c r="L124" s="90"/>
      <c r="M124" s="90"/>
      <c r="N124" s="224"/>
      <c r="O124" s="224"/>
      <c r="P124" s="224"/>
      <c r="Q124" s="90"/>
      <c r="R124" s="224"/>
      <c r="S124" s="90"/>
    </row>
    <row r="125" spans="1:19" x14ac:dyDescent="0.2">
      <c r="A125" s="216"/>
      <c r="B125" s="225"/>
      <c r="C125" s="227"/>
      <c r="D125" s="226"/>
      <c r="E125" s="226"/>
      <c r="F125" s="226"/>
      <c r="G125" s="226"/>
      <c r="H125" s="226"/>
      <c r="I125" s="227"/>
      <c r="J125" s="227"/>
      <c r="K125" s="226"/>
      <c r="L125" s="226"/>
      <c r="M125" s="226"/>
      <c r="N125" s="227"/>
      <c r="O125" s="227"/>
      <c r="P125" s="227"/>
      <c r="Q125" s="226"/>
      <c r="R125" s="227"/>
      <c r="S125" s="230"/>
    </row>
    <row r="126" spans="1:19" x14ac:dyDescent="0.2">
      <c r="A126" s="216"/>
      <c r="B126" s="214"/>
      <c r="C126" s="221"/>
      <c r="D126" s="222"/>
      <c r="E126" s="222"/>
      <c r="F126" s="222"/>
      <c r="G126" s="222"/>
      <c r="H126" s="222"/>
      <c r="I126" s="221"/>
      <c r="J126" s="221"/>
      <c r="K126" s="222"/>
      <c r="L126" s="222"/>
      <c r="M126" s="222"/>
      <c r="N126" s="221"/>
      <c r="O126" s="221"/>
      <c r="P126" s="221"/>
      <c r="Q126" s="222"/>
      <c r="R126" s="221"/>
      <c r="S126" s="90"/>
    </row>
    <row r="127" spans="1:19" x14ac:dyDescent="0.2">
      <c r="A127" s="216"/>
      <c r="B127" s="223"/>
      <c r="C127" s="224"/>
      <c r="D127" s="90"/>
      <c r="E127" s="90"/>
      <c r="F127" s="90"/>
      <c r="G127" s="90"/>
      <c r="H127" s="90"/>
      <c r="I127" s="224"/>
      <c r="J127" s="224"/>
      <c r="K127" s="90"/>
      <c r="L127" s="90"/>
      <c r="M127" s="90"/>
      <c r="N127" s="224"/>
      <c r="O127" s="224"/>
      <c r="P127" s="224"/>
      <c r="Q127" s="90"/>
      <c r="R127" s="224"/>
      <c r="S127" s="90"/>
    </row>
    <row r="128" spans="1:19" x14ac:dyDescent="0.2">
      <c r="A128" s="216"/>
      <c r="B128" s="225"/>
      <c r="C128" s="227"/>
      <c r="D128" s="226"/>
      <c r="E128" s="226"/>
      <c r="F128" s="226"/>
      <c r="G128" s="226"/>
      <c r="H128" s="226"/>
      <c r="I128" s="227"/>
      <c r="J128" s="227"/>
      <c r="K128" s="226"/>
      <c r="L128" s="226"/>
      <c r="M128" s="226"/>
      <c r="N128" s="227"/>
      <c r="O128" s="227"/>
      <c r="P128" s="227"/>
      <c r="Q128" s="226"/>
      <c r="R128" s="227"/>
      <c r="S128" s="230"/>
    </row>
    <row r="129" spans="1:19" x14ac:dyDescent="0.2">
      <c r="A129" s="216"/>
      <c r="B129" s="214"/>
      <c r="C129" s="221"/>
      <c r="D129" s="222"/>
      <c r="E129" s="222"/>
      <c r="F129" s="222"/>
      <c r="G129" s="222"/>
      <c r="H129" s="222"/>
      <c r="I129" s="221"/>
      <c r="J129" s="221"/>
      <c r="K129" s="222"/>
      <c r="L129" s="222"/>
      <c r="M129" s="222"/>
      <c r="N129" s="221"/>
      <c r="O129" s="221"/>
      <c r="P129" s="221"/>
      <c r="Q129" s="222"/>
      <c r="R129" s="221"/>
      <c r="S129" s="90"/>
    </row>
    <row r="130" spans="1:19" x14ac:dyDescent="0.2">
      <c r="A130" s="216"/>
      <c r="B130" s="223"/>
      <c r="C130" s="224"/>
      <c r="D130" s="90"/>
      <c r="E130" s="90"/>
      <c r="F130" s="90"/>
      <c r="G130" s="90"/>
      <c r="H130" s="90"/>
      <c r="I130" s="224"/>
      <c r="J130" s="224"/>
      <c r="K130" s="90"/>
      <c r="L130" s="90"/>
      <c r="M130" s="90"/>
      <c r="N130" s="224"/>
      <c r="O130" s="224"/>
      <c r="P130" s="224"/>
      <c r="Q130" s="90"/>
      <c r="R130" s="224"/>
      <c r="S130" s="90"/>
    </row>
    <row r="131" spans="1:19" x14ac:dyDescent="0.2">
      <c r="A131" s="216"/>
      <c r="B131" s="225"/>
      <c r="C131" s="227"/>
      <c r="D131" s="226"/>
      <c r="E131" s="226"/>
      <c r="F131" s="226"/>
      <c r="G131" s="226"/>
      <c r="H131" s="226"/>
      <c r="I131" s="227"/>
      <c r="J131" s="227"/>
      <c r="K131" s="226"/>
      <c r="L131" s="226"/>
      <c r="M131" s="226"/>
      <c r="N131" s="227"/>
      <c r="O131" s="227"/>
      <c r="P131" s="227"/>
      <c r="Q131" s="226"/>
      <c r="R131" s="227"/>
      <c r="S131" s="230"/>
    </row>
    <row r="132" spans="1:19" x14ac:dyDescent="0.2">
      <c r="A132" s="220"/>
      <c r="B132" s="214"/>
      <c r="C132" s="221"/>
      <c r="D132" s="222"/>
      <c r="E132" s="222"/>
      <c r="F132" s="222"/>
      <c r="G132" s="222"/>
      <c r="H132" s="222"/>
      <c r="I132" s="221"/>
      <c r="J132" s="221"/>
      <c r="K132" s="222"/>
      <c r="L132" s="222"/>
      <c r="M132" s="222"/>
      <c r="N132" s="221"/>
      <c r="O132" s="221"/>
      <c r="P132" s="221"/>
      <c r="Q132" s="222"/>
      <c r="R132" s="221"/>
      <c r="S132" s="90"/>
    </row>
    <row r="133" spans="1:19" x14ac:dyDescent="0.2">
      <c r="A133" s="216"/>
      <c r="B133" s="223"/>
      <c r="C133" s="224"/>
      <c r="D133" s="90"/>
      <c r="E133" s="90"/>
      <c r="F133" s="90"/>
      <c r="G133" s="90"/>
      <c r="H133" s="90"/>
      <c r="I133" s="224"/>
      <c r="J133" s="224"/>
      <c r="K133" s="90"/>
      <c r="L133" s="90"/>
      <c r="M133" s="90"/>
      <c r="N133" s="224"/>
      <c r="O133" s="224"/>
      <c r="P133" s="224"/>
      <c r="Q133" s="90"/>
      <c r="R133" s="224"/>
      <c r="S133" s="90"/>
    </row>
    <row r="134" spans="1:19" x14ac:dyDescent="0.2">
      <c r="A134" s="216"/>
      <c r="B134" s="225"/>
      <c r="C134" s="227"/>
      <c r="D134" s="226"/>
      <c r="E134" s="512"/>
      <c r="F134" s="226"/>
      <c r="G134" s="226"/>
      <c r="H134" s="226"/>
      <c r="I134" s="227"/>
      <c r="J134" s="227"/>
      <c r="K134" s="512"/>
      <c r="L134" s="512"/>
      <c r="M134" s="512"/>
      <c r="N134" s="227"/>
      <c r="O134" s="227"/>
      <c r="P134" s="513"/>
      <c r="Q134" s="226"/>
      <c r="R134" s="227"/>
      <c r="S134" s="230"/>
    </row>
    <row r="135" spans="1:19" x14ac:dyDescent="0.2">
      <c r="A135" s="216"/>
      <c r="B135" s="214"/>
      <c r="C135" s="221"/>
      <c r="D135" s="222"/>
      <c r="E135" s="222"/>
      <c r="F135" s="222"/>
      <c r="G135" s="222"/>
      <c r="H135" s="222"/>
      <c r="I135" s="221"/>
      <c r="J135" s="221"/>
      <c r="K135" s="222"/>
      <c r="L135" s="222"/>
      <c r="M135" s="222"/>
      <c r="N135" s="221"/>
      <c r="O135" s="221"/>
      <c r="P135" s="221"/>
      <c r="Q135" s="222"/>
      <c r="R135" s="221"/>
      <c r="S135" s="90"/>
    </row>
    <row r="136" spans="1:19" x14ac:dyDescent="0.2">
      <c r="A136" s="216"/>
      <c r="B136" s="223"/>
      <c r="C136" s="224"/>
      <c r="D136" s="90"/>
      <c r="E136" s="90"/>
      <c r="F136" s="90"/>
      <c r="G136" s="90"/>
      <c r="H136" s="90"/>
      <c r="I136" s="224"/>
      <c r="J136" s="224"/>
      <c r="K136" s="90"/>
      <c r="L136" s="90"/>
      <c r="M136" s="90"/>
      <c r="N136" s="224"/>
      <c r="O136" s="224"/>
      <c r="P136" s="224"/>
      <c r="Q136" s="90"/>
      <c r="R136" s="224"/>
      <c r="S136" s="90"/>
    </row>
    <row r="137" spans="1:19" x14ac:dyDescent="0.2">
      <c r="A137" s="216"/>
      <c r="B137" s="225"/>
      <c r="C137" s="227"/>
      <c r="D137" s="226"/>
      <c r="E137" s="512"/>
      <c r="F137" s="226"/>
      <c r="G137" s="226"/>
      <c r="H137" s="226"/>
      <c r="I137" s="227"/>
      <c r="J137" s="227"/>
      <c r="K137" s="512"/>
      <c r="L137" s="512"/>
      <c r="M137" s="512"/>
      <c r="N137" s="227"/>
      <c r="O137" s="227"/>
      <c r="P137" s="513"/>
      <c r="Q137" s="226"/>
      <c r="R137" s="227"/>
      <c r="S137" s="230"/>
    </row>
    <row r="138" spans="1:19" x14ac:dyDescent="0.2">
      <c r="A138" s="216"/>
      <c r="B138" s="214"/>
      <c r="C138" s="221"/>
      <c r="D138" s="222"/>
      <c r="E138" s="222"/>
      <c r="F138" s="222"/>
      <c r="G138" s="222"/>
      <c r="H138" s="222"/>
      <c r="I138" s="221"/>
      <c r="J138" s="221"/>
      <c r="K138" s="222"/>
      <c r="L138" s="222"/>
      <c r="M138" s="222"/>
      <c r="N138" s="221"/>
      <c r="O138" s="221"/>
      <c r="P138" s="221"/>
      <c r="Q138" s="222"/>
      <c r="R138" s="221"/>
      <c r="S138" s="90"/>
    </row>
    <row r="139" spans="1:19" x14ac:dyDescent="0.2">
      <c r="A139" s="216"/>
      <c r="B139" s="223"/>
      <c r="C139" s="224"/>
      <c r="D139" s="90"/>
      <c r="E139" s="90"/>
      <c r="F139" s="90"/>
      <c r="G139" s="90"/>
      <c r="H139" s="90"/>
      <c r="I139" s="224"/>
      <c r="J139" s="224"/>
      <c r="K139" s="90"/>
      <c r="L139" s="90"/>
      <c r="M139" s="90"/>
      <c r="N139" s="224"/>
      <c r="O139" s="224"/>
      <c r="P139" s="224"/>
      <c r="Q139" s="90"/>
      <c r="R139" s="224"/>
      <c r="S139" s="90"/>
    </row>
    <row r="140" spans="1:19" x14ac:dyDescent="0.2">
      <c r="A140" s="216"/>
      <c r="B140" s="225"/>
      <c r="C140" s="227"/>
      <c r="D140" s="226"/>
      <c r="E140" s="512"/>
      <c r="F140" s="226"/>
      <c r="G140" s="226"/>
      <c r="H140" s="226"/>
      <c r="I140" s="227"/>
      <c r="J140" s="227"/>
      <c r="K140" s="512"/>
      <c r="L140" s="512"/>
      <c r="M140" s="512"/>
      <c r="N140" s="227"/>
      <c r="O140" s="227"/>
      <c r="P140" s="513"/>
      <c r="Q140" s="226"/>
      <c r="R140" s="227"/>
      <c r="S140" s="230"/>
    </row>
    <row r="141" spans="1:19" x14ac:dyDescent="0.2">
      <c r="A141" s="216"/>
      <c r="B141" s="214"/>
      <c r="C141" s="221"/>
      <c r="D141" s="222"/>
      <c r="E141" s="222"/>
      <c r="F141" s="222"/>
      <c r="G141" s="222"/>
      <c r="H141" s="222"/>
      <c r="I141" s="221"/>
      <c r="J141" s="221"/>
      <c r="K141" s="222"/>
      <c r="L141" s="222"/>
      <c r="M141" s="222"/>
      <c r="N141" s="221"/>
      <c r="O141" s="221"/>
      <c r="P141" s="221"/>
      <c r="Q141" s="222"/>
      <c r="R141" s="221"/>
      <c r="S141" s="90"/>
    </row>
    <row r="142" spans="1:19" x14ac:dyDescent="0.2">
      <c r="A142" s="216"/>
      <c r="B142" s="223"/>
      <c r="C142" s="224"/>
      <c r="D142" s="90"/>
      <c r="E142" s="90"/>
      <c r="F142" s="90"/>
      <c r="G142" s="90"/>
      <c r="H142" s="90"/>
      <c r="I142" s="224"/>
      <c r="J142" s="224"/>
      <c r="K142" s="90"/>
      <c r="L142" s="90"/>
      <c r="M142" s="90"/>
      <c r="N142" s="224"/>
      <c r="O142" s="224"/>
      <c r="P142" s="224"/>
      <c r="Q142" s="90"/>
      <c r="R142" s="224"/>
      <c r="S142" s="90"/>
    </row>
    <row r="143" spans="1:19" x14ac:dyDescent="0.2">
      <c r="A143" s="216"/>
      <c r="B143" s="225"/>
      <c r="C143" s="227"/>
      <c r="D143" s="226"/>
      <c r="E143" s="226"/>
      <c r="F143" s="226"/>
      <c r="G143" s="226"/>
      <c r="H143" s="226"/>
      <c r="I143" s="227"/>
      <c r="J143" s="227"/>
      <c r="K143" s="512"/>
      <c r="L143" s="512"/>
      <c r="M143" s="512"/>
      <c r="N143" s="227"/>
      <c r="O143" s="227"/>
      <c r="P143" s="513"/>
      <c r="Q143" s="226"/>
      <c r="R143" s="227"/>
      <c r="S143" s="230"/>
    </row>
    <row r="144" spans="1:19" x14ac:dyDescent="0.2">
      <c r="A144" s="216"/>
      <c r="B144" s="214"/>
      <c r="C144" s="221"/>
      <c r="D144" s="222"/>
      <c r="E144" s="222"/>
      <c r="F144" s="222"/>
      <c r="G144" s="222"/>
      <c r="H144" s="222"/>
      <c r="I144" s="221"/>
      <c r="J144" s="221"/>
      <c r="K144" s="222"/>
      <c r="L144" s="222"/>
      <c r="M144" s="222"/>
      <c r="N144" s="221"/>
      <c r="O144" s="221"/>
      <c r="P144" s="221"/>
      <c r="Q144" s="222"/>
      <c r="R144" s="221"/>
      <c r="S144" s="90"/>
    </row>
    <row r="145" spans="1:19" x14ac:dyDescent="0.2">
      <c r="A145" s="216"/>
      <c r="B145" s="223"/>
      <c r="C145" s="224"/>
      <c r="D145" s="90"/>
      <c r="E145" s="90"/>
      <c r="F145" s="90"/>
      <c r="G145" s="90"/>
      <c r="H145" s="90"/>
      <c r="I145" s="224"/>
      <c r="J145" s="224"/>
      <c r="K145" s="90"/>
      <c r="L145" s="90"/>
      <c r="M145" s="90"/>
      <c r="N145" s="224"/>
      <c r="O145" s="224"/>
      <c r="P145" s="224"/>
      <c r="Q145" s="90"/>
      <c r="R145" s="224"/>
      <c r="S145" s="90"/>
    </row>
    <row r="146" spans="1:19" x14ac:dyDescent="0.2">
      <c r="A146" s="216"/>
      <c r="B146" s="225"/>
      <c r="C146" s="227"/>
      <c r="D146" s="226"/>
      <c r="E146" s="226"/>
      <c r="F146" s="226"/>
      <c r="G146" s="226"/>
      <c r="H146" s="226"/>
      <c r="I146" s="227"/>
      <c r="J146" s="227"/>
      <c r="K146" s="226"/>
      <c r="L146" s="226"/>
      <c r="M146" s="226"/>
      <c r="N146" s="227"/>
      <c r="O146" s="227"/>
      <c r="P146" s="227"/>
      <c r="Q146" s="226"/>
      <c r="R146" s="227"/>
      <c r="S146" s="230"/>
    </row>
    <row r="147" spans="1:19" x14ac:dyDescent="0.2">
      <c r="A147" s="216"/>
      <c r="B147" s="214"/>
      <c r="C147" s="221"/>
      <c r="D147" s="222"/>
      <c r="E147" s="222"/>
      <c r="F147" s="222"/>
      <c r="G147" s="222"/>
      <c r="H147" s="222"/>
      <c r="I147" s="221"/>
      <c r="J147" s="221"/>
      <c r="K147" s="222"/>
      <c r="L147" s="222"/>
      <c r="M147" s="222"/>
      <c r="N147" s="221"/>
      <c r="O147" s="221"/>
      <c r="P147" s="221"/>
      <c r="Q147" s="222"/>
      <c r="R147" s="221"/>
      <c r="S147" s="90"/>
    </row>
    <row r="148" spans="1:19" x14ac:dyDescent="0.2">
      <c r="A148" s="216"/>
      <c r="B148" s="223"/>
      <c r="C148" s="224"/>
      <c r="D148" s="90"/>
      <c r="E148" s="90"/>
      <c r="F148" s="90"/>
      <c r="G148" s="90"/>
      <c r="H148" s="90"/>
      <c r="I148" s="224"/>
      <c r="J148" s="224"/>
      <c r="K148" s="90"/>
      <c r="L148" s="90"/>
      <c r="M148" s="90"/>
      <c r="N148" s="224"/>
      <c r="O148" s="224"/>
      <c r="P148" s="224"/>
      <c r="Q148" s="90"/>
      <c r="R148" s="224"/>
      <c r="S148" s="90"/>
    </row>
    <row r="149" spans="1:19" x14ac:dyDescent="0.2">
      <c r="A149" s="216"/>
      <c r="B149" s="225"/>
      <c r="C149" s="227"/>
      <c r="D149" s="226"/>
      <c r="E149" s="226"/>
      <c r="F149" s="226"/>
      <c r="G149" s="226"/>
      <c r="H149" s="226"/>
      <c r="I149" s="227"/>
      <c r="J149" s="227"/>
      <c r="K149" s="226"/>
      <c r="L149" s="226"/>
      <c r="M149" s="226"/>
      <c r="N149" s="227"/>
      <c r="O149" s="227"/>
      <c r="P149" s="227"/>
      <c r="Q149" s="226"/>
      <c r="R149" s="227"/>
      <c r="S149" s="230"/>
    </row>
    <row r="150" spans="1:19" x14ac:dyDescent="0.2">
      <c r="A150" s="216"/>
      <c r="B150" s="214"/>
      <c r="C150" s="221"/>
      <c r="D150" s="222"/>
      <c r="E150" s="222"/>
      <c r="F150" s="222"/>
      <c r="G150" s="222"/>
      <c r="H150" s="222"/>
      <c r="I150" s="221"/>
      <c r="J150" s="221"/>
      <c r="K150" s="222"/>
      <c r="L150" s="222"/>
      <c r="M150" s="222"/>
      <c r="N150" s="221"/>
      <c r="O150" s="221"/>
      <c r="P150" s="221"/>
      <c r="Q150" s="222"/>
      <c r="R150" s="221"/>
      <c r="S150" s="90"/>
    </row>
    <row r="151" spans="1:19" x14ac:dyDescent="0.2">
      <c r="A151" s="216"/>
      <c r="B151" s="223"/>
      <c r="C151" s="224"/>
      <c r="D151" s="90"/>
      <c r="E151" s="90"/>
      <c r="F151" s="90"/>
      <c r="G151" s="90"/>
      <c r="H151" s="90"/>
      <c r="I151" s="224"/>
      <c r="J151" s="224"/>
      <c r="K151" s="90"/>
      <c r="L151" s="90"/>
      <c r="M151" s="90"/>
      <c r="N151" s="224"/>
      <c r="O151" s="224"/>
      <c r="P151" s="224"/>
      <c r="Q151" s="90"/>
      <c r="R151" s="224"/>
      <c r="S151" s="90"/>
    </row>
    <row r="152" spans="1:19" x14ac:dyDescent="0.2">
      <c r="A152" s="216"/>
      <c r="B152" s="225"/>
      <c r="C152" s="227"/>
      <c r="D152" s="226"/>
      <c r="E152" s="226"/>
      <c r="F152" s="226"/>
      <c r="G152" s="226"/>
      <c r="H152" s="226"/>
      <c r="I152" s="227"/>
      <c r="J152" s="227"/>
      <c r="K152" s="226"/>
      <c r="L152" s="226"/>
      <c r="M152" s="226"/>
      <c r="N152" s="227"/>
      <c r="O152" s="227"/>
      <c r="P152" s="227"/>
      <c r="Q152" s="226"/>
      <c r="R152" s="227"/>
      <c r="S152" s="230"/>
    </row>
    <row r="153" spans="1:19" x14ac:dyDescent="0.2">
      <c r="A153" s="220"/>
      <c r="B153" s="214"/>
      <c r="C153" s="221"/>
      <c r="D153" s="222"/>
      <c r="E153" s="222"/>
      <c r="F153" s="222"/>
      <c r="G153" s="222"/>
      <c r="H153" s="222"/>
      <c r="I153" s="221"/>
      <c r="J153" s="221"/>
      <c r="K153" s="222"/>
      <c r="L153" s="222"/>
      <c r="M153" s="222"/>
      <c r="N153" s="221"/>
      <c r="O153" s="221"/>
      <c r="P153" s="221"/>
      <c r="Q153" s="222"/>
      <c r="R153" s="221"/>
      <c r="S153" s="90"/>
    </row>
    <row r="154" spans="1:19" x14ac:dyDescent="0.2">
      <c r="A154" s="216"/>
      <c r="B154" s="223"/>
      <c r="C154" s="224"/>
      <c r="D154" s="90"/>
      <c r="E154" s="90"/>
      <c r="F154" s="90"/>
      <c r="G154" s="90"/>
      <c r="H154" s="90"/>
      <c r="I154" s="224"/>
      <c r="J154" s="224"/>
      <c r="K154" s="90"/>
      <c r="L154" s="90"/>
      <c r="M154" s="90"/>
      <c r="N154" s="224"/>
      <c r="O154" s="224"/>
      <c r="P154" s="224"/>
      <c r="Q154" s="90"/>
      <c r="R154" s="224"/>
      <c r="S154" s="90"/>
    </row>
    <row r="155" spans="1:19" x14ac:dyDescent="0.2">
      <c r="A155" s="216"/>
      <c r="B155" s="225"/>
      <c r="C155" s="227"/>
      <c r="D155" s="226"/>
      <c r="E155" s="226"/>
      <c r="F155" s="226"/>
      <c r="G155" s="226"/>
      <c r="H155" s="512"/>
      <c r="I155" s="227"/>
      <c r="J155" s="227"/>
      <c r="K155" s="226"/>
      <c r="L155" s="226"/>
      <c r="M155" s="226"/>
      <c r="N155" s="227"/>
      <c r="O155" s="227"/>
      <c r="P155" s="227"/>
      <c r="Q155" s="226"/>
      <c r="R155" s="227"/>
      <c r="S155" s="230"/>
    </row>
    <row r="156" spans="1:19" x14ac:dyDescent="0.2">
      <c r="A156" s="216"/>
      <c r="B156" s="214"/>
      <c r="C156" s="221"/>
      <c r="D156" s="222"/>
      <c r="E156" s="222"/>
      <c r="F156" s="222"/>
      <c r="G156" s="222"/>
      <c r="H156" s="222"/>
      <c r="I156" s="221"/>
      <c r="J156" s="221"/>
      <c r="K156" s="222"/>
      <c r="L156" s="222"/>
      <c r="M156" s="222"/>
      <c r="N156" s="221"/>
      <c r="O156" s="221"/>
      <c r="P156" s="221"/>
      <c r="Q156" s="222"/>
      <c r="R156" s="221"/>
      <c r="S156" s="90"/>
    </row>
    <row r="157" spans="1:19" x14ac:dyDescent="0.2">
      <c r="A157" s="216"/>
      <c r="B157" s="223"/>
      <c r="C157" s="224"/>
      <c r="D157" s="90"/>
      <c r="E157" s="90"/>
      <c r="F157" s="90"/>
      <c r="G157" s="90"/>
      <c r="H157" s="90"/>
      <c r="I157" s="224"/>
      <c r="J157" s="224"/>
      <c r="K157" s="90"/>
      <c r="L157" s="90"/>
      <c r="M157" s="90"/>
      <c r="N157" s="224"/>
      <c r="O157" s="224"/>
      <c r="P157" s="224"/>
      <c r="Q157" s="90"/>
      <c r="R157" s="224"/>
      <c r="S157" s="90"/>
    </row>
    <row r="158" spans="1:19" x14ac:dyDescent="0.2">
      <c r="A158" s="216"/>
      <c r="B158" s="225"/>
      <c r="C158" s="227"/>
      <c r="D158" s="226"/>
      <c r="E158" s="226"/>
      <c r="F158" s="226"/>
      <c r="G158" s="226"/>
      <c r="H158" s="226"/>
      <c r="I158" s="227"/>
      <c r="J158" s="227"/>
      <c r="K158" s="226"/>
      <c r="L158" s="226"/>
      <c r="M158" s="226"/>
      <c r="N158" s="227"/>
      <c r="O158" s="227"/>
      <c r="P158" s="227"/>
      <c r="Q158" s="226"/>
      <c r="R158" s="227"/>
      <c r="S158" s="230"/>
    </row>
    <row r="159" spans="1:19" x14ac:dyDescent="0.2">
      <c r="A159" s="216"/>
      <c r="B159" s="214"/>
      <c r="C159" s="221"/>
      <c r="D159" s="222"/>
      <c r="E159" s="222"/>
      <c r="F159" s="222"/>
      <c r="G159" s="222"/>
      <c r="H159" s="222"/>
      <c r="I159" s="221"/>
      <c r="J159" s="221"/>
      <c r="K159" s="222"/>
      <c r="L159" s="222"/>
      <c r="M159" s="222"/>
      <c r="N159" s="221"/>
      <c r="O159" s="221"/>
      <c r="P159" s="221"/>
      <c r="Q159" s="222"/>
      <c r="R159" s="221"/>
      <c r="S159" s="90"/>
    </row>
    <row r="160" spans="1:19" x14ac:dyDescent="0.2">
      <c r="A160" s="216"/>
      <c r="B160" s="223"/>
      <c r="C160" s="224"/>
      <c r="D160" s="90"/>
      <c r="E160" s="90"/>
      <c r="F160" s="90"/>
      <c r="G160" s="90"/>
      <c r="H160" s="90"/>
      <c r="I160" s="224"/>
      <c r="J160" s="224"/>
      <c r="K160" s="90"/>
      <c r="L160" s="90"/>
      <c r="M160" s="90"/>
      <c r="N160" s="224"/>
      <c r="O160" s="224"/>
      <c r="P160" s="224"/>
      <c r="Q160" s="90"/>
      <c r="R160" s="224"/>
      <c r="S160" s="90"/>
    </row>
    <row r="161" spans="1:19" x14ac:dyDescent="0.2">
      <c r="A161" s="216"/>
      <c r="B161" s="225"/>
      <c r="C161" s="227"/>
      <c r="D161" s="226"/>
      <c r="E161" s="226"/>
      <c r="F161" s="226"/>
      <c r="G161" s="226"/>
      <c r="H161" s="512"/>
      <c r="I161" s="227"/>
      <c r="J161" s="227"/>
      <c r="K161" s="226"/>
      <c r="L161" s="226"/>
      <c r="M161" s="226"/>
      <c r="N161" s="227"/>
      <c r="O161" s="227"/>
      <c r="P161" s="227"/>
      <c r="Q161" s="226"/>
      <c r="R161" s="227"/>
      <c r="S161" s="230"/>
    </row>
    <row r="162" spans="1:19" x14ac:dyDescent="0.2">
      <c r="A162" s="216"/>
      <c r="B162" s="214"/>
      <c r="C162" s="221"/>
      <c r="D162" s="222"/>
      <c r="E162" s="222"/>
      <c r="F162" s="222"/>
      <c r="G162" s="222"/>
      <c r="H162" s="222"/>
      <c r="I162" s="221"/>
      <c r="J162" s="221"/>
      <c r="K162" s="222"/>
      <c r="L162" s="222"/>
      <c r="M162" s="222"/>
      <c r="N162" s="221"/>
      <c r="O162" s="221"/>
      <c r="P162" s="221"/>
      <c r="Q162" s="222"/>
      <c r="R162" s="221"/>
      <c r="S162" s="90"/>
    </row>
    <row r="163" spans="1:19" x14ac:dyDescent="0.2">
      <c r="A163" s="216"/>
      <c r="B163" s="223"/>
      <c r="C163" s="224"/>
      <c r="D163" s="90"/>
      <c r="E163" s="90"/>
      <c r="F163" s="90"/>
      <c r="G163" s="90"/>
      <c r="H163" s="90"/>
      <c r="I163" s="224"/>
      <c r="J163" s="224"/>
      <c r="K163" s="90"/>
      <c r="L163" s="90"/>
      <c r="M163" s="90"/>
      <c r="N163" s="224"/>
      <c r="O163" s="224"/>
      <c r="P163" s="224"/>
      <c r="Q163" s="90"/>
      <c r="R163" s="224"/>
      <c r="S163" s="90"/>
    </row>
    <row r="164" spans="1:19" x14ac:dyDescent="0.2">
      <c r="A164" s="216"/>
      <c r="B164" s="225"/>
      <c r="C164" s="227"/>
      <c r="D164" s="226"/>
      <c r="E164" s="226"/>
      <c r="F164" s="226"/>
      <c r="G164" s="226"/>
      <c r="H164" s="226"/>
      <c r="I164" s="227"/>
      <c r="J164" s="227"/>
      <c r="K164" s="226"/>
      <c r="L164" s="512"/>
      <c r="M164" s="226"/>
      <c r="N164" s="227"/>
      <c r="O164" s="227"/>
      <c r="P164" s="227"/>
      <c r="Q164" s="226"/>
      <c r="R164" s="227"/>
      <c r="S164" s="230"/>
    </row>
    <row r="165" spans="1:19" x14ac:dyDescent="0.2">
      <c r="A165" s="216"/>
      <c r="B165" s="214"/>
      <c r="C165" s="221"/>
      <c r="D165" s="222"/>
      <c r="E165" s="222"/>
      <c r="F165" s="222"/>
      <c r="G165" s="222"/>
      <c r="H165" s="222"/>
      <c r="I165" s="221"/>
      <c r="J165" s="221"/>
      <c r="K165" s="222"/>
      <c r="L165" s="222"/>
      <c r="M165" s="222"/>
      <c r="N165" s="221"/>
      <c r="O165" s="221"/>
      <c r="P165" s="221"/>
      <c r="Q165" s="222"/>
      <c r="R165" s="221"/>
      <c r="S165" s="90"/>
    </row>
    <row r="166" spans="1:19" x14ac:dyDescent="0.2">
      <c r="A166" s="216"/>
      <c r="B166" s="223"/>
      <c r="C166" s="224"/>
      <c r="D166" s="90"/>
      <c r="E166" s="90"/>
      <c r="F166" s="90"/>
      <c r="G166" s="90"/>
      <c r="H166" s="90"/>
      <c r="I166" s="224"/>
      <c r="J166" s="224"/>
      <c r="K166" s="90"/>
      <c r="L166" s="90"/>
      <c r="M166" s="90"/>
      <c r="N166" s="224"/>
      <c r="O166" s="224"/>
      <c r="P166" s="224"/>
      <c r="Q166" s="90"/>
      <c r="R166" s="224"/>
      <c r="S166" s="90"/>
    </row>
    <row r="167" spans="1:19" x14ac:dyDescent="0.2">
      <c r="A167" s="216"/>
      <c r="B167" s="225"/>
      <c r="C167" s="227"/>
      <c r="D167" s="226"/>
      <c r="E167" s="226"/>
      <c r="F167" s="226"/>
      <c r="G167" s="226"/>
      <c r="H167" s="226"/>
      <c r="I167" s="227"/>
      <c r="J167" s="227"/>
      <c r="K167" s="226"/>
      <c r="L167" s="226"/>
      <c r="M167" s="226"/>
      <c r="N167" s="227"/>
      <c r="O167" s="227"/>
      <c r="P167" s="227"/>
      <c r="Q167" s="226"/>
      <c r="R167" s="227"/>
      <c r="S167" s="230"/>
    </row>
    <row r="168" spans="1:19" x14ac:dyDescent="0.2">
      <c r="A168" s="216"/>
      <c r="B168" s="214"/>
      <c r="C168" s="221"/>
      <c r="D168" s="222"/>
      <c r="E168" s="222"/>
      <c r="F168" s="222"/>
      <c r="G168" s="222"/>
      <c r="H168" s="222"/>
      <c r="I168" s="221"/>
      <c r="J168" s="221"/>
      <c r="K168" s="222"/>
      <c r="L168" s="222"/>
      <c r="M168" s="222"/>
      <c r="N168" s="221"/>
      <c r="O168" s="221"/>
      <c r="P168" s="221"/>
      <c r="Q168" s="222"/>
      <c r="R168" s="221"/>
      <c r="S168" s="90"/>
    </row>
    <row r="169" spans="1:19" x14ac:dyDescent="0.2">
      <c r="A169" s="216"/>
      <c r="B169" s="223"/>
      <c r="C169" s="224"/>
      <c r="D169" s="90"/>
      <c r="E169" s="90"/>
      <c r="F169" s="90"/>
      <c r="G169" s="90"/>
      <c r="H169" s="90"/>
      <c r="I169" s="224"/>
      <c r="J169" s="224"/>
      <c r="K169" s="90"/>
      <c r="L169" s="90"/>
      <c r="M169" s="90"/>
      <c r="N169" s="224"/>
      <c r="O169" s="224"/>
      <c r="P169" s="224"/>
      <c r="Q169" s="90"/>
      <c r="R169" s="224"/>
      <c r="S169" s="90"/>
    </row>
    <row r="170" spans="1:19" x14ac:dyDescent="0.2">
      <c r="A170" s="216"/>
      <c r="B170" s="225"/>
      <c r="C170" s="227"/>
      <c r="D170" s="226"/>
      <c r="E170" s="226"/>
      <c r="F170" s="226"/>
      <c r="G170" s="226"/>
      <c r="H170" s="226"/>
      <c r="I170" s="227"/>
      <c r="J170" s="227"/>
      <c r="K170" s="226"/>
      <c r="L170" s="226"/>
      <c r="M170" s="226"/>
      <c r="N170" s="227"/>
      <c r="O170" s="227"/>
      <c r="P170" s="227"/>
      <c r="Q170" s="226"/>
      <c r="R170" s="227"/>
      <c r="S170" s="230"/>
    </row>
    <row r="171" spans="1:19" x14ac:dyDescent="0.2">
      <c r="A171" s="216"/>
      <c r="B171" s="214"/>
      <c r="C171" s="221"/>
      <c r="D171" s="222"/>
      <c r="E171" s="222"/>
      <c r="F171" s="222"/>
      <c r="G171" s="222"/>
      <c r="H171" s="222"/>
      <c r="I171" s="221"/>
      <c r="J171" s="221"/>
      <c r="K171" s="222"/>
      <c r="L171" s="222"/>
      <c r="M171" s="222"/>
      <c r="N171" s="221"/>
      <c r="O171" s="221"/>
      <c r="P171" s="221"/>
      <c r="Q171" s="222"/>
      <c r="R171" s="221"/>
      <c r="S171" s="90"/>
    </row>
    <row r="172" spans="1:19" x14ac:dyDescent="0.2">
      <c r="A172" s="216"/>
      <c r="B172" s="223"/>
      <c r="C172" s="224"/>
      <c r="D172" s="90"/>
      <c r="E172" s="90"/>
      <c r="F172" s="90"/>
      <c r="G172" s="90"/>
      <c r="H172" s="90"/>
      <c r="I172" s="224"/>
      <c r="J172" s="224"/>
      <c r="K172" s="90"/>
      <c r="L172" s="90"/>
      <c r="M172" s="90"/>
      <c r="N172" s="224"/>
      <c r="O172" s="224"/>
      <c r="P172" s="224"/>
      <c r="Q172" s="90"/>
      <c r="R172" s="224"/>
    </row>
    <row r="173" spans="1:19" x14ac:dyDescent="0.2">
      <c r="A173" s="216"/>
      <c r="B173" s="225"/>
      <c r="C173" s="227"/>
      <c r="D173" s="226"/>
      <c r="E173" s="226"/>
      <c r="F173" s="226"/>
      <c r="G173" s="226"/>
      <c r="H173" s="226"/>
      <c r="I173" s="227"/>
      <c r="J173" s="227"/>
      <c r="K173" s="226"/>
      <c r="L173" s="226"/>
      <c r="M173" s="226"/>
      <c r="N173" s="227"/>
      <c r="O173" s="227"/>
      <c r="P173" s="227"/>
      <c r="Q173" s="226"/>
      <c r="R173" s="227"/>
      <c r="S173" s="527"/>
    </row>
    <row r="174" spans="1:19" x14ac:dyDescent="0.2">
      <c r="A174" s="220"/>
      <c r="B174" s="214"/>
      <c r="C174" s="221"/>
      <c r="D174" s="222"/>
      <c r="E174" s="222"/>
      <c r="F174" s="222"/>
      <c r="G174" s="222"/>
      <c r="H174" s="222"/>
      <c r="I174" s="221"/>
      <c r="J174" s="221"/>
      <c r="K174" s="222"/>
      <c r="L174" s="222"/>
      <c r="M174" s="222"/>
      <c r="N174" s="221"/>
      <c r="O174" s="221"/>
      <c r="P174" s="221"/>
      <c r="Q174" s="222"/>
      <c r="R174" s="221"/>
      <c r="S174" s="527"/>
    </row>
    <row r="175" spans="1:19" x14ac:dyDescent="0.2">
      <c r="A175" s="216"/>
      <c r="B175" s="223"/>
      <c r="C175" s="224"/>
      <c r="D175" s="90"/>
      <c r="E175" s="90"/>
      <c r="F175" s="90"/>
      <c r="G175" s="90"/>
      <c r="H175" s="90"/>
      <c r="I175" s="224"/>
      <c r="J175" s="224"/>
      <c r="K175" s="90"/>
      <c r="L175" s="90"/>
      <c r="M175" s="90"/>
      <c r="N175" s="224"/>
      <c r="O175" s="224"/>
      <c r="P175" s="224"/>
      <c r="Q175" s="90"/>
      <c r="R175" s="224"/>
      <c r="S175" s="90"/>
    </row>
    <row r="176" spans="1:19" x14ac:dyDescent="0.2">
      <c r="A176" s="216"/>
      <c r="B176" s="225"/>
      <c r="C176" s="227"/>
      <c r="D176" s="226"/>
      <c r="E176" s="226"/>
      <c r="F176" s="226"/>
      <c r="G176" s="226"/>
      <c r="H176" s="226"/>
      <c r="I176" s="227"/>
      <c r="J176" s="227"/>
      <c r="K176" s="226"/>
      <c r="L176" s="226"/>
      <c r="M176" s="226"/>
      <c r="N176" s="227"/>
      <c r="O176" s="227"/>
      <c r="P176" s="227"/>
      <c r="Q176" s="226"/>
      <c r="R176" s="227"/>
      <c r="S176" s="230"/>
    </row>
    <row r="177" spans="1:19" x14ac:dyDescent="0.2">
      <c r="A177" s="216"/>
      <c r="B177" s="214"/>
      <c r="C177" s="221"/>
      <c r="D177" s="222"/>
      <c r="E177" s="222"/>
      <c r="F177" s="222"/>
      <c r="G177" s="222"/>
      <c r="H177" s="222"/>
      <c r="I177" s="221"/>
      <c r="J177" s="221"/>
      <c r="K177" s="222"/>
      <c r="L177" s="222"/>
      <c r="M177" s="222"/>
      <c r="N177" s="221"/>
      <c r="O177" s="221"/>
      <c r="P177" s="221"/>
      <c r="Q177" s="222"/>
      <c r="R177" s="221"/>
      <c r="S177" s="90"/>
    </row>
    <row r="178" spans="1:19" x14ac:dyDescent="0.2">
      <c r="A178" s="216"/>
      <c r="B178" s="223"/>
      <c r="C178" s="224"/>
      <c r="D178" s="90"/>
      <c r="E178" s="90"/>
      <c r="F178" s="90"/>
      <c r="G178" s="90"/>
      <c r="H178" s="90"/>
      <c r="I178" s="224"/>
      <c r="J178" s="224"/>
      <c r="K178" s="90"/>
      <c r="L178" s="90"/>
      <c r="M178" s="90"/>
      <c r="N178" s="224"/>
      <c r="O178" s="224"/>
      <c r="P178" s="224"/>
      <c r="Q178" s="90"/>
      <c r="R178" s="224"/>
      <c r="S178" s="90"/>
    </row>
    <row r="179" spans="1:19" x14ac:dyDescent="0.2">
      <c r="A179" s="216"/>
      <c r="B179" s="225"/>
      <c r="C179" s="227"/>
      <c r="D179" s="226"/>
      <c r="E179" s="226"/>
      <c r="F179" s="512"/>
      <c r="G179" s="226"/>
      <c r="H179" s="226"/>
      <c r="I179" s="227"/>
      <c r="J179" s="227"/>
      <c r="K179" s="226"/>
      <c r="L179" s="226"/>
      <c r="M179" s="226"/>
      <c r="N179" s="227"/>
      <c r="O179" s="227"/>
      <c r="P179" s="227"/>
      <c r="Q179" s="226"/>
      <c r="R179" s="227"/>
      <c r="S179" s="230"/>
    </row>
    <row r="180" spans="1:19" x14ac:dyDescent="0.2">
      <c r="A180" s="216"/>
      <c r="B180" s="214"/>
      <c r="C180" s="221"/>
      <c r="D180" s="222"/>
      <c r="E180" s="222"/>
      <c r="F180" s="222"/>
      <c r="G180" s="222"/>
      <c r="H180" s="222"/>
      <c r="I180" s="221"/>
      <c r="J180" s="221"/>
      <c r="K180" s="222"/>
      <c r="L180" s="222"/>
      <c r="M180" s="222"/>
      <c r="N180" s="221"/>
      <c r="O180" s="221"/>
      <c r="P180" s="221"/>
      <c r="Q180" s="222"/>
      <c r="R180" s="221"/>
      <c r="S180" s="90"/>
    </row>
    <row r="181" spans="1:19" x14ac:dyDescent="0.2">
      <c r="A181" s="216"/>
      <c r="B181" s="223"/>
      <c r="C181" s="224"/>
      <c r="D181" s="90"/>
      <c r="E181" s="90"/>
      <c r="F181" s="90"/>
      <c r="G181" s="90"/>
      <c r="H181" s="90"/>
      <c r="I181" s="224"/>
      <c r="J181" s="224"/>
      <c r="K181" s="90"/>
      <c r="L181" s="90"/>
      <c r="M181" s="90"/>
      <c r="N181" s="224"/>
      <c r="O181" s="224"/>
      <c r="P181" s="224"/>
      <c r="Q181" s="90"/>
      <c r="R181" s="224"/>
      <c r="S181" s="90"/>
    </row>
    <row r="182" spans="1:19" x14ac:dyDescent="0.2">
      <c r="A182" s="216"/>
      <c r="B182" s="225"/>
      <c r="C182" s="227"/>
      <c r="D182" s="226"/>
      <c r="E182" s="226"/>
      <c r="F182" s="226"/>
      <c r="G182" s="512"/>
      <c r="H182" s="226"/>
      <c r="I182" s="227"/>
      <c r="J182" s="227"/>
      <c r="K182" s="226"/>
      <c r="L182" s="226"/>
      <c r="M182" s="226"/>
      <c r="N182" s="227"/>
      <c r="O182" s="227"/>
      <c r="P182" s="227"/>
      <c r="Q182" s="226"/>
      <c r="R182" s="227"/>
      <c r="S182" s="230"/>
    </row>
    <row r="183" spans="1:19" x14ac:dyDescent="0.2">
      <c r="A183" s="216"/>
      <c r="B183" s="214"/>
      <c r="C183" s="221"/>
      <c r="D183" s="222"/>
      <c r="E183" s="222"/>
      <c r="F183" s="222"/>
      <c r="G183" s="222"/>
      <c r="H183" s="222"/>
      <c r="I183" s="221"/>
      <c r="J183" s="221"/>
      <c r="K183" s="222"/>
      <c r="L183" s="222"/>
      <c r="M183" s="222"/>
      <c r="N183" s="221"/>
      <c r="O183" s="221"/>
      <c r="P183" s="221"/>
      <c r="Q183" s="222"/>
      <c r="R183" s="221"/>
      <c r="S183" s="90"/>
    </row>
    <row r="184" spans="1:19" x14ac:dyDescent="0.2">
      <c r="A184" s="216"/>
      <c r="B184" s="223"/>
      <c r="C184" s="224"/>
      <c r="D184" s="90"/>
      <c r="E184" s="90"/>
      <c r="F184" s="90"/>
      <c r="G184" s="90"/>
      <c r="H184" s="90"/>
      <c r="I184" s="224"/>
      <c r="J184" s="224"/>
      <c r="K184" s="90"/>
      <c r="L184" s="90"/>
      <c r="M184" s="90"/>
      <c r="N184" s="224"/>
      <c r="O184" s="224"/>
      <c r="P184" s="224"/>
      <c r="Q184" s="90"/>
      <c r="R184" s="224"/>
      <c r="S184" s="90"/>
    </row>
    <row r="185" spans="1:19" x14ac:dyDescent="0.2">
      <c r="A185" s="216"/>
      <c r="B185" s="225"/>
      <c r="C185" s="227"/>
      <c r="D185" s="226"/>
      <c r="E185" s="226"/>
      <c r="F185" s="226"/>
      <c r="G185" s="226"/>
      <c r="H185" s="226"/>
      <c r="I185" s="227"/>
      <c r="J185" s="227"/>
      <c r="K185" s="226"/>
      <c r="L185" s="226"/>
      <c r="M185" s="226"/>
      <c r="N185" s="227"/>
      <c r="O185" s="227"/>
      <c r="P185" s="227"/>
      <c r="Q185" s="226"/>
      <c r="R185" s="227"/>
      <c r="S185" s="230"/>
    </row>
    <row r="186" spans="1:19" x14ac:dyDescent="0.2">
      <c r="A186" s="216"/>
      <c r="B186" s="214"/>
      <c r="C186" s="221"/>
      <c r="D186" s="222"/>
      <c r="E186" s="222"/>
      <c r="F186" s="222"/>
      <c r="G186" s="222"/>
      <c r="H186" s="222"/>
      <c r="I186" s="221"/>
      <c r="J186" s="221"/>
      <c r="K186" s="222"/>
      <c r="L186" s="222"/>
      <c r="M186" s="222"/>
      <c r="N186" s="221"/>
      <c r="O186" s="221"/>
      <c r="P186" s="221"/>
      <c r="Q186" s="222"/>
      <c r="R186" s="221"/>
      <c r="S186" s="90"/>
    </row>
    <row r="187" spans="1:19" x14ac:dyDescent="0.2">
      <c r="A187" s="216"/>
      <c r="B187" s="223"/>
      <c r="C187" s="224"/>
      <c r="D187" s="90"/>
      <c r="E187" s="90"/>
      <c r="F187" s="90"/>
      <c r="G187" s="90"/>
      <c r="H187" s="90"/>
      <c r="I187" s="224"/>
      <c r="J187" s="224"/>
      <c r="K187" s="90"/>
      <c r="L187" s="90"/>
      <c r="M187" s="90"/>
      <c r="N187" s="224"/>
      <c r="O187" s="224"/>
      <c r="P187" s="224"/>
      <c r="Q187" s="90"/>
      <c r="R187" s="224"/>
      <c r="S187" s="90"/>
    </row>
    <row r="188" spans="1:19" x14ac:dyDescent="0.2">
      <c r="A188" s="216"/>
      <c r="B188" s="225"/>
      <c r="C188" s="227"/>
      <c r="D188" s="226"/>
      <c r="E188" s="226"/>
      <c r="F188" s="226"/>
      <c r="G188" s="226"/>
      <c r="H188" s="226"/>
      <c r="I188" s="227"/>
      <c r="J188" s="227"/>
      <c r="K188" s="226"/>
      <c r="L188" s="226"/>
      <c r="M188" s="226"/>
      <c r="N188" s="227"/>
      <c r="O188" s="227"/>
      <c r="P188" s="227"/>
      <c r="Q188" s="226"/>
      <c r="R188" s="227"/>
      <c r="S188" s="529"/>
    </row>
    <row r="189" spans="1:19" x14ac:dyDescent="0.2">
      <c r="A189" s="216"/>
      <c r="B189" s="214"/>
      <c r="C189" s="221"/>
      <c r="D189" s="222"/>
      <c r="E189" s="222"/>
      <c r="F189" s="222"/>
      <c r="G189" s="222"/>
      <c r="H189" s="222"/>
      <c r="I189" s="221"/>
      <c r="J189" s="221"/>
      <c r="K189" s="222"/>
      <c r="L189" s="222"/>
      <c r="M189" s="222"/>
      <c r="N189" s="221"/>
      <c r="O189" s="221"/>
      <c r="P189" s="221"/>
      <c r="Q189" s="222"/>
      <c r="R189" s="221"/>
      <c r="S189" s="527"/>
    </row>
    <row r="190" spans="1:19" x14ac:dyDescent="0.2">
      <c r="A190" s="216"/>
      <c r="B190" s="223"/>
      <c r="C190" s="224"/>
      <c r="D190" s="90"/>
      <c r="E190" s="90"/>
      <c r="F190" s="90"/>
      <c r="G190" s="90"/>
      <c r="H190" s="90"/>
      <c r="I190" s="224"/>
      <c r="J190" s="224"/>
      <c r="K190" s="90"/>
      <c r="L190" s="90"/>
      <c r="M190" s="90"/>
      <c r="N190" s="224"/>
      <c r="O190" s="224"/>
      <c r="P190" s="224"/>
      <c r="Q190" s="90"/>
      <c r="R190" s="224"/>
      <c r="S190" s="527"/>
    </row>
    <row r="191" spans="1:19" x14ac:dyDescent="0.2">
      <c r="A191" s="216"/>
      <c r="B191" s="225"/>
      <c r="C191" s="227"/>
      <c r="D191" s="226"/>
      <c r="E191" s="226"/>
      <c r="F191" s="226"/>
      <c r="G191" s="226"/>
      <c r="H191" s="226"/>
      <c r="I191" s="227"/>
      <c r="J191" s="227"/>
      <c r="K191" s="226"/>
      <c r="L191" s="226"/>
      <c r="M191" s="226"/>
      <c r="N191" s="227"/>
      <c r="O191" s="227"/>
      <c r="P191" s="227"/>
      <c r="Q191" s="226"/>
      <c r="R191" s="227"/>
      <c r="S191" s="527"/>
    </row>
    <row r="192" spans="1:19" x14ac:dyDescent="0.2">
      <c r="A192" s="216"/>
      <c r="B192" s="214"/>
      <c r="C192" s="221"/>
      <c r="D192" s="222"/>
      <c r="E192" s="222"/>
      <c r="F192" s="222"/>
      <c r="G192" s="222"/>
      <c r="H192" s="222"/>
      <c r="I192" s="221"/>
      <c r="J192" s="221"/>
      <c r="K192" s="222"/>
      <c r="L192" s="222"/>
      <c r="M192" s="222"/>
      <c r="N192" s="221"/>
      <c r="O192" s="221"/>
      <c r="P192" s="221"/>
      <c r="Q192" s="222"/>
      <c r="R192" s="221"/>
      <c r="S192" s="90"/>
    </row>
    <row r="193" spans="1:19" x14ac:dyDescent="0.2">
      <c r="A193" s="216"/>
      <c r="B193" s="223"/>
      <c r="C193" s="224"/>
      <c r="D193" s="90"/>
      <c r="E193" s="90"/>
      <c r="F193" s="90"/>
      <c r="G193" s="90"/>
      <c r="H193" s="90"/>
      <c r="I193" s="224"/>
      <c r="J193" s="224"/>
      <c r="K193" s="90"/>
      <c r="L193" s="90"/>
      <c r="M193" s="90"/>
      <c r="N193" s="224"/>
      <c r="O193" s="224"/>
      <c r="P193" s="224"/>
      <c r="Q193" s="90"/>
      <c r="R193" s="224"/>
      <c r="S193" s="90"/>
    </row>
    <row r="194" spans="1:19" x14ac:dyDescent="0.2">
      <c r="A194" s="216"/>
      <c r="B194" s="225"/>
      <c r="C194" s="227"/>
      <c r="D194" s="226"/>
      <c r="E194" s="226"/>
      <c r="F194" s="226"/>
      <c r="G194" s="226"/>
      <c r="H194" s="226"/>
      <c r="I194" s="227"/>
      <c r="J194" s="227"/>
      <c r="K194" s="226"/>
      <c r="L194" s="226"/>
      <c r="M194" s="226"/>
      <c r="N194" s="227"/>
      <c r="O194" s="227"/>
      <c r="P194" s="227"/>
      <c r="Q194" s="226"/>
      <c r="R194" s="227"/>
      <c r="S194" s="230"/>
    </row>
    <row r="195" spans="1:19" x14ac:dyDescent="0.2">
      <c r="A195" s="220"/>
      <c r="B195" s="214"/>
      <c r="C195" s="221"/>
      <c r="D195" s="222"/>
      <c r="E195" s="222"/>
      <c r="F195" s="222"/>
      <c r="G195" s="222"/>
      <c r="H195" s="222"/>
      <c r="I195" s="221"/>
      <c r="J195" s="221"/>
      <c r="K195" s="222"/>
      <c r="L195" s="222"/>
      <c r="M195" s="222"/>
      <c r="N195" s="221"/>
      <c r="O195" s="221"/>
      <c r="P195" s="221"/>
      <c r="Q195" s="222"/>
      <c r="R195" s="221"/>
      <c r="S195" s="90"/>
    </row>
    <row r="196" spans="1:19" x14ac:dyDescent="0.2">
      <c r="A196" s="216"/>
      <c r="B196" s="223"/>
      <c r="C196" s="224"/>
      <c r="D196" s="90"/>
      <c r="E196" s="90"/>
      <c r="F196" s="90"/>
      <c r="G196" s="90"/>
      <c r="H196" s="90"/>
      <c r="I196" s="224"/>
      <c r="J196" s="224"/>
      <c r="K196" s="90"/>
      <c r="L196" s="90"/>
      <c r="M196" s="90"/>
      <c r="N196" s="224"/>
      <c r="O196" s="224"/>
      <c r="P196" s="224"/>
      <c r="Q196" s="90"/>
      <c r="R196" s="224"/>
      <c r="S196" s="90"/>
    </row>
    <row r="197" spans="1:19" x14ac:dyDescent="0.2">
      <c r="A197" s="216"/>
      <c r="B197" s="225"/>
      <c r="C197" s="227"/>
      <c r="D197" s="226"/>
      <c r="E197" s="226"/>
      <c r="F197" s="226"/>
      <c r="G197" s="226"/>
      <c r="H197" s="226"/>
      <c r="I197" s="227"/>
      <c r="J197" s="227"/>
      <c r="K197" s="226"/>
      <c r="L197" s="226"/>
      <c r="M197" s="226"/>
      <c r="N197" s="227"/>
      <c r="O197" s="227"/>
      <c r="P197" s="227"/>
      <c r="Q197" s="226"/>
      <c r="R197" s="227"/>
      <c r="S197" s="230"/>
    </row>
    <row r="198" spans="1:19" x14ac:dyDescent="0.2">
      <c r="A198" s="216"/>
      <c r="B198" s="214"/>
      <c r="C198" s="221"/>
      <c r="D198" s="222"/>
      <c r="E198" s="222"/>
      <c r="F198" s="222"/>
      <c r="G198" s="222"/>
      <c r="H198" s="222"/>
      <c r="I198" s="221"/>
      <c r="J198" s="221"/>
      <c r="K198" s="222"/>
      <c r="L198" s="222"/>
      <c r="M198" s="222"/>
      <c r="N198" s="221"/>
      <c r="O198" s="221"/>
      <c r="P198" s="221"/>
      <c r="Q198" s="222"/>
      <c r="R198" s="221"/>
      <c r="S198" s="90"/>
    </row>
    <row r="199" spans="1:19" x14ac:dyDescent="0.2">
      <c r="A199" s="216"/>
      <c r="B199" s="223"/>
      <c r="C199" s="224"/>
      <c r="D199" s="90"/>
      <c r="E199" s="90"/>
      <c r="F199" s="90"/>
      <c r="G199" s="90"/>
      <c r="H199" s="90"/>
      <c r="I199" s="224"/>
      <c r="J199" s="224"/>
      <c r="K199" s="90"/>
      <c r="L199" s="90"/>
      <c r="M199" s="90"/>
      <c r="N199" s="224"/>
      <c r="O199" s="224"/>
      <c r="P199" s="224"/>
      <c r="Q199" s="90"/>
      <c r="R199" s="224"/>
      <c r="S199" s="90"/>
    </row>
    <row r="200" spans="1:19" x14ac:dyDescent="0.2">
      <c r="A200" s="216"/>
      <c r="B200" s="225"/>
      <c r="C200" s="227"/>
      <c r="D200" s="226"/>
      <c r="E200" s="226"/>
      <c r="F200" s="226"/>
      <c r="G200" s="226"/>
      <c r="H200" s="226"/>
      <c r="I200" s="227"/>
      <c r="J200" s="227"/>
      <c r="K200" s="226"/>
      <c r="L200" s="226"/>
      <c r="M200" s="226"/>
      <c r="N200" s="227"/>
      <c r="O200" s="227"/>
      <c r="P200" s="227"/>
      <c r="Q200" s="226"/>
      <c r="R200" s="227"/>
      <c r="S200" s="230"/>
    </row>
    <row r="201" spans="1:19" x14ac:dyDescent="0.2">
      <c r="A201" s="216"/>
      <c r="B201" s="214"/>
      <c r="C201" s="221"/>
      <c r="D201" s="222"/>
      <c r="E201" s="222"/>
      <c r="F201" s="222"/>
      <c r="G201" s="222"/>
      <c r="H201" s="222"/>
      <c r="I201" s="221"/>
      <c r="J201" s="221"/>
      <c r="K201" s="222"/>
      <c r="L201" s="222"/>
      <c r="M201" s="222"/>
      <c r="N201" s="221"/>
      <c r="O201" s="221"/>
      <c r="P201" s="221"/>
      <c r="Q201" s="222"/>
      <c r="R201" s="221"/>
      <c r="S201" s="90"/>
    </row>
    <row r="202" spans="1:19" x14ac:dyDescent="0.2">
      <c r="A202" s="216"/>
      <c r="B202" s="223"/>
      <c r="C202" s="224"/>
      <c r="D202" s="90"/>
      <c r="E202" s="90"/>
      <c r="F202" s="90"/>
      <c r="G202" s="90"/>
      <c r="H202" s="90"/>
      <c r="I202" s="224"/>
      <c r="J202" s="224"/>
      <c r="K202" s="90"/>
      <c r="L202" s="90"/>
      <c r="M202" s="90"/>
      <c r="N202" s="224"/>
      <c r="O202" s="224"/>
      <c r="P202" s="224"/>
      <c r="Q202" s="90"/>
      <c r="R202" s="224"/>
      <c r="S202" s="90"/>
    </row>
    <row r="203" spans="1:19" x14ac:dyDescent="0.2">
      <c r="A203" s="216"/>
      <c r="B203" s="225"/>
      <c r="C203" s="227"/>
      <c r="D203" s="226"/>
      <c r="E203" s="226"/>
      <c r="F203" s="226"/>
      <c r="G203" s="226"/>
      <c r="H203" s="226"/>
      <c r="I203" s="227"/>
      <c r="J203" s="227"/>
      <c r="K203" s="226"/>
      <c r="L203" s="226"/>
      <c r="M203" s="226"/>
      <c r="N203" s="227"/>
      <c r="O203" s="227"/>
      <c r="P203" s="227"/>
      <c r="Q203" s="226"/>
      <c r="R203" s="227"/>
      <c r="S203" s="230"/>
    </row>
    <row r="204" spans="1:19" x14ac:dyDescent="0.2">
      <c r="A204" s="216"/>
      <c r="B204" s="214"/>
      <c r="C204" s="221"/>
      <c r="D204" s="222"/>
      <c r="E204" s="222"/>
      <c r="F204" s="222"/>
      <c r="G204" s="222"/>
      <c r="H204" s="222"/>
      <c r="I204" s="221"/>
      <c r="J204" s="221"/>
      <c r="K204" s="222"/>
      <c r="L204" s="222"/>
      <c r="M204" s="222"/>
      <c r="N204" s="221"/>
      <c r="O204" s="221"/>
      <c r="P204" s="221"/>
      <c r="Q204" s="222"/>
      <c r="R204" s="221"/>
      <c r="S204" s="90"/>
    </row>
    <row r="205" spans="1:19" x14ac:dyDescent="0.2">
      <c r="A205" s="216"/>
      <c r="B205" s="223"/>
      <c r="C205" s="224"/>
      <c r="D205" s="90"/>
      <c r="E205" s="90"/>
      <c r="F205" s="90"/>
      <c r="G205" s="90"/>
      <c r="H205" s="90"/>
      <c r="I205" s="224"/>
      <c r="J205" s="224"/>
      <c r="K205" s="90"/>
      <c r="L205" s="90"/>
      <c r="M205" s="90"/>
      <c r="N205" s="224"/>
      <c r="O205" s="224"/>
      <c r="P205" s="224"/>
      <c r="Q205" s="90"/>
      <c r="R205" s="224"/>
      <c r="S205" s="90"/>
    </row>
    <row r="206" spans="1:19" x14ac:dyDescent="0.2">
      <c r="A206" s="216"/>
      <c r="B206" s="225"/>
      <c r="C206" s="227"/>
      <c r="D206" s="226"/>
      <c r="E206" s="226"/>
      <c r="F206" s="226"/>
      <c r="G206" s="226"/>
      <c r="H206" s="226"/>
      <c r="I206" s="227"/>
      <c r="J206" s="227"/>
      <c r="K206" s="226"/>
      <c r="L206" s="226"/>
      <c r="M206" s="226"/>
      <c r="N206" s="227"/>
      <c r="O206" s="227"/>
      <c r="P206" s="227"/>
      <c r="Q206" s="226"/>
      <c r="R206" s="227"/>
      <c r="S206" s="230"/>
    </row>
    <row r="207" spans="1:19" x14ac:dyDescent="0.2">
      <c r="A207" s="216"/>
      <c r="B207" s="214"/>
      <c r="C207" s="221"/>
      <c r="D207" s="222"/>
      <c r="E207" s="222"/>
      <c r="F207" s="222"/>
      <c r="G207" s="222"/>
      <c r="H207" s="222"/>
      <c r="I207" s="221"/>
      <c r="J207" s="221"/>
      <c r="K207" s="222"/>
      <c r="L207" s="222"/>
      <c r="M207" s="222"/>
      <c r="N207" s="221"/>
      <c r="O207" s="221"/>
      <c r="P207" s="221"/>
      <c r="Q207" s="222"/>
      <c r="R207" s="221"/>
      <c r="S207" s="90"/>
    </row>
    <row r="208" spans="1:19" x14ac:dyDescent="0.2">
      <c r="A208" s="216"/>
      <c r="B208" s="223"/>
      <c r="C208" s="224"/>
      <c r="D208" s="90"/>
      <c r="E208" s="90"/>
      <c r="F208" s="90"/>
      <c r="G208" s="90"/>
      <c r="H208" s="90"/>
      <c r="I208" s="224"/>
      <c r="J208" s="224"/>
      <c r="K208" s="90"/>
      <c r="L208" s="90"/>
      <c r="M208" s="90"/>
      <c r="N208" s="224"/>
      <c r="O208" s="224"/>
      <c r="P208" s="224"/>
      <c r="Q208" s="90"/>
      <c r="R208" s="224"/>
      <c r="S208" s="90"/>
    </row>
    <row r="209" spans="1:19" x14ac:dyDescent="0.2">
      <c r="A209" s="216"/>
      <c r="B209" s="225"/>
      <c r="C209" s="227"/>
      <c r="D209" s="226"/>
      <c r="E209" s="226"/>
      <c r="F209" s="226"/>
      <c r="G209" s="226"/>
      <c r="H209" s="226"/>
      <c r="I209" s="227"/>
      <c r="J209" s="227"/>
      <c r="K209" s="226"/>
      <c r="L209" s="226"/>
      <c r="M209" s="226"/>
      <c r="N209" s="227"/>
      <c r="O209" s="227"/>
      <c r="P209" s="227"/>
      <c r="Q209" s="226"/>
      <c r="R209" s="227"/>
      <c r="S209" s="230"/>
    </row>
    <row r="210" spans="1:19" x14ac:dyDescent="0.2">
      <c r="A210" s="216"/>
      <c r="B210" s="214"/>
      <c r="C210" s="221"/>
      <c r="D210" s="222"/>
      <c r="E210" s="222"/>
      <c r="F210" s="222"/>
      <c r="G210" s="222"/>
      <c r="H210" s="222"/>
      <c r="I210" s="221"/>
      <c r="J210" s="221"/>
      <c r="K210" s="222"/>
      <c r="L210" s="222"/>
      <c r="M210" s="222"/>
      <c r="N210" s="221"/>
      <c r="O210" s="221"/>
      <c r="P210" s="221"/>
      <c r="Q210" s="222"/>
      <c r="R210" s="221"/>
      <c r="S210" s="90"/>
    </row>
    <row r="211" spans="1:19" x14ac:dyDescent="0.2">
      <c r="A211" s="216"/>
      <c r="B211" s="223"/>
      <c r="C211" s="224"/>
      <c r="D211" s="90"/>
      <c r="E211" s="90"/>
      <c r="F211" s="90"/>
      <c r="G211" s="90"/>
      <c r="H211" s="90"/>
      <c r="I211" s="224"/>
      <c r="J211" s="224"/>
      <c r="K211" s="90"/>
      <c r="L211" s="90"/>
      <c r="M211" s="90"/>
      <c r="N211" s="224"/>
      <c r="O211" s="224"/>
      <c r="P211" s="224"/>
      <c r="Q211" s="90"/>
      <c r="R211" s="224"/>
      <c r="S211" s="90"/>
    </row>
    <row r="212" spans="1:19" x14ac:dyDescent="0.2">
      <c r="A212" s="216"/>
      <c r="B212" s="225"/>
      <c r="C212" s="227"/>
      <c r="D212" s="226"/>
      <c r="E212" s="226"/>
      <c r="F212" s="226"/>
      <c r="G212" s="226"/>
      <c r="H212" s="226"/>
      <c r="I212" s="227"/>
      <c r="J212" s="227"/>
      <c r="K212" s="226"/>
      <c r="L212" s="226"/>
      <c r="M212" s="226"/>
      <c r="N212" s="227"/>
      <c r="O212" s="227"/>
      <c r="P212" s="227"/>
      <c r="Q212" s="226"/>
      <c r="R212" s="227"/>
      <c r="S212" s="230"/>
    </row>
    <row r="213" spans="1:19" x14ac:dyDescent="0.2">
      <c r="A213" s="216"/>
      <c r="B213" s="214"/>
      <c r="C213" s="221"/>
      <c r="D213" s="222"/>
      <c r="E213" s="222"/>
      <c r="F213" s="222"/>
      <c r="G213" s="222"/>
      <c r="H213" s="222"/>
      <c r="I213" s="221"/>
      <c r="J213" s="221"/>
      <c r="K213" s="222"/>
      <c r="L213" s="222"/>
      <c r="M213" s="222"/>
      <c r="N213" s="221"/>
      <c r="O213" s="221"/>
      <c r="P213" s="221"/>
      <c r="Q213" s="222"/>
      <c r="R213" s="221"/>
      <c r="S213" s="90"/>
    </row>
    <row r="214" spans="1:19" x14ac:dyDescent="0.2">
      <c r="A214" s="216"/>
      <c r="B214" s="223"/>
      <c r="C214" s="224"/>
      <c r="D214" s="90"/>
      <c r="E214" s="90"/>
      <c r="F214" s="90"/>
      <c r="G214" s="90"/>
      <c r="H214" s="90"/>
      <c r="I214" s="224"/>
      <c r="J214" s="224"/>
      <c r="K214" s="90"/>
      <c r="L214" s="90"/>
      <c r="M214" s="90"/>
      <c r="N214" s="224"/>
      <c r="O214" s="224"/>
      <c r="P214" s="224"/>
      <c r="Q214" s="90"/>
      <c r="R214" s="224"/>
      <c r="S214" s="90"/>
    </row>
    <row r="215" spans="1:19" x14ac:dyDescent="0.2">
      <c r="A215" s="216"/>
      <c r="B215" s="225"/>
      <c r="C215" s="227"/>
      <c r="D215" s="226"/>
      <c r="E215" s="226"/>
      <c r="F215" s="226"/>
      <c r="G215" s="226"/>
      <c r="H215" s="226"/>
      <c r="I215" s="227"/>
      <c r="J215" s="227"/>
      <c r="K215" s="226"/>
      <c r="L215" s="226"/>
      <c r="M215" s="226"/>
      <c r="N215" s="227"/>
      <c r="O215" s="227"/>
      <c r="P215" s="227"/>
      <c r="Q215" s="226"/>
      <c r="R215" s="227"/>
      <c r="S215" s="230"/>
    </row>
    <row r="216" spans="1:19" x14ac:dyDescent="0.2">
      <c r="A216" s="220"/>
      <c r="B216" s="214"/>
      <c r="C216" s="221"/>
      <c r="D216" s="222"/>
      <c r="E216" s="222"/>
      <c r="F216" s="222"/>
      <c r="G216" s="222"/>
      <c r="H216" s="222"/>
      <c r="I216" s="221"/>
      <c r="J216" s="221"/>
      <c r="K216" s="222"/>
      <c r="L216" s="222"/>
      <c r="M216" s="222"/>
      <c r="N216" s="221"/>
      <c r="O216" s="221"/>
      <c r="P216" s="221"/>
      <c r="Q216" s="222"/>
      <c r="R216" s="221"/>
      <c r="S216" s="90"/>
    </row>
    <row r="217" spans="1:19" x14ac:dyDescent="0.2">
      <c r="A217" s="216"/>
      <c r="B217" s="223"/>
      <c r="C217" s="224"/>
      <c r="D217" s="90"/>
      <c r="E217" s="90"/>
      <c r="F217" s="90"/>
      <c r="G217" s="90"/>
      <c r="H217" s="90"/>
      <c r="I217" s="224"/>
      <c r="J217" s="224"/>
      <c r="K217" s="90"/>
      <c r="L217" s="90"/>
      <c r="M217" s="90"/>
      <c r="N217" s="224"/>
      <c r="O217" s="224"/>
      <c r="P217" s="224"/>
      <c r="Q217" s="90"/>
      <c r="R217" s="224"/>
      <c r="S217" s="90"/>
    </row>
    <row r="218" spans="1:19" x14ac:dyDescent="0.2">
      <c r="A218" s="216"/>
      <c r="B218" s="225"/>
      <c r="C218" s="227"/>
      <c r="D218" s="226"/>
      <c r="E218" s="226"/>
      <c r="F218" s="226"/>
      <c r="G218" s="226"/>
      <c r="H218" s="226"/>
      <c r="I218" s="227"/>
      <c r="J218" s="227"/>
      <c r="K218" s="226"/>
      <c r="L218" s="226"/>
      <c r="M218" s="226"/>
      <c r="N218" s="227"/>
      <c r="O218" s="227"/>
      <c r="P218" s="227"/>
      <c r="Q218" s="226"/>
      <c r="R218" s="227"/>
      <c r="S218" s="230"/>
    </row>
    <row r="219" spans="1:19" x14ac:dyDescent="0.2">
      <c r="A219" s="216"/>
      <c r="B219" s="214"/>
      <c r="C219" s="221"/>
      <c r="D219" s="222"/>
      <c r="E219" s="222"/>
      <c r="F219" s="222"/>
      <c r="G219" s="222"/>
      <c r="H219" s="222"/>
      <c r="I219" s="221"/>
      <c r="J219" s="221"/>
      <c r="K219" s="222"/>
      <c r="L219" s="222"/>
      <c r="M219" s="222"/>
      <c r="N219" s="221"/>
      <c r="O219" s="221"/>
      <c r="P219" s="221"/>
      <c r="Q219" s="222"/>
      <c r="R219" s="221"/>
      <c r="S219" s="90"/>
    </row>
    <row r="220" spans="1:19" x14ac:dyDescent="0.2">
      <c r="A220" s="216"/>
      <c r="B220" s="223"/>
      <c r="C220" s="224"/>
      <c r="D220" s="90"/>
      <c r="E220" s="90"/>
      <c r="F220" s="90"/>
      <c r="G220" s="90"/>
      <c r="H220" s="90"/>
      <c r="I220" s="224"/>
      <c r="J220" s="224"/>
      <c r="K220" s="90"/>
      <c r="L220" s="90"/>
      <c r="M220" s="90"/>
      <c r="N220" s="224"/>
      <c r="O220" s="224"/>
      <c r="P220" s="224"/>
      <c r="Q220" s="90"/>
      <c r="R220" s="224"/>
      <c r="S220" s="90"/>
    </row>
    <row r="221" spans="1:19" x14ac:dyDescent="0.2">
      <c r="A221" s="216"/>
      <c r="B221" s="225"/>
      <c r="C221" s="227"/>
      <c r="D221" s="226"/>
      <c r="E221" s="226"/>
      <c r="F221" s="226"/>
      <c r="G221" s="226"/>
      <c r="H221" s="226"/>
      <c r="I221" s="227"/>
      <c r="J221" s="227"/>
      <c r="K221" s="226"/>
      <c r="L221" s="226"/>
      <c r="M221" s="226"/>
      <c r="N221" s="227"/>
      <c r="O221" s="227"/>
      <c r="P221" s="227"/>
      <c r="Q221" s="226"/>
      <c r="R221" s="227"/>
      <c r="S221" s="230"/>
    </row>
    <row r="222" spans="1:19" x14ac:dyDescent="0.2">
      <c r="A222" s="216"/>
      <c r="B222" s="214"/>
      <c r="C222" s="221"/>
      <c r="D222" s="222"/>
      <c r="E222" s="222"/>
      <c r="F222" s="222"/>
      <c r="G222" s="222"/>
      <c r="H222" s="222"/>
      <c r="I222" s="221"/>
      <c r="J222" s="221"/>
      <c r="K222" s="222"/>
      <c r="L222" s="222"/>
      <c r="M222" s="222"/>
      <c r="N222" s="221"/>
      <c r="O222" s="221"/>
      <c r="P222" s="221"/>
      <c r="Q222" s="222"/>
      <c r="R222" s="221"/>
      <c r="S222" s="90"/>
    </row>
    <row r="223" spans="1:19" x14ac:dyDescent="0.2">
      <c r="A223" s="216"/>
      <c r="B223" s="223"/>
      <c r="C223" s="224"/>
      <c r="D223" s="90"/>
      <c r="E223" s="90"/>
      <c r="F223" s="90"/>
      <c r="G223" s="90"/>
      <c r="H223" s="90"/>
      <c r="I223" s="224"/>
      <c r="J223" s="224"/>
      <c r="K223" s="90"/>
      <c r="L223" s="90"/>
      <c r="M223" s="90"/>
      <c r="N223" s="224"/>
      <c r="O223" s="224"/>
      <c r="P223" s="224"/>
      <c r="Q223" s="90"/>
      <c r="R223" s="224"/>
      <c r="S223" s="90"/>
    </row>
    <row r="224" spans="1:19" x14ac:dyDescent="0.2">
      <c r="A224" s="216"/>
      <c r="B224" s="225"/>
      <c r="C224" s="227"/>
      <c r="D224" s="226"/>
      <c r="E224" s="226"/>
      <c r="F224" s="226"/>
      <c r="G224" s="226"/>
      <c r="H224" s="226"/>
      <c r="I224" s="227"/>
      <c r="J224" s="227"/>
      <c r="K224" s="226"/>
      <c r="L224" s="226"/>
      <c r="M224" s="226"/>
      <c r="N224" s="227"/>
      <c r="O224" s="227"/>
      <c r="P224" s="227"/>
      <c r="Q224" s="226"/>
      <c r="R224" s="227"/>
      <c r="S224" s="230"/>
    </row>
    <row r="225" spans="1:19" x14ac:dyDescent="0.2">
      <c r="A225" s="216"/>
      <c r="B225" s="214"/>
      <c r="C225" s="221"/>
      <c r="D225" s="222"/>
      <c r="E225" s="222"/>
      <c r="F225" s="222"/>
      <c r="G225" s="222"/>
      <c r="H225" s="222"/>
      <c r="I225" s="221"/>
      <c r="J225" s="221"/>
      <c r="K225" s="222"/>
      <c r="L225" s="222"/>
      <c r="M225" s="222"/>
      <c r="N225" s="221"/>
      <c r="O225" s="221"/>
      <c r="P225" s="221"/>
      <c r="Q225" s="222"/>
      <c r="R225" s="221"/>
      <c r="S225" s="90"/>
    </row>
    <row r="226" spans="1:19" x14ac:dyDescent="0.2">
      <c r="A226" s="216"/>
      <c r="B226" s="223"/>
      <c r="C226" s="224"/>
      <c r="D226" s="90"/>
      <c r="E226" s="90"/>
      <c r="F226" s="90"/>
      <c r="G226" s="90"/>
      <c r="H226" s="90"/>
      <c r="I226" s="224"/>
      <c r="J226" s="224"/>
      <c r="K226" s="90"/>
      <c r="L226" s="90"/>
      <c r="M226" s="90"/>
      <c r="N226" s="224"/>
      <c r="O226" s="224"/>
      <c r="P226" s="224"/>
      <c r="Q226" s="90"/>
      <c r="R226" s="224"/>
      <c r="S226" s="90"/>
    </row>
    <row r="227" spans="1:19" x14ac:dyDescent="0.2">
      <c r="A227" s="216"/>
      <c r="B227" s="225"/>
      <c r="C227" s="227"/>
      <c r="D227" s="226"/>
      <c r="E227" s="226"/>
      <c r="F227" s="226"/>
      <c r="G227" s="226"/>
      <c r="H227" s="226"/>
      <c r="I227" s="227"/>
      <c r="J227" s="227"/>
      <c r="K227" s="226"/>
      <c r="L227" s="226"/>
      <c r="M227" s="226"/>
      <c r="N227" s="227"/>
      <c r="O227" s="227"/>
      <c r="P227" s="227"/>
      <c r="Q227" s="226"/>
      <c r="R227" s="227"/>
      <c r="S227" s="230"/>
    </row>
    <row r="228" spans="1:19" x14ac:dyDescent="0.2">
      <c r="A228" s="216"/>
      <c r="B228" s="214"/>
      <c r="C228" s="221"/>
      <c r="D228" s="222"/>
      <c r="E228" s="222"/>
      <c r="F228" s="222"/>
      <c r="G228" s="222"/>
      <c r="H228" s="222"/>
      <c r="I228" s="221"/>
      <c r="J228" s="221"/>
      <c r="K228" s="222"/>
      <c r="L228" s="222"/>
      <c r="M228" s="222"/>
      <c r="N228" s="221"/>
      <c r="O228" s="221"/>
      <c r="P228" s="221"/>
      <c r="Q228" s="222"/>
      <c r="R228" s="221"/>
      <c r="S228" s="90"/>
    </row>
    <row r="229" spans="1:19" x14ac:dyDescent="0.2">
      <c r="A229" s="216"/>
      <c r="B229" s="223"/>
      <c r="C229" s="224"/>
      <c r="D229" s="90"/>
      <c r="E229" s="90"/>
      <c r="F229" s="90"/>
      <c r="G229" s="90"/>
      <c r="H229" s="90"/>
      <c r="I229" s="224"/>
      <c r="J229" s="224"/>
      <c r="K229" s="90"/>
      <c r="L229" s="90"/>
      <c r="M229" s="90"/>
      <c r="N229" s="224"/>
      <c r="O229" s="224"/>
      <c r="P229" s="224"/>
      <c r="Q229" s="90"/>
      <c r="R229" s="224"/>
      <c r="S229" s="90"/>
    </row>
    <row r="230" spans="1:19" x14ac:dyDescent="0.2">
      <c r="A230" s="216"/>
      <c r="B230" s="225"/>
      <c r="C230" s="227"/>
      <c r="D230" s="226"/>
      <c r="E230" s="226"/>
      <c r="F230" s="226"/>
      <c r="G230" s="226"/>
      <c r="H230" s="226"/>
      <c r="I230" s="227"/>
      <c r="J230" s="227"/>
      <c r="K230" s="226"/>
      <c r="L230" s="226"/>
      <c r="M230" s="226"/>
      <c r="N230" s="227"/>
      <c r="O230" s="227"/>
      <c r="P230" s="227"/>
      <c r="Q230" s="226"/>
      <c r="R230" s="227"/>
      <c r="S230" s="230"/>
    </row>
    <row r="231" spans="1:19" x14ac:dyDescent="0.2">
      <c r="A231" s="216"/>
      <c r="B231" s="214"/>
      <c r="C231" s="221"/>
      <c r="D231" s="222"/>
      <c r="E231" s="222"/>
      <c r="F231" s="222"/>
      <c r="G231" s="222"/>
      <c r="H231" s="222"/>
      <c r="I231" s="221"/>
      <c r="J231" s="221"/>
      <c r="K231" s="222"/>
      <c r="L231" s="222"/>
      <c r="M231" s="222"/>
      <c r="N231" s="221"/>
      <c r="O231" s="221"/>
      <c r="P231" s="221"/>
      <c r="Q231" s="222"/>
      <c r="R231" s="221"/>
      <c r="S231" s="90"/>
    </row>
    <row r="232" spans="1:19" x14ac:dyDescent="0.2">
      <c r="A232" s="216"/>
      <c r="B232" s="223"/>
      <c r="C232" s="224"/>
      <c r="D232" s="90"/>
      <c r="E232" s="90"/>
      <c r="F232" s="90"/>
      <c r="G232" s="90"/>
      <c r="H232" s="90"/>
      <c r="I232" s="224"/>
      <c r="J232" s="224"/>
      <c r="K232" s="90"/>
      <c r="L232" s="90"/>
      <c r="M232" s="90"/>
      <c r="N232" s="224"/>
      <c r="O232" s="224"/>
      <c r="P232" s="224"/>
      <c r="Q232" s="90"/>
      <c r="R232" s="224"/>
      <c r="S232" s="90"/>
    </row>
    <row r="233" spans="1:19" x14ac:dyDescent="0.2">
      <c r="A233" s="216"/>
      <c r="B233" s="225"/>
      <c r="C233" s="227"/>
      <c r="D233" s="226"/>
      <c r="E233" s="226"/>
      <c r="F233" s="226"/>
      <c r="G233" s="226"/>
      <c r="H233" s="226"/>
      <c r="I233" s="227"/>
      <c r="J233" s="513"/>
      <c r="K233" s="226"/>
      <c r="L233" s="226"/>
      <c r="M233" s="226"/>
      <c r="N233" s="227"/>
      <c r="O233" s="227"/>
      <c r="P233" s="227"/>
      <c r="Q233" s="226"/>
      <c r="R233" s="227"/>
      <c r="S233" s="230"/>
    </row>
    <row r="234" spans="1:19" x14ac:dyDescent="0.2">
      <c r="A234" s="216"/>
      <c r="B234" s="214"/>
      <c r="C234" s="221"/>
      <c r="D234" s="222"/>
      <c r="E234" s="222"/>
      <c r="F234" s="222"/>
      <c r="G234" s="222"/>
      <c r="H234" s="222"/>
      <c r="I234" s="221"/>
      <c r="J234" s="221"/>
      <c r="K234" s="222"/>
      <c r="L234" s="222"/>
      <c r="M234" s="222"/>
      <c r="N234" s="221"/>
      <c r="O234" s="221"/>
      <c r="P234" s="221"/>
      <c r="Q234" s="222"/>
      <c r="R234" s="221"/>
      <c r="S234" s="90"/>
    </row>
    <row r="235" spans="1:19" x14ac:dyDescent="0.2">
      <c r="A235" s="216"/>
      <c r="B235" s="223"/>
      <c r="C235" s="224"/>
      <c r="D235" s="90"/>
      <c r="E235" s="90"/>
      <c r="F235" s="90"/>
      <c r="G235" s="90"/>
      <c r="H235" s="90"/>
      <c r="I235" s="224"/>
      <c r="J235" s="224"/>
      <c r="K235" s="90"/>
      <c r="L235" s="90"/>
      <c r="M235" s="90"/>
      <c r="N235" s="224"/>
      <c r="O235" s="224"/>
      <c r="P235" s="224"/>
      <c r="Q235" s="90"/>
      <c r="R235" s="224"/>
      <c r="S235" s="90"/>
    </row>
    <row r="236" spans="1:19" x14ac:dyDescent="0.2">
      <c r="A236" s="216"/>
      <c r="B236" s="225"/>
      <c r="C236" s="227"/>
      <c r="D236" s="226"/>
      <c r="E236" s="226"/>
      <c r="F236" s="226"/>
      <c r="G236" s="226"/>
      <c r="H236" s="226"/>
      <c r="I236" s="227"/>
      <c r="J236" s="227"/>
      <c r="K236" s="226"/>
      <c r="L236" s="226"/>
      <c r="M236" s="226"/>
      <c r="N236" s="227"/>
      <c r="O236" s="227"/>
      <c r="P236" s="227"/>
      <c r="Q236" s="226"/>
      <c r="R236" s="227"/>
      <c r="S236" s="230"/>
    </row>
    <row r="237" spans="1:19" x14ac:dyDescent="0.2">
      <c r="A237" s="220"/>
      <c r="B237" s="214"/>
      <c r="C237" s="221"/>
      <c r="D237" s="222"/>
      <c r="E237" s="222"/>
      <c r="F237" s="222"/>
      <c r="G237" s="222"/>
      <c r="H237" s="222"/>
      <c r="I237" s="221"/>
      <c r="J237" s="221"/>
      <c r="K237" s="222"/>
      <c r="L237" s="222"/>
      <c r="M237" s="222"/>
      <c r="N237" s="221"/>
      <c r="O237" s="221"/>
      <c r="P237" s="221"/>
      <c r="Q237" s="222"/>
      <c r="R237" s="221"/>
      <c r="S237" s="90"/>
    </row>
    <row r="238" spans="1:19" x14ac:dyDescent="0.2">
      <c r="A238" s="216"/>
      <c r="B238" s="223"/>
      <c r="C238" s="224"/>
      <c r="D238" s="90"/>
      <c r="E238" s="90"/>
      <c r="F238" s="90"/>
      <c r="G238" s="90"/>
      <c r="H238" s="90"/>
      <c r="I238" s="224"/>
      <c r="J238" s="224"/>
      <c r="K238" s="90"/>
      <c r="L238" s="90"/>
      <c r="M238" s="90"/>
      <c r="N238" s="224"/>
      <c r="O238" s="224"/>
      <c r="P238" s="224"/>
      <c r="Q238" s="90"/>
      <c r="R238" s="224"/>
      <c r="S238" s="90"/>
    </row>
    <row r="239" spans="1:19" x14ac:dyDescent="0.2">
      <c r="A239" s="216"/>
      <c r="B239" s="225"/>
      <c r="C239" s="227"/>
      <c r="D239" s="226"/>
      <c r="E239" s="226"/>
      <c r="F239" s="226"/>
      <c r="G239" s="226"/>
      <c r="H239" s="512"/>
      <c r="I239" s="227"/>
      <c r="J239" s="227"/>
      <c r="K239" s="226"/>
      <c r="L239" s="226"/>
      <c r="M239" s="226"/>
      <c r="N239" s="227"/>
      <c r="O239" s="227"/>
      <c r="P239" s="227"/>
      <c r="Q239" s="226"/>
      <c r="R239" s="227"/>
      <c r="S239" s="230"/>
    </row>
    <row r="240" spans="1:19" x14ac:dyDescent="0.2">
      <c r="A240" s="216"/>
      <c r="B240" s="214"/>
      <c r="C240" s="221"/>
      <c r="D240" s="222"/>
      <c r="E240" s="222"/>
      <c r="F240" s="222"/>
      <c r="G240" s="222"/>
      <c r="H240" s="222"/>
      <c r="I240" s="221"/>
      <c r="J240" s="221"/>
      <c r="K240" s="222"/>
      <c r="L240" s="222"/>
      <c r="M240" s="222"/>
      <c r="N240" s="221"/>
      <c r="O240" s="221"/>
      <c r="P240" s="221"/>
      <c r="Q240" s="222"/>
      <c r="R240" s="221"/>
      <c r="S240" s="90"/>
    </row>
    <row r="241" spans="1:19" x14ac:dyDescent="0.2">
      <c r="A241" s="216"/>
      <c r="B241" s="223"/>
      <c r="C241" s="224"/>
      <c r="D241" s="90"/>
      <c r="E241" s="90"/>
      <c r="F241" s="90"/>
      <c r="G241" s="90"/>
      <c r="H241" s="90"/>
      <c r="I241" s="224"/>
      <c r="J241" s="224"/>
      <c r="K241" s="90"/>
      <c r="L241" s="90"/>
      <c r="M241" s="90"/>
      <c r="N241" s="224"/>
      <c r="O241" s="224"/>
      <c r="P241" s="224"/>
      <c r="Q241" s="90"/>
      <c r="R241" s="224"/>
      <c r="S241" s="90"/>
    </row>
    <row r="242" spans="1:19" x14ac:dyDescent="0.2">
      <c r="A242" s="216"/>
      <c r="B242" s="225"/>
      <c r="C242" s="227"/>
      <c r="D242" s="226"/>
      <c r="E242" s="226"/>
      <c r="F242" s="226"/>
      <c r="G242" s="226"/>
      <c r="H242" s="512"/>
      <c r="I242" s="227"/>
      <c r="J242" s="227"/>
      <c r="K242" s="226"/>
      <c r="L242" s="226"/>
      <c r="M242" s="226"/>
      <c r="N242" s="227"/>
      <c r="O242" s="227"/>
      <c r="P242" s="227"/>
      <c r="Q242" s="226"/>
      <c r="R242" s="227"/>
      <c r="S242" s="230"/>
    </row>
    <row r="243" spans="1:19" x14ac:dyDescent="0.2">
      <c r="A243" s="216"/>
      <c r="B243" s="214"/>
      <c r="C243" s="221"/>
      <c r="D243" s="222"/>
      <c r="E243" s="222"/>
      <c r="F243" s="222"/>
      <c r="G243" s="222"/>
      <c r="H243" s="222"/>
      <c r="I243" s="221"/>
      <c r="J243" s="221"/>
      <c r="K243" s="222"/>
      <c r="L243" s="222"/>
      <c r="M243" s="222"/>
      <c r="N243" s="221"/>
      <c r="O243" s="221"/>
      <c r="P243" s="221"/>
      <c r="Q243" s="222"/>
      <c r="R243" s="221"/>
      <c r="S243" s="90"/>
    </row>
    <row r="244" spans="1:19" x14ac:dyDescent="0.2">
      <c r="A244" s="216"/>
      <c r="B244" s="223"/>
      <c r="C244" s="224"/>
      <c r="D244" s="90"/>
      <c r="E244" s="90"/>
      <c r="F244" s="90"/>
      <c r="G244" s="90"/>
      <c r="H244" s="90"/>
      <c r="I244" s="224"/>
      <c r="J244" s="224"/>
      <c r="K244" s="90"/>
      <c r="L244" s="90"/>
      <c r="M244" s="90"/>
      <c r="N244" s="224"/>
      <c r="O244" s="224"/>
      <c r="P244" s="224"/>
      <c r="Q244" s="90"/>
      <c r="R244" s="224"/>
      <c r="S244" s="90"/>
    </row>
    <row r="245" spans="1:19" x14ac:dyDescent="0.2">
      <c r="A245" s="216"/>
      <c r="B245" s="225"/>
      <c r="C245" s="227"/>
      <c r="D245" s="226"/>
      <c r="E245" s="226"/>
      <c r="F245" s="226"/>
      <c r="G245" s="226"/>
      <c r="H245" s="226"/>
      <c r="I245" s="227"/>
      <c r="J245" s="227"/>
      <c r="K245" s="226"/>
      <c r="L245" s="226"/>
      <c r="M245" s="226"/>
      <c r="N245" s="227"/>
      <c r="O245" s="227"/>
      <c r="P245" s="227"/>
      <c r="Q245" s="226"/>
      <c r="R245" s="227"/>
      <c r="S245" s="230"/>
    </row>
    <row r="246" spans="1:19" x14ac:dyDescent="0.2">
      <c r="A246" s="216"/>
      <c r="B246" s="214"/>
      <c r="C246" s="221"/>
      <c r="D246" s="222"/>
      <c r="E246" s="222"/>
      <c r="F246" s="222"/>
      <c r="G246" s="222"/>
      <c r="H246" s="222"/>
      <c r="I246" s="221"/>
      <c r="J246" s="221"/>
      <c r="K246" s="222"/>
      <c r="L246" s="222"/>
      <c r="M246" s="222"/>
      <c r="N246" s="221"/>
      <c r="O246" s="221"/>
      <c r="P246" s="221"/>
      <c r="Q246" s="222"/>
      <c r="R246" s="221"/>
      <c r="S246" s="90"/>
    </row>
    <row r="247" spans="1:19" x14ac:dyDescent="0.2">
      <c r="A247" s="216"/>
      <c r="B247" s="223"/>
      <c r="C247" s="224"/>
      <c r="D247" s="90"/>
      <c r="E247" s="90"/>
      <c r="F247" s="90"/>
      <c r="G247" s="90"/>
      <c r="H247" s="90"/>
      <c r="I247" s="224"/>
      <c r="J247" s="224"/>
      <c r="K247" s="90"/>
      <c r="L247" s="90"/>
      <c r="M247" s="90"/>
      <c r="N247" s="224"/>
      <c r="O247" s="224"/>
      <c r="P247" s="224"/>
      <c r="Q247" s="90"/>
      <c r="R247" s="224"/>
      <c r="S247" s="90"/>
    </row>
    <row r="248" spans="1:19" x14ac:dyDescent="0.2">
      <c r="A248" s="216"/>
      <c r="B248" s="225"/>
      <c r="C248" s="227"/>
      <c r="D248" s="226"/>
      <c r="E248" s="226"/>
      <c r="F248" s="226"/>
      <c r="G248" s="226"/>
      <c r="H248" s="226"/>
      <c r="I248" s="227"/>
      <c r="J248" s="227"/>
      <c r="K248" s="226"/>
      <c r="L248" s="226"/>
      <c r="M248" s="226"/>
      <c r="N248" s="227"/>
      <c r="O248" s="227"/>
      <c r="P248" s="227"/>
      <c r="Q248" s="226"/>
      <c r="R248" s="227"/>
      <c r="S248" s="230"/>
    </row>
    <row r="249" spans="1:19" x14ac:dyDescent="0.2">
      <c r="A249" s="216"/>
      <c r="B249" s="214"/>
      <c r="C249" s="221"/>
      <c r="D249" s="222"/>
      <c r="E249" s="222"/>
      <c r="F249" s="222"/>
      <c r="G249" s="222"/>
      <c r="H249" s="222"/>
      <c r="I249" s="221"/>
      <c r="J249" s="221"/>
      <c r="K249" s="222"/>
      <c r="L249" s="222"/>
      <c r="M249" s="222"/>
      <c r="N249" s="221"/>
      <c r="O249" s="221"/>
      <c r="P249" s="221"/>
      <c r="Q249" s="222"/>
      <c r="R249" s="221"/>
      <c r="S249" s="90"/>
    </row>
    <row r="250" spans="1:19" x14ac:dyDescent="0.2">
      <c r="A250" s="216"/>
      <c r="B250" s="223"/>
      <c r="C250" s="224"/>
      <c r="D250" s="90"/>
      <c r="E250" s="90"/>
      <c r="F250" s="90"/>
      <c r="G250" s="90"/>
      <c r="H250" s="90"/>
      <c r="I250" s="224"/>
      <c r="J250" s="224"/>
      <c r="K250" s="90"/>
      <c r="L250" s="90"/>
      <c r="M250" s="90"/>
      <c r="N250" s="224"/>
      <c r="O250" s="224"/>
      <c r="P250" s="224"/>
      <c r="Q250" s="90"/>
      <c r="R250" s="224"/>
      <c r="S250" s="90"/>
    </row>
    <row r="251" spans="1:19" x14ac:dyDescent="0.2">
      <c r="A251" s="216"/>
      <c r="B251" s="225"/>
      <c r="C251" s="227"/>
      <c r="D251" s="226"/>
      <c r="E251" s="226"/>
      <c r="F251" s="226"/>
      <c r="G251" s="226"/>
      <c r="H251" s="226"/>
      <c r="I251" s="227"/>
      <c r="J251" s="227"/>
      <c r="K251" s="226"/>
      <c r="L251" s="226"/>
      <c r="M251" s="226"/>
      <c r="N251" s="227"/>
      <c r="O251" s="227"/>
      <c r="P251" s="227"/>
      <c r="Q251" s="226"/>
      <c r="R251" s="227"/>
      <c r="S251" s="230"/>
    </row>
    <row r="252" spans="1:19" x14ac:dyDescent="0.2">
      <c r="A252" s="216"/>
      <c r="B252" s="214"/>
      <c r="C252" s="221"/>
      <c r="D252" s="222"/>
      <c r="E252" s="222"/>
      <c r="F252" s="222"/>
      <c r="G252" s="222"/>
      <c r="H252" s="222"/>
      <c r="I252" s="221"/>
      <c r="J252" s="221"/>
      <c r="K252" s="222"/>
      <c r="L252" s="222"/>
      <c r="M252" s="222"/>
      <c r="N252" s="221"/>
      <c r="O252" s="221"/>
      <c r="P252" s="221"/>
      <c r="Q252" s="222"/>
      <c r="R252" s="221"/>
      <c r="S252" s="90"/>
    </row>
    <row r="253" spans="1:19" x14ac:dyDescent="0.2">
      <c r="A253" s="216"/>
      <c r="B253" s="223"/>
      <c r="C253" s="224"/>
      <c r="D253" s="90"/>
      <c r="E253" s="90"/>
      <c r="F253" s="90"/>
      <c r="G253" s="90"/>
      <c r="H253" s="90"/>
      <c r="I253" s="224"/>
      <c r="J253" s="224"/>
      <c r="K253" s="90"/>
      <c r="L253" s="90"/>
      <c r="M253" s="90"/>
      <c r="N253" s="224"/>
      <c r="O253" s="224"/>
      <c r="P253" s="224"/>
      <c r="Q253" s="90"/>
      <c r="R253" s="224"/>
      <c r="S253" s="90"/>
    </row>
    <row r="254" spans="1:19" x14ac:dyDescent="0.2">
      <c r="A254" s="216"/>
      <c r="B254" s="225"/>
      <c r="C254" s="227"/>
      <c r="D254" s="226"/>
      <c r="E254" s="226"/>
      <c r="F254" s="226"/>
      <c r="G254" s="226"/>
      <c r="H254" s="226"/>
      <c r="I254" s="227"/>
      <c r="J254" s="227"/>
      <c r="K254" s="226"/>
      <c r="L254" s="226"/>
      <c r="M254" s="226"/>
      <c r="N254" s="227"/>
      <c r="O254" s="227"/>
      <c r="P254" s="227"/>
      <c r="Q254" s="226"/>
      <c r="R254" s="227"/>
      <c r="S254" s="230"/>
    </row>
    <row r="255" spans="1:19" x14ac:dyDescent="0.2">
      <c r="A255" s="216"/>
      <c r="B255" s="214"/>
      <c r="C255" s="221"/>
      <c r="D255" s="222"/>
      <c r="E255" s="222"/>
      <c r="F255" s="222"/>
      <c r="G255" s="222"/>
      <c r="H255" s="222"/>
      <c r="I255" s="221"/>
      <c r="J255" s="221"/>
      <c r="K255" s="222"/>
      <c r="L255" s="222"/>
      <c r="M255" s="222"/>
      <c r="N255" s="221"/>
      <c r="O255" s="221"/>
      <c r="P255" s="221"/>
      <c r="Q255" s="222"/>
      <c r="R255" s="221"/>
      <c r="S255" s="90"/>
    </row>
    <row r="256" spans="1:19" x14ac:dyDescent="0.2">
      <c r="A256" s="216"/>
      <c r="B256" s="223"/>
      <c r="C256" s="224"/>
      <c r="D256" s="90"/>
      <c r="E256" s="90"/>
      <c r="F256" s="90"/>
      <c r="G256" s="90"/>
      <c r="H256" s="90"/>
      <c r="I256" s="224"/>
      <c r="J256" s="224"/>
      <c r="K256" s="90"/>
      <c r="L256" s="90"/>
      <c r="M256" s="90"/>
      <c r="N256" s="224"/>
      <c r="O256" s="224"/>
      <c r="P256" s="224"/>
      <c r="Q256" s="90"/>
      <c r="R256" s="224"/>
      <c r="S256" s="90"/>
    </row>
    <row r="257" spans="1:19" x14ac:dyDescent="0.2">
      <c r="A257" s="216"/>
      <c r="B257" s="225"/>
      <c r="C257" s="227"/>
      <c r="D257" s="226"/>
      <c r="E257" s="226"/>
      <c r="F257" s="226"/>
      <c r="G257" s="226"/>
      <c r="H257" s="226"/>
      <c r="I257" s="227"/>
      <c r="J257" s="227"/>
      <c r="K257" s="226"/>
      <c r="L257" s="226"/>
      <c r="M257" s="226"/>
      <c r="N257" s="227"/>
      <c r="O257" s="227"/>
      <c r="P257" s="227"/>
      <c r="Q257" s="226"/>
      <c r="R257" s="227"/>
      <c r="S257" s="230"/>
    </row>
    <row r="258" spans="1:19" x14ac:dyDescent="0.2">
      <c r="A258" s="220"/>
      <c r="B258" s="214"/>
      <c r="C258" s="221"/>
      <c r="D258" s="222"/>
      <c r="E258" s="222"/>
      <c r="F258" s="222"/>
      <c r="G258" s="222"/>
      <c r="H258" s="222"/>
      <c r="I258" s="221"/>
      <c r="J258" s="221"/>
      <c r="K258" s="222"/>
      <c r="L258" s="222"/>
      <c r="M258" s="222"/>
      <c r="N258" s="221"/>
      <c r="O258" s="221"/>
      <c r="P258" s="221"/>
      <c r="Q258" s="222"/>
      <c r="R258" s="221"/>
      <c r="S258" s="90"/>
    </row>
    <row r="259" spans="1:19" x14ac:dyDescent="0.2">
      <c r="A259" s="216"/>
      <c r="B259" s="223"/>
      <c r="C259" s="224"/>
      <c r="D259" s="90"/>
      <c r="E259" s="90"/>
      <c r="F259" s="90"/>
      <c r="G259" s="90"/>
      <c r="H259" s="90"/>
      <c r="I259" s="224"/>
      <c r="J259" s="224"/>
      <c r="K259" s="90"/>
      <c r="L259" s="90"/>
      <c r="M259" s="90"/>
      <c r="N259" s="224"/>
      <c r="O259" s="224"/>
      <c r="P259" s="224"/>
      <c r="Q259" s="90"/>
      <c r="R259" s="224"/>
      <c r="S259" s="90"/>
    </row>
    <row r="260" spans="1:19" x14ac:dyDescent="0.2">
      <c r="A260" s="216"/>
      <c r="B260" s="225"/>
      <c r="C260" s="227"/>
      <c r="D260" s="226"/>
      <c r="E260" s="226"/>
      <c r="F260" s="226"/>
      <c r="G260" s="226"/>
      <c r="H260" s="226"/>
      <c r="I260" s="227"/>
      <c r="J260" s="227"/>
      <c r="K260" s="226"/>
      <c r="L260" s="226"/>
      <c r="M260" s="226"/>
      <c r="N260" s="227"/>
      <c r="O260" s="227"/>
      <c r="P260" s="227"/>
      <c r="Q260" s="226"/>
      <c r="R260" s="227"/>
      <c r="S260" s="230"/>
    </row>
    <row r="261" spans="1:19" x14ac:dyDescent="0.2">
      <c r="A261" s="216"/>
      <c r="B261" s="214"/>
      <c r="C261" s="221"/>
      <c r="D261" s="222"/>
      <c r="E261" s="222"/>
      <c r="F261" s="222"/>
      <c r="G261" s="222"/>
      <c r="H261" s="222"/>
      <c r="I261" s="221"/>
      <c r="J261" s="221"/>
      <c r="K261" s="222"/>
      <c r="L261" s="222"/>
      <c r="M261" s="222"/>
      <c r="N261" s="221"/>
      <c r="O261" s="221"/>
      <c r="P261" s="221"/>
      <c r="Q261" s="222"/>
      <c r="R261" s="221"/>
      <c r="S261" s="90"/>
    </row>
    <row r="262" spans="1:19" x14ac:dyDescent="0.2">
      <c r="A262" s="216"/>
      <c r="B262" s="223"/>
      <c r="C262" s="224"/>
      <c r="D262" s="90"/>
      <c r="E262" s="90"/>
      <c r="F262" s="90"/>
      <c r="G262" s="90"/>
      <c r="H262" s="90"/>
      <c r="I262" s="224"/>
      <c r="J262" s="224"/>
      <c r="K262" s="90"/>
      <c r="L262" s="90"/>
      <c r="M262" s="90"/>
      <c r="N262" s="224"/>
      <c r="O262" s="224"/>
      <c r="P262" s="224"/>
      <c r="Q262" s="90"/>
      <c r="R262" s="224"/>
      <c r="S262" s="90"/>
    </row>
    <row r="263" spans="1:19" x14ac:dyDescent="0.2">
      <c r="A263" s="216"/>
      <c r="B263" s="225"/>
      <c r="C263" s="227"/>
      <c r="D263" s="226"/>
      <c r="E263" s="226"/>
      <c r="F263" s="226"/>
      <c r="G263" s="226"/>
      <c r="H263" s="226"/>
      <c r="I263" s="227"/>
      <c r="J263" s="227"/>
      <c r="K263" s="226"/>
      <c r="L263" s="226"/>
      <c r="M263" s="226"/>
      <c r="N263" s="227"/>
      <c r="O263" s="227"/>
      <c r="P263" s="227"/>
      <c r="Q263" s="226"/>
      <c r="R263" s="227"/>
      <c r="S263" s="230"/>
    </row>
    <row r="264" spans="1:19" x14ac:dyDescent="0.2">
      <c r="A264" s="216"/>
      <c r="B264" s="214"/>
      <c r="C264" s="221"/>
      <c r="D264" s="222"/>
      <c r="E264" s="222"/>
      <c r="F264" s="222"/>
      <c r="G264" s="222"/>
      <c r="H264" s="222"/>
      <c r="I264" s="221"/>
      <c r="J264" s="221"/>
      <c r="K264" s="222"/>
      <c r="L264" s="222"/>
      <c r="M264" s="222"/>
      <c r="N264" s="221"/>
      <c r="O264" s="221"/>
      <c r="P264" s="221"/>
      <c r="Q264" s="222"/>
      <c r="R264" s="221"/>
      <c r="S264" s="90"/>
    </row>
    <row r="265" spans="1:19" x14ac:dyDescent="0.2">
      <c r="A265" s="216"/>
      <c r="B265" s="223"/>
      <c r="C265" s="224"/>
      <c r="D265" s="90"/>
      <c r="E265" s="90"/>
      <c r="F265" s="90"/>
      <c r="G265" s="90"/>
      <c r="H265" s="90"/>
      <c r="I265" s="224"/>
      <c r="J265" s="224"/>
      <c r="K265" s="90"/>
      <c r="L265" s="90"/>
      <c r="M265" s="90"/>
      <c r="N265" s="224"/>
      <c r="O265" s="224"/>
      <c r="P265" s="224"/>
      <c r="Q265" s="90"/>
      <c r="R265" s="224"/>
      <c r="S265" s="90"/>
    </row>
    <row r="266" spans="1:19" x14ac:dyDescent="0.2">
      <c r="A266" s="216"/>
      <c r="B266" s="225"/>
      <c r="C266" s="227"/>
      <c r="D266" s="226"/>
      <c r="E266" s="226"/>
      <c r="F266" s="226"/>
      <c r="G266" s="226"/>
      <c r="H266" s="226"/>
      <c r="I266" s="227"/>
      <c r="J266" s="227"/>
      <c r="K266" s="226"/>
      <c r="L266" s="226"/>
      <c r="M266" s="226"/>
      <c r="N266" s="227"/>
      <c r="O266" s="227"/>
      <c r="P266" s="227"/>
      <c r="Q266" s="226"/>
      <c r="R266" s="227"/>
      <c r="S266" s="230"/>
    </row>
    <row r="267" spans="1:19" x14ac:dyDescent="0.2">
      <c r="A267" s="216"/>
      <c r="B267" s="214"/>
      <c r="C267" s="221"/>
      <c r="D267" s="222"/>
      <c r="E267" s="222"/>
      <c r="F267" s="222"/>
      <c r="G267" s="222"/>
      <c r="H267" s="222"/>
      <c r="I267" s="221"/>
      <c r="J267" s="221"/>
      <c r="K267" s="222"/>
      <c r="L267" s="222"/>
      <c r="M267" s="222"/>
      <c r="N267" s="221"/>
      <c r="O267" s="221"/>
      <c r="P267" s="221"/>
      <c r="Q267" s="222"/>
      <c r="R267" s="221"/>
      <c r="S267" s="90"/>
    </row>
    <row r="268" spans="1:19" x14ac:dyDescent="0.2">
      <c r="A268" s="216"/>
      <c r="B268" s="223"/>
      <c r="C268" s="224"/>
      <c r="D268" s="90"/>
      <c r="E268" s="90"/>
      <c r="F268" s="90"/>
      <c r="G268" s="90"/>
      <c r="H268" s="90"/>
      <c r="I268" s="224"/>
      <c r="J268" s="224"/>
      <c r="K268" s="90"/>
      <c r="L268" s="90"/>
      <c r="M268" s="90"/>
      <c r="N268" s="224"/>
      <c r="O268" s="224"/>
      <c r="P268" s="224"/>
      <c r="Q268" s="90"/>
      <c r="R268" s="224"/>
      <c r="S268" s="90"/>
    </row>
    <row r="269" spans="1:19" x14ac:dyDescent="0.2">
      <c r="A269" s="216"/>
      <c r="B269" s="225"/>
      <c r="C269" s="227"/>
      <c r="D269" s="226"/>
      <c r="E269" s="226"/>
      <c r="F269" s="226"/>
      <c r="G269" s="226"/>
      <c r="H269" s="226"/>
      <c r="I269" s="227"/>
      <c r="J269" s="227"/>
      <c r="K269" s="226"/>
      <c r="L269" s="226"/>
      <c r="M269" s="226"/>
      <c r="N269" s="227"/>
      <c r="O269" s="227"/>
      <c r="P269" s="227"/>
      <c r="Q269" s="226"/>
      <c r="R269" s="227"/>
      <c r="S269" s="230"/>
    </row>
    <row r="270" spans="1:19" x14ac:dyDescent="0.2">
      <c r="A270" s="216"/>
      <c r="B270" s="214"/>
      <c r="C270" s="221"/>
      <c r="D270" s="222"/>
      <c r="E270" s="222"/>
      <c r="F270" s="222"/>
      <c r="G270" s="222"/>
      <c r="H270" s="222"/>
      <c r="I270" s="221"/>
      <c r="J270" s="221"/>
      <c r="K270" s="222"/>
      <c r="L270" s="222"/>
      <c r="M270" s="222"/>
      <c r="N270" s="221"/>
      <c r="O270" s="221"/>
      <c r="P270" s="221"/>
      <c r="Q270" s="222"/>
      <c r="R270" s="221"/>
      <c r="S270" s="90"/>
    </row>
    <row r="271" spans="1:19" x14ac:dyDescent="0.2">
      <c r="A271" s="216"/>
      <c r="B271" s="223"/>
      <c r="C271" s="224"/>
      <c r="D271" s="90"/>
      <c r="E271" s="90"/>
      <c r="F271" s="90"/>
      <c r="G271" s="90"/>
      <c r="H271" s="90"/>
      <c r="I271" s="224"/>
      <c r="J271" s="224"/>
      <c r="K271" s="90"/>
      <c r="L271" s="90"/>
      <c r="M271" s="90"/>
      <c r="N271" s="224"/>
      <c r="O271" s="224"/>
      <c r="P271" s="224"/>
      <c r="Q271" s="90"/>
      <c r="R271" s="224"/>
      <c r="S271" s="90"/>
    </row>
    <row r="272" spans="1:19" x14ac:dyDescent="0.2">
      <c r="A272" s="216"/>
      <c r="B272" s="225"/>
      <c r="C272" s="227"/>
      <c r="D272" s="226"/>
      <c r="E272" s="226"/>
      <c r="F272" s="226"/>
      <c r="G272" s="226"/>
      <c r="H272" s="226"/>
      <c r="I272" s="227"/>
      <c r="J272" s="227"/>
      <c r="K272" s="226"/>
      <c r="L272" s="226"/>
      <c r="M272" s="226"/>
      <c r="N272" s="227"/>
      <c r="O272" s="227"/>
      <c r="P272" s="227"/>
      <c r="Q272" s="226"/>
      <c r="R272" s="227"/>
      <c r="S272" s="230"/>
    </row>
    <row r="273" spans="1:19" x14ac:dyDescent="0.2">
      <c r="A273" s="216"/>
      <c r="B273" s="214"/>
      <c r="C273" s="221"/>
      <c r="D273" s="222"/>
      <c r="E273" s="222"/>
      <c r="F273" s="222"/>
      <c r="G273" s="222"/>
      <c r="H273" s="222"/>
      <c r="I273" s="221"/>
      <c r="J273" s="221"/>
      <c r="K273" s="222"/>
      <c r="L273" s="222"/>
      <c r="M273" s="222"/>
      <c r="N273" s="221"/>
      <c r="O273" s="221"/>
      <c r="P273" s="221"/>
      <c r="Q273" s="222"/>
      <c r="R273" s="221"/>
      <c r="S273" s="90"/>
    </row>
    <row r="274" spans="1:19" x14ac:dyDescent="0.2">
      <c r="A274" s="216"/>
      <c r="B274" s="223"/>
      <c r="C274" s="224"/>
      <c r="D274" s="90"/>
      <c r="E274" s="90"/>
      <c r="F274" s="90"/>
      <c r="G274" s="90"/>
      <c r="H274" s="90"/>
      <c r="I274" s="224"/>
      <c r="J274" s="224"/>
      <c r="K274" s="90"/>
      <c r="L274" s="90"/>
      <c r="M274" s="90"/>
      <c r="N274" s="224"/>
      <c r="O274" s="224"/>
      <c r="P274" s="224"/>
      <c r="Q274" s="90"/>
      <c r="R274" s="224"/>
      <c r="S274" s="90"/>
    </row>
    <row r="275" spans="1:19" x14ac:dyDescent="0.2">
      <c r="A275" s="216"/>
      <c r="B275" s="225"/>
      <c r="C275" s="227"/>
      <c r="D275" s="226"/>
      <c r="E275" s="226"/>
      <c r="F275" s="226"/>
      <c r="G275" s="226"/>
      <c r="H275" s="226"/>
      <c r="I275" s="227"/>
      <c r="J275" s="227"/>
      <c r="K275" s="226"/>
      <c r="L275" s="226"/>
      <c r="M275" s="226"/>
      <c r="N275" s="227"/>
      <c r="O275" s="227"/>
      <c r="P275" s="227"/>
      <c r="Q275" s="226"/>
      <c r="R275" s="227"/>
      <c r="S275" s="230"/>
    </row>
    <row r="276" spans="1:19" x14ac:dyDescent="0.2">
      <c r="A276" s="216"/>
      <c r="B276" s="214"/>
      <c r="C276" s="221"/>
      <c r="D276" s="222"/>
      <c r="E276" s="222"/>
      <c r="F276" s="222"/>
      <c r="G276" s="222"/>
      <c r="H276" s="222"/>
      <c r="I276" s="221"/>
      <c r="J276" s="221"/>
      <c r="K276" s="222"/>
      <c r="L276" s="222"/>
      <c r="M276" s="222"/>
      <c r="N276" s="221"/>
      <c r="O276" s="221"/>
      <c r="P276" s="221"/>
      <c r="Q276" s="222"/>
      <c r="R276" s="221"/>
      <c r="S276" s="90"/>
    </row>
    <row r="277" spans="1:19" x14ac:dyDescent="0.2">
      <c r="A277" s="216"/>
      <c r="B277" s="223"/>
      <c r="C277" s="224"/>
      <c r="D277" s="90"/>
      <c r="E277" s="90"/>
      <c r="F277" s="90"/>
      <c r="G277" s="90"/>
      <c r="H277" s="90"/>
      <c r="I277" s="224"/>
      <c r="J277" s="224"/>
      <c r="K277" s="90"/>
      <c r="L277" s="90"/>
      <c r="M277" s="90"/>
      <c r="N277" s="224"/>
      <c r="O277" s="224"/>
      <c r="P277" s="224"/>
      <c r="Q277" s="90"/>
      <c r="R277" s="224"/>
      <c r="S277" s="90"/>
    </row>
    <row r="278" spans="1:19" x14ac:dyDescent="0.2">
      <c r="A278" s="216"/>
      <c r="B278" s="225"/>
      <c r="C278" s="227"/>
      <c r="D278" s="226"/>
      <c r="E278" s="226"/>
      <c r="F278" s="226"/>
      <c r="G278" s="226"/>
      <c r="H278" s="226"/>
      <c r="I278" s="227"/>
      <c r="J278" s="227"/>
      <c r="K278" s="226"/>
      <c r="L278" s="226"/>
      <c r="M278" s="226"/>
      <c r="N278" s="227"/>
      <c r="O278" s="227"/>
      <c r="P278" s="227"/>
      <c r="Q278" s="226"/>
      <c r="R278" s="227"/>
      <c r="S278" s="230"/>
    </row>
    <row r="279" spans="1:19" x14ac:dyDescent="0.2">
      <c r="A279" s="220"/>
      <c r="B279" s="214"/>
      <c r="C279" s="221"/>
      <c r="D279" s="222"/>
      <c r="E279" s="222"/>
      <c r="F279" s="222"/>
      <c r="G279" s="222"/>
      <c r="H279" s="222"/>
      <c r="I279" s="221"/>
      <c r="J279" s="221"/>
      <c r="K279" s="222"/>
      <c r="L279" s="222"/>
      <c r="M279" s="222"/>
      <c r="N279" s="221"/>
      <c r="O279" s="221"/>
      <c r="P279" s="221"/>
      <c r="Q279" s="222"/>
      <c r="R279" s="221"/>
      <c r="S279" s="90"/>
    </row>
    <row r="280" spans="1:19" x14ac:dyDescent="0.2">
      <c r="A280" s="216"/>
      <c r="B280" s="223"/>
      <c r="C280" s="224"/>
      <c r="D280" s="90"/>
      <c r="E280" s="90"/>
      <c r="F280" s="90"/>
      <c r="G280" s="90"/>
      <c r="H280" s="90"/>
      <c r="I280" s="224"/>
      <c r="J280" s="224"/>
      <c r="K280" s="90"/>
      <c r="L280" s="90"/>
      <c r="M280" s="90"/>
      <c r="N280" s="224"/>
      <c r="O280" s="224"/>
      <c r="P280" s="224"/>
      <c r="Q280" s="90"/>
      <c r="R280" s="224"/>
      <c r="S280" s="90"/>
    </row>
    <row r="281" spans="1:19" x14ac:dyDescent="0.2">
      <c r="A281" s="216"/>
      <c r="B281" s="225"/>
      <c r="C281" s="227"/>
      <c r="D281" s="226"/>
      <c r="E281" s="512"/>
      <c r="F281" s="226"/>
      <c r="G281" s="512"/>
      <c r="H281" s="226"/>
      <c r="I281" s="227"/>
      <c r="J281" s="227"/>
      <c r="K281" s="226"/>
      <c r="L281" s="512"/>
      <c r="M281" s="226"/>
      <c r="N281" s="227"/>
      <c r="O281" s="227"/>
      <c r="P281" s="227"/>
      <c r="Q281" s="226"/>
      <c r="R281" s="227"/>
      <c r="S281" s="230"/>
    </row>
    <row r="282" spans="1:19" x14ac:dyDescent="0.2">
      <c r="A282" s="216"/>
      <c r="B282" s="214"/>
      <c r="C282" s="221"/>
      <c r="D282" s="222"/>
      <c r="E282" s="222"/>
      <c r="F282" s="222"/>
      <c r="G282" s="222"/>
      <c r="H282" s="222"/>
      <c r="I282" s="221"/>
      <c r="J282" s="221"/>
      <c r="K282" s="222"/>
      <c r="L282" s="222"/>
      <c r="M282" s="222"/>
      <c r="N282" s="221"/>
      <c r="O282" s="221"/>
      <c r="P282" s="221"/>
      <c r="Q282" s="222"/>
      <c r="R282" s="221"/>
      <c r="S282" s="90"/>
    </row>
    <row r="283" spans="1:19" x14ac:dyDescent="0.2">
      <c r="A283" s="216"/>
      <c r="B283" s="223"/>
      <c r="C283" s="224"/>
      <c r="D283" s="90"/>
      <c r="E283" s="90"/>
      <c r="F283" s="90"/>
      <c r="G283" s="90"/>
      <c r="H283" s="90"/>
      <c r="I283" s="224"/>
      <c r="J283" s="224"/>
      <c r="K283" s="90"/>
      <c r="L283" s="90"/>
      <c r="M283" s="90"/>
      <c r="N283" s="224"/>
      <c r="O283" s="224"/>
      <c r="P283" s="224"/>
      <c r="Q283" s="90"/>
      <c r="R283" s="224"/>
      <c r="S283" s="90"/>
    </row>
    <row r="284" spans="1:19" x14ac:dyDescent="0.2">
      <c r="A284" s="216"/>
      <c r="B284" s="225"/>
      <c r="C284" s="227"/>
      <c r="D284" s="226"/>
      <c r="E284" s="226"/>
      <c r="F284" s="226"/>
      <c r="G284" s="226"/>
      <c r="H284" s="226"/>
      <c r="I284" s="227"/>
      <c r="J284" s="227"/>
      <c r="K284" s="226"/>
      <c r="L284" s="226"/>
      <c r="M284" s="226"/>
      <c r="N284" s="227"/>
      <c r="O284" s="227"/>
      <c r="P284" s="227"/>
      <c r="Q284" s="226"/>
      <c r="R284" s="227"/>
      <c r="S284" s="230"/>
    </row>
    <row r="285" spans="1:19" x14ac:dyDescent="0.2">
      <c r="A285" s="216"/>
      <c r="B285" s="214"/>
      <c r="C285" s="221"/>
      <c r="D285" s="222"/>
      <c r="E285" s="222"/>
      <c r="F285" s="222"/>
      <c r="G285" s="222"/>
      <c r="H285" s="222"/>
      <c r="I285" s="221"/>
      <c r="J285" s="221"/>
      <c r="K285" s="222"/>
      <c r="L285" s="222"/>
      <c r="M285" s="222"/>
      <c r="N285" s="221"/>
      <c r="O285" s="221"/>
      <c r="P285" s="221"/>
      <c r="Q285" s="222"/>
      <c r="R285" s="221"/>
      <c r="S285" s="90"/>
    </row>
    <row r="286" spans="1:19" x14ac:dyDescent="0.2">
      <c r="A286" s="216"/>
      <c r="B286" s="223"/>
      <c r="C286" s="224"/>
      <c r="D286" s="90"/>
      <c r="E286" s="90"/>
      <c r="F286" s="90"/>
      <c r="G286" s="90"/>
      <c r="H286" s="90"/>
      <c r="I286" s="224"/>
      <c r="J286" s="224"/>
      <c r="K286" s="90"/>
      <c r="L286" s="90"/>
      <c r="M286" s="90"/>
      <c r="N286" s="224"/>
      <c r="O286" s="224"/>
      <c r="P286" s="224"/>
      <c r="Q286" s="90"/>
      <c r="R286" s="224"/>
      <c r="S286" s="90"/>
    </row>
    <row r="287" spans="1:19" x14ac:dyDescent="0.2">
      <c r="A287" s="216"/>
      <c r="B287" s="225"/>
      <c r="C287" s="227"/>
      <c r="D287" s="226"/>
      <c r="E287" s="226"/>
      <c r="F287" s="226"/>
      <c r="G287" s="226"/>
      <c r="H287" s="226"/>
      <c r="I287" s="227"/>
      <c r="J287" s="227"/>
      <c r="K287" s="226"/>
      <c r="L287" s="226"/>
      <c r="M287" s="226"/>
      <c r="N287" s="227"/>
      <c r="O287" s="227"/>
      <c r="P287" s="227"/>
      <c r="Q287" s="226"/>
      <c r="R287" s="227"/>
      <c r="S287" s="230"/>
    </row>
    <row r="288" spans="1:19" x14ac:dyDescent="0.2">
      <c r="A288" s="216"/>
      <c r="B288" s="214"/>
      <c r="C288" s="221"/>
      <c r="D288" s="222"/>
      <c r="E288" s="222"/>
      <c r="F288" s="222"/>
      <c r="G288" s="222"/>
      <c r="H288" s="222"/>
      <c r="I288" s="221"/>
      <c r="J288" s="221"/>
      <c r="K288" s="222"/>
      <c r="L288" s="222"/>
      <c r="M288" s="222"/>
      <c r="N288" s="221"/>
      <c r="O288" s="221"/>
      <c r="P288" s="221"/>
      <c r="Q288" s="222"/>
      <c r="R288" s="221"/>
      <c r="S288" s="90"/>
    </row>
    <row r="289" spans="1:19" x14ac:dyDescent="0.2">
      <c r="A289" s="216"/>
      <c r="B289" s="223"/>
      <c r="C289" s="224"/>
      <c r="D289" s="90"/>
      <c r="E289" s="90"/>
      <c r="F289" s="90"/>
      <c r="G289" s="90"/>
      <c r="H289" s="90"/>
      <c r="I289" s="224"/>
      <c r="J289" s="224"/>
      <c r="K289" s="90"/>
      <c r="L289" s="90"/>
      <c r="M289" s="90"/>
      <c r="N289" s="224"/>
      <c r="O289" s="224"/>
      <c r="P289" s="224"/>
      <c r="Q289" s="90"/>
      <c r="R289" s="224"/>
      <c r="S289" s="90"/>
    </row>
    <row r="290" spans="1:19" x14ac:dyDescent="0.2">
      <c r="A290" s="216"/>
      <c r="B290" s="225"/>
      <c r="C290" s="513"/>
      <c r="D290" s="512"/>
      <c r="E290" s="512"/>
      <c r="F290" s="512"/>
      <c r="G290" s="512"/>
      <c r="H290" s="226"/>
      <c r="I290" s="227"/>
      <c r="J290" s="227"/>
      <c r="K290" s="226"/>
      <c r="L290" s="226"/>
      <c r="M290" s="226"/>
      <c r="N290" s="227"/>
      <c r="O290" s="227"/>
      <c r="P290" s="227"/>
      <c r="Q290" s="226"/>
      <c r="R290" s="227"/>
      <c r="S290" s="230"/>
    </row>
    <row r="291" spans="1:19" x14ac:dyDescent="0.2">
      <c r="A291" s="216"/>
      <c r="B291" s="214"/>
      <c r="C291" s="221"/>
      <c r="D291" s="222"/>
      <c r="E291" s="222"/>
      <c r="F291" s="222"/>
      <c r="G291" s="222"/>
      <c r="H291" s="222"/>
      <c r="I291" s="221"/>
      <c r="J291" s="221"/>
      <c r="K291" s="222"/>
      <c r="L291" s="222"/>
      <c r="M291" s="222"/>
      <c r="N291" s="221"/>
      <c r="O291" s="221"/>
      <c r="P291" s="221"/>
      <c r="Q291" s="222"/>
      <c r="R291" s="221"/>
      <c r="S291" s="90"/>
    </row>
    <row r="292" spans="1:19" x14ac:dyDescent="0.2">
      <c r="A292" s="216"/>
      <c r="B292" s="223"/>
      <c r="C292" s="224"/>
      <c r="D292" s="90"/>
      <c r="E292" s="90"/>
      <c r="F292" s="90"/>
      <c r="G292" s="90"/>
      <c r="H292" s="90"/>
      <c r="I292" s="224"/>
      <c r="J292" s="224"/>
      <c r="K292" s="90"/>
      <c r="L292" s="90"/>
      <c r="M292" s="90"/>
      <c r="N292" s="224"/>
      <c r="O292" s="224"/>
      <c r="P292" s="224"/>
      <c r="Q292" s="90"/>
      <c r="R292" s="224"/>
      <c r="S292" s="90"/>
    </row>
    <row r="293" spans="1:19" x14ac:dyDescent="0.2">
      <c r="A293" s="216"/>
      <c r="B293" s="225"/>
      <c r="C293" s="227"/>
      <c r="D293" s="226"/>
      <c r="E293" s="226"/>
      <c r="F293" s="226"/>
      <c r="G293" s="226"/>
      <c r="H293" s="226"/>
      <c r="I293" s="227"/>
      <c r="J293" s="227"/>
      <c r="K293" s="226"/>
      <c r="L293" s="226"/>
      <c r="M293" s="226"/>
      <c r="N293" s="227"/>
      <c r="O293" s="227"/>
      <c r="P293" s="227"/>
      <c r="Q293" s="226"/>
      <c r="R293" s="227"/>
      <c r="S293" s="230"/>
    </row>
    <row r="294" spans="1:19" x14ac:dyDescent="0.2">
      <c r="A294" s="216"/>
      <c r="B294" s="214"/>
      <c r="C294" s="221"/>
      <c r="D294" s="222"/>
      <c r="E294" s="222"/>
      <c r="F294" s="222"/>
      <c r="G294" s="222"/>
      <c r="H294" s="222"/>
      <c r="I294" s="221"/>
      <c r="J294" s="221"/>
      <c r="K294" s="222"/>
      <c r="L294" s="222"/>
      <c r="M294" s="222"/>
      <c r="N294" s="221"/>
      <c r="O294" s="221"/>
      <c r="P294" s="221"/>
      <c r="Q294" s="222"/>
      <c r="R294" s="221"/>
      <c r="S294" s="533"/>
    </row>
    <row r="295" spans="1:19" x14ac:dyDescent="0.2">
      <c r="A295" s="216"/>
      <c r="B295" s="223"/>
      <c r="C295" s="224"/>
      <c r="D295" s="90"/>
      <c r="E295" s="90"/>
      <c r="F295" s="90"/>
      <c r="G295" s="90"/>
      <c r="H295" s="90"/>
      <c r="I295" s="224"/>
      <c r="J295" s="224"/>
      <c r="K295" s="90"/>
      <c r="L295" s="90"/>
      <c r="M295" s="90"/>
      <c r="N295" s="224"/>
      <c r="O295" s="224"/>
      <c r="P295" s="224"/>
      <c r="Q295" s="90"/>
      <c r="R295" s="224"/>
      <c r="S295" s="90"/>
    </row>
    <row r="296" spans="1:19" x14ac:dyDescent="0.2">
      <c r="A296" s="216"/>
      <c r="B296" s="225"/>
      <c r="C296" s="227"/>
      <c r="D296" s="226"/>
      <c r="E296" s="226"/>
      <c r="F296" s="226"/>
      <c r="G296" s="226"/>
      <c r="H296" s="226"/>
      <c r="I296" s="227"/>
      <c r="J296" s="227"/>
      <c r="K296" s="226"/>
      <c r="L296" s="226"/>
      <c r="M296" s="226"/>
      <c r="N296" s="227"/>
      <c r="O296" s="227"/>
      <c r="P296" s="227"/>
      <c r="Q296" s="226"/>
      <c r="R296" s="227"/>
      <c r="S296" s="230"/>
    </row>
    <row r="297" spans="1:19" x14ac:dyDescent="0.2">
      <c r="A297" s="216"/>
      <c r="B297" s="214"/>
      <c r="C297" s="221"/>
      <c r="D297" s="222"/>
      <c r="E297" s="222"/>
      <c r="F297" s="222"/>
      <c r="G297" s="222"/>
      <c r="H297" s="222"/>
      <c r="I297" s="221"/>
      <c r="J297" s="221"/>
      <c r="K297" s="222"/>
      <c r="L297" s="222"/>
      <c r="M297" s="222"/>
      <c r="N297" s="221"/>
      <c r="O297" s="221"/>
      <c r="P297" s="221"/>
      <c r="Q297" s="222"/>
      <c r="R297" s="221"/>
      <c r="S297" s="90"/>
    </row>
    <row r="298" spans="1:19" x14ac:dyDescent="0.2">
      <c r="A298" s="216"/>
      <c r="B298" s="223"/>
      <c r="C298" s="224"/>
      <c r="D298" s="90"/>
      <c r="E298" s="90"/>
      <c r="F298" s="90"/>
      <c r="G298" s="90"/>
      <c r="H298" s="90"/>
      <c r="I298" s="224"/>
      <c r="J298" s="224"/>
      <c r="K298" s="90"/>
      <c r="L298" s="90"/>
      <c r="M298" s="90"/>
      <c r="N298" s="224"/>
      <c r="O298" s="224"/>
      <c r="P298" s="224"/>
      <c r="Q298" s="90"/>
      <c r="R298" s="224"/>
      <c r="S298" s="90"/>
    </row>
    <row r="299" spans="1:19" x14ac:dyDescent="0.2">
      <c r="A299" s="216"/>
      <c r="B299" s="225"/>
      <c r="C299" s="227"/>
      <c r="D299" s="226"/>
      <c r="E299" s="226"/>
      <c r="F299" s="226"/>
      <c r="G299" s="226"/>
      <c r="H299" s="226"/>
      <c r="I299" s="227"/>
      <c r="J299" s="227"/>
      <c r="K299" s="226"/>
      <c r="L299" s="226"/>
      <c r="M299" s="226"/>
      <c r="N299" s="227"/>
      <c r="O299" s="227"/>
      <c r="P299" s="227"/>
      <c r="Q299" s="226"/>
      <c r="R299" s="227"/>
      <c r="S299" s="230"/>
    </row>
    <row r="300" spans="1:19" x14ac:dyDescent="0.2">
      <c r="A300" s="220"/>
      <c r="B300" s="214"/>
      <c r="C300" s="221"/>
      <c r="D300" s="222"/>
      <c r="E300" s="222"/>
      <c r="F300" s="222"/>
      <c r="G300" s="222"/>
      <c r="H300" s="222"/>
      <c r="I300" s="221"/>
      <c r="J300" s="221"/>
      <c r="K300" s="222"/>
      <c r="L300" s="222"/>
      <c r="M300" s="222"/>
      <c r="N300" s="221"/>
      <c r="O300" s="221"/>
      <c r="P300" s="221"/>
      <c r="Q300" s="222"/>
      <c r="R300" s="221"/>
      <c r="S300" s="90"/>
    </row>
    <row r="301" spans="1:19" x14ac:dyDescent="0.2">
      <c r="A301" s="216"/>
      <c r="B301" s="223"/>
      <c r="C301" s="224"/>
      <c r="D301" s="90"/>
      <c r="E301" s="90"/>
      <c r="F301" s="90"/>
      <c r="G301" s="90"/>
      <c r="H301" s="90"/>
      <c r="I301" s="224"/>
      <c r="J301" s="224"/>
      <c r="K301" s="90"/>
      <c r="L301" s="90"/>
      <c r="M301" s="90"/>
      <c r="N301" s="224"/>
      <c r="O301" s="224"/>
      <c r="P301" s="224"/>
      <c r="Q301" s="90"/>
      <c r="R301" s="224"/>
      <c r="S301" s="90"/>
    </row>
    <row r="302" spans="1:19" x14ac:dyDescent="0.2">
      <c r="A302" s="216"/>
      <c r="B302" s="225"/>
      <c r="C302" s="227"/>
      <c r="D302" s="226"/>
      <c r="E302" s="226"/>
      <c r="F302" s="226"/>
      <c r="G302" s="512"/>
      <c r="H302" s="226"/>
      <c r="I302" s="227"/>
      <c r="J302" s="227"/>
      <c r="K302" s="226"/>
      <c r="L302" s="226"/>
      <c r="M302" s="512"/>
      <c r="N302" s="227"/>
      <c r="O302" s="227"/>
      <c r="P302" s="227"/>
      <c r="Q302" s="226"/>
      <c r="R302" s="227"/>
      <c r="S302" s="230"/>
    </row>
    <row r="303" spans="1:19" x14ac:dyDescent="0.2">
      <c r="A303" s="216"/>
      <c r="B303" s="214"/>
      <c r="C303" s="221"/>
      <c r="D303" s="222"/>
      <c r="E303" s="222"/>
      <c r="F303" s="222"/>
      <c r="G303" s="222"/>
      <c r="H303" s="222"/>
      <c r="I303" s="221"/>
      <c r="J303" s="221"/>
      <c r="K303" s="222"/>
      <c r="L303" s="222"/>
      <c r="M303" s="222"/>
      <c r="N303" s="221"/>
      <c r="O303" s="221"/>
      <c r="P303" s="221"/>
      <c r="Q303" s="222"/>
      <c r="R303" s="221"/>
      <c r="S303" s="90"/>
    </row>
    <row r="304" spans="1:19" x14ac:dyDescent="0.2">
      <c r="A304" s="216"/>
      <c r="B304" s="223"/>
      <c r="C304" s="224"/>
      <c r="D304" s="90"/>
      <c r="E304" s="90"/>
      <c r="F304" s="90"/>
      <c r="G304" s="90"/>
      <c r="H304" s="90"/>
      <c r="I304" s="224"/>
      <c r="J304" s="224"/>
      <c r="K304" s="90"/>
      <c r="L304" s="90"/>
      <c r="M304" s="90"/>
      <c r="N304" s="224"/>
      <c r="O304" s="224"/>
      <c r="P304" s="224"/>
      <c r="Q304" s="90"/>
      <c r="R304" s="224"/>
      <c r="S304" s="90"/>
    </row>
    <row r="305" spans="1:19" x14ac:dyDescent="0.2">
      <c r="A305" s="216"/>
      <c r="B305" s="225"/>
      <c r="C305" s="227"/>
      <c r="D305" s="226"/>
      <c r="E305" s="226"/>
      <c r="F305" s="226"/>
      <c r="G305" s="512"/>
      <c r="H305" s="226"/>
      <c r="I305" s="227"/>
      <c r="J305" s="227"/>
      <c r="K305" s="226"/>
      <c r="L305" s="226"/>
      <c r="M305" s="226"/>
      <c r="N305" s="227"/>
      <c r="O305" s="227"/>
      <c r="P305" s="227"/>
      <c r="Q305" s="226"/>
      <c r="R305" s="227"/>
      <c r="S305" s="230"/>
    </row>
    <row r="306" spans="1:19" x14ac:dyDescent="0.2">
      <c r="A306" s="216"/>
      <c r="B306" s="214"/>
      <c r="C306" s="221"/>
      <c r="D306" s="222"/>
      <c r="E306" s="222"/>
      <c r="F306" s="222"/>
      <c r="G306" s="222"/>
      <c r="H306" s="222"/>
      <c r="I306" s="221"/>
      <c r="J306" s="221"/>
      <c r="K306" s="222"/>
      <c r="L306" s="222"/>
      <c r="M306" s="222"/>
      <c r="N306" s="221"/>
      <c r="O306" s="221"/>
      <c r="P306" s="221"/>
      <c r="Q306" s="222"/>
      <c r="R306" s="221"/>
      <c r="S306" s="90"/>
    </row>
    <row r="307" spans="1:19" x14ac:dyDescent="0.2">
      <c r="A307" s="216"/>
      <c r="B307" s="223"/>
      <c r="C307" s="224"/>
      <c r="D307" s="90"/>
      <c r="E307" s="90"/>
      <c r="F307" s="90"/>
      <c r="G307" s="90"/>
      <c r="H307" s="90"/>
      <c r="I307" s="224"/>
      <c r="J307" s="224"/>
      <c r="K307" s="90"/>
      <c r="L307" s="90"/>
      <c r="M307" s="90"/>
      <c r="N307" s="224"/>
      <c r="O307" s="224"/>
      <c r="P307" s="224"/>
      <c r="Q307" s="90"/>
      <c r="R307" s="224"/>
      <c r="S307" s="90"/>
    </row>
    <row r="308" spans="1:19" x14ac:dyDescent="0.2">
      <c r="A308" s="216"/>
      <c r="B308" s="225"/>
      <c r="C308" s="227"/>
      <c r="D308" s="226"/>
      <c r="E308" s="226"/>
      <c r="F308" s="226"/>
      <c r="G308" s="226"/>
      <c r="H308" s="226"/>
      <c r="I308" s="227"/>
      <c r="J308" s="227"/>
      <c r="K308" s="226"/>
      <c r="L308" s="226"/>
      <c r="M308" s="226"/>
      <c r="N308" s="227"/>
      <c r="O308" s="227"/>
      <c r="P308" s="227"/>
      <c r="Q308" s="226"/>
      <c r="R308" s="227"/>
      <c r="S308" s="230"/>
    </row>
    <row r="309" spans="1:19" x14ac:dyDescent="0.2">
      <c r="A309" s="216"/>
      <c r="B309" s="214"/>
      <c r="C309" s="221"/>
      <c r="D309" s="222"/>
      <c r="E309" s="222"/>
      <c r="F309" s="222"/>
      <c r="G309" s="222"/>
      <c r="H309" s="222"/>
      <c r="I309" s="221"/>
      <c r="J309" s="221"/>
      <c r="K309" s="222"/>
      <c r="L309" s="222"/>
      <c r="M309" s="222"/>
      <c r="N309" s="221"/>
      <c r="O309" s="221"/>
      <c r="P309" s="221"/>
      <c r="Q309" s="222"/>
      <c r="R309" s="221"/>
      <c r="S309" s="90"/>
    </row>
    <row r="310" spans="1:19" x14ac:dyDescent="0.2">
      <c r="A310" s="216"/>
      <c r="B310" s="223"/>
      <c r="C310" s="224"/>
      <c r="D310" s="90"/>
      <c r="E310" s="90"/>
      <c r="F310" s="90"/>
      <c r="G310" s="90"/>
      <c r="H310" s="90"/>
      <c r="I310" s="224"/>
      <c r="J310" s="224"/>
      <c r="K310" s="90"/>
      <c r="L310" s="90"/>
      <c r="M310" s="90"/>
      <c r="N310" s="224"/>
      <c r="O310" s="224"/>
      <c r="P310" s="224"/>
      <c r="Q310" s="90"/>
      <c r="R310" s="224"/>
      <c r="S310" s="90"/>
    </row>
    <row r="311" spans="1:19" x14ac:dyDescent="0.2">
      <c r="A311" s="216"/>
      <c r="B311" s="225"/>
      <c r="C311" s="227"/>
      <c r="D311" s="226"/>
      <c r="E311" s="226"/>
      <c r="F311" s="226"/>
      <c r="G311" s="226"/>
      <c r="H311" s="226"/>
      <c r="I311" s="227"/>
      <c r="J311" s="227"/>
      <c r="K311" s="226"/>
      <c r="L311" s="226"/>
      <c r="M311" s="226"/>
      <c r="N311" s="227"/>
      <c r="O311" s="227"/>
      <c r="P311" s="227"/>
      <c r="Q311" s="226"/>
      <c r="R311" s="227"/>
      <c r="S311" s="230"/>
    </row>
    <row r="312" spans="1:19" x14ac:dyDescent="0.2">
      <c r="A312" s="216"/>
      <c r="B312" s="214"/>
      <c r="C312" s="221"/>
      <c r="D312" s="222"/>
      <c r="E312" s="222"/>
      <c r="F312" s="222"/>
      <c r="G312" s="222"/>
      <c r="H312" s="222"/>
      <c r="I312" s="221"/>
      <c r="J312" s="221"/>
      <c r="K312" s="222"/>
      <c r="L312" s="222"/>
      <c r="M312" s="222"/>
      <c r="N312" s="221"/>
      <c r="O312" s="221"/>
      <c r="P312" s="221"/>
      <c r="Q312" s="222"/>
      <c r="R312" s="221"/>
      <c r="S312" s="90"/>
    </row>
    <row r="313" spans="1:19" x14ac:dyDescent="0.2">
      <c r="A313" s="216"/>
      <c r="B313" s="223"/>
      <c r="C313" s="224"/>
      <c r="D313" s="90"/>
      <c r="E313" s="90"/>
      <c r="F313" s="90"/>
      <c r="G313" s="90"/>
      <c r="H313" s="90"/>
      <c r="I313" s="224"/>
      <c r="J313" s="224"/>
      <c r="K313" s="90"/>
      <c r="L313" s="90"/>
      <c r="M313" s="90"/>
      <c r="N313" s="224"/>
      <c r="O313" s="224"/>
      <c r="P313" s="224"/>
      <c r="Q313" s="90"/>
      <c r="R313" s="224"/>
      <c r="S313" s="90"/>
    </row>
    <row r="314" spans="1:19" x14ac:dyDescent="0.2">
      <c r="A314" s="216"/>
      <c r="B314" s="225"/>
      <c r="C314" s="227"/>
      <c r="D314" s="226"/>
      <c r="E314" s="226"/>
      <c r="F314" s="226"/>
      <c r="G314" s="226"/>
      <c r="H314" s="226"/>
      <c r="I314" s="227"/>
      <c r="J314" s="227"/>
      <c r="K314" s="226"/>
      <c r="L314" s="226"/>
      <c r="M314" s="226"/>
      <c r="N314" s="227"/>
      <c r="O314" s="227"/>
      <c r="P314" s="227"/>
      <c r="Q314" s="226"/>
      <c r="R314" s="227"/>
      <c r="S314" s="230"/>
    </row>
    <row r="315" spans="1:19" x14ac:dyDescent="0.2">
      <c r="A315" s="216"/>
      <c r="B315" s="214"/>
      <c r="C315" s="221"/>
      <c r="D315" s="222"/>
      <c r="E315" s="222"/>
      <c r="F315" s="222"/>
      <c r="G315" s="222"/>
      <c r="H315" s="222"/>
      <c r="I315" s="221"/>
      <c r="J315" s="221"/>
      <c r="K315" s="222"/>
      <c r="L315" s="222"/>
      <c r="M315" s="222"/>
      <c r="N315" s="221"/>
      <c r="O315" s="221"/>
      <c r="P315" s="221"/>
      <c r="Q315" s="222"/>
      <c r="R315" s="221"/>
      <c r="S315" s="90"/>
    </row>
    <row r="316" spans="1:19" x14ac:dyDescent="0.2">
      <c r="A316" s="216"/>
      <c r="B316" s="223"/>
      <c r="C316" s="224"/>
      <c r="D316" s="90"/>
      <c r="E316" s="90"/>
      <c r="F316" s="90"/>
      <c r="G316" s="90"/>
      <c r="H316" s="90"/>
      <c r="I316" s="224"/>
      <c r="J316" s="224"/>
      <c r="K316" s="90"/>
      <c r="L316" s="90"/>
      <c r="M316" s="90"/>
      <c r="N316" s="224"/>
      <c r="O316" s="224"/>
      <c r="P316" s="224"/>
      <c r="Q316" s="90"/>
      <c r="R316" s="224"/>
      <c r="S316" s="90"/>
    </row>
    <row r="317" spans="1:19" x14ac:dyDescent="0.2">
      <c r="A317" s="216"/>
      <c r="B317" s="225"/>
      <c r="C317" s="227"/>
      <c r="D317" s="226"/>
      <c r="E317" s="226"/>
      <c r="F317" s="226"/>
      <c r="G317" s="226"/>
      <c r="H317" s="226"/>
      <c r="I317" s="227"/>
      <c r="J317" s="227"/>
      <c r="K317" s="226"/>
      <c r="L317" s="226"/>
      <c r="M317" s="226"/>
      <c r="N317" s="227"/>
      <c r="O317" s="227"/>
      <c r="P317" s="227"/>
      <c r="Q317" s="226"/>
      <c r="R317" s="227"/>
      <c r="S317" s="230"/>
    </row>
    <row r="318" spans="1:19" x14ac:dyDescent="0.2">
      <c r="A318" s="216"/>
      <c r="B318" s="214"/>
      <c r="C318" s="221"/>
      <c r="D318" s="222"/>
      <c r="E318" s="222"/>
      <c r="F318" s="222"/>
      <c r="G318" s="222"/>
      <c r="H318" s="222"/>
      <c r="I318" s="221"/>
      <c r="J318" s="221"/>
      <c r="K318" s="222"/>
      <c r="L318" s="222"/>
      <c r="M318" s="222"/>
      <c r="N318" s="221"/>
      <c r="O318" s="221"/>
      <c r="P318" s="221"/>
      <c r="Q318" s="222"/>
      <c r="R318" s="221"/>
      <c r="S318" s="90"/>
    </row>
    <row r="319" spans="1:19" x14ac:dyDescent="0.2">
      <c r="A319" s="216"/>
      <c r="B319" s="223"/>
      <c r="C319" s="224"/>
      <c r="D319" s="90"/>
      <c r="E319" s="90"/>
      <c r="F319" s="90"/>
      <c r="G319" s="90"/>
      <c r="H319" s="90"/>
      <c r="I319" s="224"/>
      <c r="J319" s="224"/>
      <c r="K319" s="90"/>
      <c r="L319" s="90"/>
      <c r="M319" s="90"/>
      <c r="N319" s="224"/>
      <c r="O319" s="224"/>
      <c r="P319" s="224"/>
      <c r="Q319" s="90"/>
      <c r="R319" s="224"/>
      <c r="S319" s="90"/>
    </row>
    <row r="320" spans="1:19" x14ac:dyDescent="0.2">
      <c r="A320" s="216"/>
      <c r="B320" s="225"/>
      <c r="C320" s="227"/>
      <c r="D320" s="226"/>
      <c r="E320" s="226"/>
      <c r="F320" s="226"/>
      <c r="G320" s="226"/>
      <c r="H320" s="226"/>
      <c r="I320" s="227"/>
      <c r="J320" s="227"/>
      <c r="K320" s="226"/>
      <c r="L320" s="226"/>
      <c r="M320" s="226"/>
      <c r="N320" s="227"/>
      <c r="O320" s="227"/>
      <c r="P320" s="227"/>
      <c r="Q320" s="226"/>
      <c r="R320" s="227"/>
      <c r="S320" s="230"/>
    </row>
    <row r="321" spans="1:19" x14ac:dyDescent="0.2">
      <c r="A321" s="220"/>
      <c r="B321" s="214"/>
      <c r="C321" s="221"/>
      <c r="D321" s="222"/>
      <c r="E321" s="222"/>
      <c r="F321" s="222"/>
      <c r="G321" s="222"/>
      <c r="H321" s="222"/>
      <c r="I321" s="221"/>
      <c r="J321" s="221"/>
      <c r="K321" s="222"/>
      <c r="L321" s="222"/>
      <c r="M321" s="222"/>
      <c r="N321" s="221"/>
      <c r="O321" s="221"/>
      <c r="P321" s="221"/>
      <c r="Q321" s="222"/>
      <c r="R321" s="221"/>
      <c r="S321" s="90"/>
    </row>
    <row r="322" spans="1:19" x14ac:dyDescent="0.2">
      <c r="A322" s="216"/>
      <c r="B322" s="223"/>
      <c r="C322" s="224"/>
      <c r="D322" s="90"/>
      <c r="E322" s="90"/>
      <c r="F322" s="90"/>
      <c r="G322" s="90"/>
      <c r="H322" s="90"/>
      <c r="I322" s="224"/>
      <c r="J322" s="224"/>
      <c r="K322" s="90"/>
      <c r="L322" s="90"/>
      <c r="M322" s="90"/>
      <c r="N322" s="224"/>
      <c r="O322" s="224"/>
      <c r="P322" s="224"/>
      <c r="Q322" s="90"/>
      <c r="R322" s="224"/>
      <c r="S322" s="90"/>
    </row>
    <row r="323" spans="1:19" x14ac:dyDescent="0.2">
      <c r="A323" s="216"/>
      <c r="B323" s="225"/>
      <c r="C323" s="227"/>
      <c r="D323" s="226"/>
      <c r="E323" s="226"/>
      <c r="F323" s="226"/>
      <c r="G323" s="226"/>
      <c r="H323" s="226"/>
      <c r="I323" s="227"/>
      <c r="J323" s="227"/>
      <c r="K323" s="226"/>
      <c r="L323" s="226"/>
      <c r="M323" s="226"/>
      <c r="N323" s="227"/>
      <c r="O323" s="227"/>
      <c r="P323" s="227"/>
      <c r="Q323" s="226"/>
      <c r="R323" s="227"/>
      <c r="S323" s="230"/>
    </row>
    <row r="324" spans="1:19" x14ac:dyDescent="0.2">
      <c r="A324" s="216"/>
      <c r="B324" s="214"/>
      <c r="C324" s="221"/>
      <c r="D324" s="222"/>
      <c r="E324" s="222"/>
      <c r="F324" s="222"/>
      <c r="G324" s="222"/>
      <c r="H324" s="222"/>
      <c r="I324" s="221"/>
      <c r="J324" s="221"/>
      <c r="K324" s="222"/>
      <c r="L324" s="222"/>
      <c r="M324" s="222"/>
      <c r="N324" s="221"/>
      <c r="O324" s="221"/>
      <c r="P324" s="221"/>
      <c r="Q324" s="222"/>
      <c r="R324" s="221"/>
      <c r="S324" s="90"/>
    </row>
    <row r="325" spans="1:19" x14ac:dyDescent="0.2">
      <c r="A325" s="216"/>
      <c r="B325" s="223"/>
      <c r="C325" s="224"/>
      <c r="D325" s="90"/>
      <c r="E325" s="90"/>
      <c r="F325" s="90"/>
      <c r="G325" s="90"/>
      <c r="H325" s="90"/>
      <c r="I325" s="224"/>
      <c r="J325" s="224"/>
      <c r="K325" s="90"/>
      <c r="L325" s="90"/>
      <c r="M325" s="90"/>
      <c r="N325" s="224"/>
      <c r="O325" s="224"/>
      <c r="P325" s="224"/>
      <c r="Q325" s="90"/>
      <c r="R325" s="224"/>
      <c r="S325" s="90"/>
    </row>
    <row r="326" spans="1:19" x14ac:dyDescent="0.2">
      <c r="A326" s="216"/>
      <c r="B326" s="225"/>
      <c r="C326" s="227"/>
      <c r="D326" s="226"/>
      <c r="E326" s="226"/>
      <c r="F326" s="226"/>
      <c r="G326" s="226"/>
      <c r="H326" s="226"/>
      <c r="I326" s="227"/>
      <c r="J326" s="227"/>
      <c r="K326" s="226"/>
      <c r="L326" s="226"/>
      <c r="M326" s="226"/>
      <c r="N326" s="227"/>
      <c r="O326" s="227"/>
      <c r="P326" s="227"/>
      <c r="Q326" s="226"/>
      <c r="R326" s="227"/>
      <c r="S326" s="230"/>
    </row>
    <row r="327" spans="1:19" x14ac:dyDescent="0.2">
      <c r="A327" s="216"/>
      <c r="B327" s="214"/>
      <c r="C327" s="221"/>
      <c r="D327" s="222"/>
      <c r="E327" s="222"/>
      <c r="F327" s="222"/>
      <c r="G327" s="222"/>
      <c r="H327" s="222"/>
      <c r="I327" s="221"/>
      <c r="J327" s="221"/>
      <c r="K327" s="222"/>
      <c r="L327" s="222"/>
      <c r="M327" s="222"/>
      <c r="N327" s="221"/>
      <c r="O327" s="221"/>
      <c r="P327" s="221"/>
      <c r="Q327" s="222"/>
      <c r="R327" s="221"/>
      <c r="S327" s="90"/>
    </row>
    <row r="328" spans="1:19" x14ac:dyDescent="0.2">
      <c r="A328" s="216"/>
      <c r="B328" s="223"/>
      <c r="C328" s="224"/>
      <c r="D328" s="90"/>
      <c r="E328" s="90"/>
      <c r="F328" s="90"/>
      <c r="G328" s="90"/>
      <c r="H328" s="90"/>
      <c r="I328" s="224"/>
      <c r="J328" s="224"/>
      <c r="K328" s="90"/>
      <c r="L328" s="90"/>
      <c r="M328" s="90"/>
      <c r="N328" s="224"/>
      <c r="O328" s="224"/>
      <c r="P328" s="224"/>
      <c r="Q328" s="90"/>
      <c r="R328" s="224"/>
      <c r="S328" s="90"/>
    </row>
    <row r="329" spans="1:19" x14ac:dyDescent="0.2">
      <c r="A329" s="216"/>
      <c r="B329" s="225"/>
      <c r="C329" s="227"/>
      <c r="D329" s="226"/>
      <c r="E329" s="226"/>
      <c r="F329" s="226"/>
      <c r="G329" s="226"/>
      <c r="H329" s="226"/>
      <c r="I329" s="227"/>
      <c r="J329" s="227"/>
      <c r="K329" s="226"/>
      <c r="L329" s="226"/>
      <c r="M329" s="226"/>
      <c r="N329" s="227"/>
      <c r="O329" s="227"/>
      <c r="P329" s="227"/>
      <c r="Q329" s="226"/>
      <c r="R329" s="227"/>
      <c r="S329" s="230"/>
    </row>
    <row r="330" spans="1:19" x14ac:dyDescent="0.2">
      <c r="A330" s="216"/>
      <c r="B330" s="214"/>
      <c r="C330" s="221"/>
      <c r="D330" s="222"/>
      <c r="E330" s="222"/>
      <c r="F330" s="222"/>
      <c r="G330" s="222"/>
      <c r="H330" s="222"/>
      <c r="I330" s="221"/>
      <c r="J330" s="221"/>
      <c r="K330" s="222"/>
      <c r="L330" s="222"/>
      <c r="M330" s="222"/>
      <c r="N330" s="221"/>
      <c r="O330" s="221"/>
      <c r="P330" s="221"/>
      <c r="Q330" s="222"/>
      <c r="R330" s="221"/>
      <c r="S330" s="90"/>
    </row>
    <row r="331" spans="1:19" x14ac:dyDescent="0.2">
      <c r="A331" s="216"/>
      <c r="B331" s="223"/>
      <c r="C331" s="224"/>
      <c r="D331" s="90"/>
      <c r="E331" s="90"/>
      <c r="F331" s="90"/>
      <c r="G331" s="90"/>
      <c r="H331" s="90"/>
      <c r="I331" s="224"/>
      <c r="J331" s="224"/>
      <c r="K331" s="90"/>
      <c r="L331" s="90"/>
      <c r="M331" s="90"/>
      <c r="N331" s="224"/>
      <c r="O331" s="224"/>
      <c r="P331" s="224"/>
      <c r="Q331" s="90"/>
      <c r="R331" s="224"/>
      <c r="S331" s="90"/>
    </row>
    <row r="332" spans="1:19" x14ac:dyDescent="0.2">
      <c r="A332" s="216"/>
      <c r="B332" s="225"/>
      <c r="C332" s="227"/>
      <c r="D332" s="226"/>
      <c r="E332" s="226"/>
      <c r="F332" s="226"/>
      <c r="G332" s="226"/>
      <c r="H332" s="226"/>
      <c r="I332" s="227"/>
      <c r="J332" s="227"/>
      <c r="K332" s="226"/>
      <c r="L332" s="226"/>
      <c r="M332" s="226"/>
      <c r="N332" s="227"/>
      <c r="O332" s="227"/>
      <c r="P332" s="227"/>
      <c r="Q332" s="226"/>
      <c r="R332" s="227"/>
      <c r="S332" s="230"/>
    </row>
    <row r="333" spans="1:19" x14ac:dyDescent="0.2">
      <c r="A333" s="216"/>
      <c r="B333" s="214"/>
      <c r="C333" s="221"/>
      <c r="D333" s="222"/>
      <c r="E333" s="222"/>
      <c r="F333" s="222"/>
      <c r="G333" s="222"/>
      <c r="H333" s="222"/>
      <c r="I333" s="221"/>
      <c r="J333" s="221"/>
      <c r="K333" s="222"/>
      <c r="L333" s="222"/>
      <c r="M333" s="222"/>
      <c r="N333" s="221"/>
      <c r="O333" s="221"/>
      <c r="P333" s="221"/>
      <c r="Q333" s="222"/>
      <c r="R333" s="221"/>
      <c r="S333" s="90"/>
    </row>
    <row r="334" spans="1:19" x14ac:dyDescent="0.2">
      <c r="A334" s="216"/>
      <c r="B334" s="223"/>
      <c r="C334" s="224"/>
      <c r="D334" s="90"/>
      <c r="E334" s="90"/>
      <c r="F334" s="90"/>
      <c r="G334" s="90"/>
      <c r="H334" s="90"/>
      <c r="I334" s="224"/>
      <c r="J334" s="224"/>
      <c r="K334" s="90"/>
      <c r="L334" s="90"/>
      <c r="M334" s="90"/>
      <c r="N334" s="224"/>
      <c r="O334" s="224"/>
      <c r="P334" s="224"/>
      <c r="Q334" s="90"/>
      <c r="R334" s="224"/>
      <c r="S334" s="90"/>
    </row>
    <row r="335" spans="1:19" x14ac:dyDescent="0.2">
      <c r="A335" s="216"/>
      <c r="B335" s="225"/>
      <c r="C335" s="227"/>
      <c r="D335" s="226"/>
      <c r="E335" s="226"/>
      <c r="F335" s="226"/>
      <c r="G335" s="226"/>
      <c r="H335" s="226"/>
      <c r="I335" s="227"/>
      <c r="J335" s="227"/>
      <c r="K335" s="226"/>
      <c r="L335" s="226"/>
      <c r="M335" s="226"/>
      <c r="N335" s="227"/>
      <c r="O335" s="227"/>
      <c r="P335" s="227"/>
      <c r="Q335" s="226"/>
      <c r="R335" s="227"/>
      <c r="S335" s="230"/>
    </row>
    <row r="336" spans="1:19" x14ac:dyDescent="0.2">
      <c r="A336" s="216"/>
      <c r="B336" s="214"/>
      <c r="C336" s="221"/>
      <c r="D336" s="222"/>
      <c r="E336" s="222"/>
      <c r="F336" s="222"/>
      <c r="G336" s="222"/>
      <c r="H336" s="222"/>
      <c r="I336" s="221"/>
      <c r="J336" s="221"/>
      <c r="K336" s="222"/>
      <c r="L336" s="222"/>
      <c r="M336" s="222"/>
      <c r="N336" s="221"/>
      <c r="O336" s="221"/>
      <c r="P336" s="221"/>
      <c r="Q336" s="222"/>
      <c r="R336" s="221"/>
      <c r="S336" s="90"/>
    </row>
    <row r="337" spans="1:19" x14ac:dyDescent="0.2">
      <c r="A337" s="216"/>
      <c r="B337" s="223"/>
      <c r="C337" s="224"/>
      <c r="D337" s="90"/>
      <c r="E337" s="90"/>
      <c r="F337" s="90"/>
      <c r="G337" s="90"/>
      <c r="H337" s="90"/>
      <c r="I337" s="224"/>
      <c r="J337" s="224"/>
      <c r="K337" s="90"/>
      <c r="L337" s="90"/>
      <c r="M337" s="90"/>
      <c r="N337" s="224"/>
      <c r="O337" s="224"/>
      <c r="P337" s="224"/>
      <c r="Q337" s="90"/>
      <c r="R337" s="224"/>
      <c r="S337" s="90"/>
    </row>
    <row r="338" spans="1:19" x14ac:dyDescent="0.2">
      <c r="A338" s="216"/>
      <c r="B338" s="225"/>
      <c r="C338" s="227"/>
      <c r="D338" s="226"/>
      <c r="E338" s="226"/>
      <c r="F338" s="226"/>
      <c r="G338" s="226"/>
      <c r="H338" s="226"/>
      <c r="I338" s="227"/>
      <c r="J338" s="227"/>
      <c r="K338" s="226"/>
      <c r="L338" s="226"/>
      <c r="M338" s="226"/>
      <c r="N338" s="227"/>
      <c r="O338" s="227"/>
      <c r="P338" s="227"/>
      <c r="Q338" s="226"/>
      <c r="R338" s="227"/>
      <c r="S338" s="230"/>
    </row>
    <row r="339" spans="1:19" x14ac:dyDescent="0.2">
      <c r="A339" s="216"/>
      <c r="B339" s="214"/>
      <c r="C339" s="221"/>
      <c r="D339" s="222"/>
      <c r="E339" s="222"/>
      <c r="F339" s="222"/>
      <c r="G339" s="222"/>
      <c r="H339" s="222"/>
      <c r="I339" s="221"/>
      <c r="J339" s="221"/>
      <c r="K339" s="222"/>
      <c r="L339" s="222"/>
      <c r="M339" s="222"/>
      <c r="N339" s="221"/>
      <c r="O339" s="221"/>
      <c r="P339" s="221"/>
      <c r="Q339" s="222"/>
      <c r="R339" s="221"/>
      <c r="S339" s="90"/>
    </row>
    <row r="340" spans="1:19" x14ac:dyDescent="0.2">
      <c r="A340" s="216"/>
      <c r="B340" s="223"/>
      <c r="C340" s="224"/>
      <c r="D340" s="90"/>
      <c r="E340" s="90"/>
      <c r="F340" s="90"/>
      <c r="G340" s="90"/>
      <c r="H340" s="90"/>
      <c r="I340" s="224"/>
      <c r="J340" s="224"/>
      <c r="K340" s="90"/>
      <c r="L340" s="90"/>
      <c r="M340" s="90"/>
      <c r="N340" s="224"/>
      <c r="O340" s="224"/>
      <c r="P340" s="224"/>
      <c r="Q340" s="90"/>
      <c r="R340" s="224"/>
      <c r="S340" s="90"/>
    </row>
    <row r="341" spans="1:19" x14ac:dyDescent="0.2">
      <c r="A341" s="216"/>
      <c r="B341" s="225"/>
      <c r="C341" s="227"/>
      <c r="D341" s="226"/>
      <c r="E341" s="226"/>
      <c r="F341" s="226"/>
      <c r="G341" s="226"/>
      <c r="H341" s="226"/>
      <c r="I341" s="227"/>
      <c r="J341" s="227"/>
      <c r="K341" s="226"/>
      <c r="L341" s="226"/>
      <c r="M341" s="226"/>
      <c r="N341" s="227"/>
      <c r="O341" s="227"/>
      <c r="P341" s="227"/>
      <c r="Q341" s="226"/>
      <c r="R341" s="227"/>
      <c r="S341" s="230"/>
    </row>
    <row r="342" spans="1:19" x14ac:dyDescent="0.2">
      <c r="A342" s="220"/>
      <c r="B342" s="214"/>
      <c r="C342" s="221"/>
      <c r="D342" s="222"/>
      <c r="E342" s="222"/>
      <c r="F342" s="222"/>
      <c r="G342" s="222"/>
      <c r="H342" s="222"/>
      <c r="I342" s="221"/>
      <c r="J342" s="221"/>
      <c r="K342" s="222"/>
      <c r="L342" s="222"/>
      <c r="M342" s="222"/>
      <c r="N342" s="221"/>
      <c r="O342" s="221"/>
      <c r="P342" s="221"/>
      <c r="Q342" s="222"/>
      <c r="R342" s="221"/>
      <c r="S342" s="90"/>
    </row>
    <row r="343" spans="1:19" x14ac:dyDescent="0.2">
      <c r="A343" s="216"/>
      <c r="B343" s="223"/>
      <c r="C343" s="224"/>
      <c r="D343" s="90"/>
      <c r="E343" s="90"/>
      <c r="F343" s="90"/>
      <c r="G343" s="90"/>
      <c r="H343" s="90"/>
      <c r="I343" s="224"/>
      <c r="J343" s="224"/>
      <c r="K343" s="90"/>
      <c r="L343" s="90"/>
      <c r="M343" s="90"/>
      <c r="N343" s="224"/>
      <c r="O343" s="224"/>
      <c r="P343" s="224"/>
      <c r="Q343" s="90"/>
      <c r="R343" s="224"/>
      <c r="S343" s="90"/>
    </row>
    <row r="344" spans="1:19" x14ac:dyDescent="0.2">
      <c r="A344" s="216"/>
      <c r="B344" s="225"/>
      <c r="C344" s="227"/>
      <c r="D344" s="226"/>
      <c r="E344" s="226"/>
      <c r="F344" s="226"/>
      <c r="G344" s="226"/>
      <c r="H344" s="226"/>
      <c r="I344" s="227"/>
      <c r="J344" s="227"/>
      <c r="K344" s="226"/>
      <c r="L344" s="226"/>
      <c r="M344" s="226"/>
      <c r="N344" s="227"/>
      <c r="O344" s="227"/>
      <c r="P344" s="227"/>
      <c r="Q344" s="226"/>
      <c r="R344" s="227"/>
      <c r="S344" s="230"/>
    </row>
    <row r="345" spans="1:19" x14ac:dyDescent="0.2">
      <c r="A345" s="216"/>
      <c r="B345" s="214"/>
      <c r="C345" s="221"/>
      <c r="D345" s="222"/>
      <c r="E345" s="222"/>
      <c r="F345" s="222"/>
      <c r="G345" s="222"/>
      <c r="H345" s="222"/>
      <c r="I345" s="221"/>
      <c r="J345" s="221"/>
      <c r="K345" s="222"/>
      <c r="L345" s="222"/>
      <c r="M345" s="222"/>
      <c r="N345" s="221"/>
      <c r="O345" s="221"/>
      <c r="P345" s="221"/>
      <c r="Q345" s="222"/>
      <c r="R345" s="221"/>
      <c r="S345" s="90"/>
    </row>
    <row r="346" spans="1:19" x14ac:dyDescent="0.2">
      <c r="A346" s="216"/>
      <c r="B346" s="223"/>
      <c r="C346" s="224"/>
      <c r="D346" s="90"/>
      <c r="E346" s="90"/>
      <c r="F346" s="90"/>
      <c r="G346" s="90"/>
      <c r="H346" s="90"/>
      <c r="I346" s="224"/>
      <c r="J346" s="224"/>
      <c r="K346" s="90"/>
      <c r="L346" s="90"/>
      <c r="M346" s="90"/>
      <c r="N346" s="224"/>
      <c r="O346" s="224"/>
      <c r="P346" s="224"/>
      <c r="Q346" s="90"/>
      <c r="R346" s="224"/>
      <c r="S346" s="90"/>
    </row>
    <row r="347" spans="1:19" x14ac:dyDescent="0.2">
      <c r="A347" s="216"/>
      <c r="B347" s="225"/>
      <c r="C347" s="227"/>
      <c r="D347" s="226"/>
      <c r="E347" s="226"/>
      <c r="F347" s="226"/>
      <c r="G347" s="226"/>
      <c r="H347" s="226"/>
      <c r="I347" s="227"/>
      <c r="J347" s="227"/>
      <c r="K347" s="226"/>
      <c r="L347" s="226"/>
      <c r="M347" s="226"/>
      <c r="N347" s="227"/>
      <c r="O347" s="227"/>
      <c r="P347" s="227"/>
      <c r="Q347" s="226"/>
      <c r="R347" s="227"/>
      <c r="S347" s="230"/>
    </row>
    <row r="348" spans="1:19" x14ac:dyDescent="0.2">
      <c r="A348" s="216"/>
      <c r="B348" s="214"/>
      <c r="C348" s="221"/>
      <c r="D348" s="222"/>
      <c r="E348" s="222"/>
      <c r="F348" s="222"/>
      <c r="G348" s="222"/>
      <c r="H348" s="222"/>
      <c r="I348" s="221"/>
      <c r="J348" s="221"/>
      <c r="K348" s="222"/>
      <c r="L348" s="222"/>
      <c r="M348" s="222"/>
      <c r="N348" s="221"/>
      <c r="O348" s="221"/>
      <c r="P348" s="221"/>
      <c r="Q348" s="222"/>
      <c r="R348" s="221"/>
      <c r="S348" s="90"/>
    </row>
    <row r="349" spans="1:19" x14ac:dyDescent="0.2">
      <c r="A349" s="216"/>
      <c r="B349" s="223"/>
      <c r="C349" s="224"/>
      <c r="D349" s="90"/>
      <c r="E349" s="90"/>
      <c r="F349" s="90"/>
      <c r="G349" s="90"/>
      <c r="H349" s="90"/>
      <c r="I349" s="224"/>
      <c r="J349" s="224"/>
      <c r="K349" s="90"/>
      <c r="L349" s="90"/>
      <c r="M349" s="90"/>
      <c r="N349" s="224"/>
      <c r="O349" s="224"/>
      <c r="P349" s="224"/>
      <c r="Q349" s="90"/>
      <c r="R349" s="224"/>
      <c r="S349" s="90"/>
    </row>
    <row r="350" spans="1:19" x14ac:dyDescent="0.2">
      <c r="A350" s="216"/>
      <c r="B350" s="225"/>
      <c r="C350" s="227"/>
      <c r="D350" s="226"/>
      <c r="E350" s="226"/>
      <c r="F350" s="226"/>
      <c r="G350" s="226"/>
      <c r="H350" s="226"/>
      <c r="I350" s="227"/>
      <c r="J350" s="227"/>
      <c r="K350" s="226"/>
      <c r="L350" s="226"/>
      <c r="M350" s="226"/>
      <c r="N350" s="227"/>
      <c r="O350" s="227"/>
      <c r="P350" s="227"/>
      <c r="Q350" s="226"/>
      <c r="R350" s="227"/>
      <c r="S350" s="230"/>
    </row>
    <row r="351" spans="1:19" x14ac:dyDescent="0.2">
      <c r="A351" s="216"/>
      <c r="B351" s="214"/>
      <c r="C351" s="221"/>
      <c r="D351" s="222"/>
      <c r="E351" s="222"/>
      <c r="F351" s="222"/>
      <c r="G351" s="222"/>
      <c r="H351" s="222"/>
      <c r="I351" s="221"/>
      <c r="J351" s="221"/>
      <c r="K351" s="222"/>
      <c r="L351" s="222"/>
      <c r="M351" s="222"/>
      <c r="N351" s="221"/>
      <c r="O351" s="221"/>
      <c r="P351" s="221"/>
      <c r="Q351" s="222"/>
      <c r="R351" s="221"/>
      <c r="S351" s="90"/>
    </row>
    <row r="352" spans="1:19" x14ac:dyDescent="0.2">
      <c r="A352" s="216"/>
      <c r="B352" s="223"/>
      <c r="C352" s="224"/>
      <c r="D352" s="90"/>
      <c r="E352" s="90"/>
      <c r="F352" s="90"/>
      <c r="G352" s="90"/>
      <c r="H352" s="90"/>
      <c r="I352" s="224"/>
      <c r="J352" s="224"/>
      <c r="K352" s="90"/>
      <c r="L352" s="90"/>
      <c r="M352" s="90"/>
      <c r="N352" s="224"/>
      <c r="O352" s="224"/>
      <c r="P352" s="224"/>
      <c r="Q352" s="90"/>
      <c r="R352" s="224"/>
      <c r="S352" s="90"/>
    </row>
    <row r="353" spans="1:19" x14ac:dyDescent="0.2">
      <c r="A353" s="216"/>
      <c r="B353" s="225"/>
      <c r="C353" s="227"/>
      <c r="D353" s="226"/>
      <c r="E353" s="226"/>
      <c r="F353" s="226"/>
      <c r="G353" s="226"/>
      <c r="H353" s="226"/>
      <c r="I353" s="227"/>
      <c r="J353" s="227"/>
      <c r="K353" s="226"/>
      <c r="L353" s="226"/>
      <c r="M353" s="226"/>
      <c r="N353" s="227"/>
      <c r="O353" s="227"/>
      <c r="P353" s="227"/>
      <c r="Q353" s="226"/>
      <c r="R353" s="227"/>
      <c r="S353" s="230"/>
    </row>
    <row r="354" spans="1:19" x14ac:dyDescent="0.2">
      <c r="A354" s="216"/>
      <c r="B354" s="214"/>
      <c r="C354" s="221"/>
      <c r="D354" s="222"/>
      <c r="E354" s="222"/>
      <c r="F354" s="222"/>
      <c r="G354" s="222"/>
      <c r="H354" s="222"/>
      <c r="I354" s="221"/>
      <c r="J354" s="221"/>
      <c r="K354" s="222"/>
      <c r="L354" s="222"/>
      <c r="M354" s="222"/>
      <c r="N354" s="221"/>
      <c r="O354" s="221"/>
      <c r="P354" s="221"/>
      <c r="Q354" s="222"/>
      <c r="R354" s="221"/>
      <c r="S354" s="90"/>
    </row>
    <row r="355" spans="1:19" x14ac:dyDescent="0.2">
      <c r="A355" s="216"/>
      <c r="B355" s="223"/>
      <c r="C355" s="224"/>
      <c r="D355" s="90"/>
      <c r="E355" s="90"/>
      <c r="F355" s="90"/>
      <c r="G355" s="90"/>
      <c r="H355" s="90"/>
      <c r="I355" s="224"/>
      <c r="J355" s="224"/>
      <c r="K355" s="90"/>
      <c r="L355" s="90"/>
      <c r="M355" s="90"/>
      <c r="N355" s="224"/>
      <c r="O355" s="224"/>
      <c r="P355" s="224"/>
      <c r="Q355" s="90"/>
      <c r="R355" s="224"/>
      <c r="S355" s="90"/>
    </row>
    <row r="356" spans="1:19" x14ac:dyDescent="0.2">
      <c r="A356" s="216"/>
      <c r="B356" s="225"/>
      <c r="C356" s="227"/>
      <c r="D356" s="226"/>
      <c r="E356" s="226"/>
      <c r="F356" s="226"/>
      <c r="G356" s="226"/>
      <c r="H356" s="226"/>
      <c r="I356" s="227"/>
      <c r="J356" s="227"/>
      <c r="K356" s="226"/>
      <c r="L356" s="226"/>
      <c r="M356" s="226"/>
      <c r="N356" s="227"/>
      <c r="O356" s="227"/>
      <c r="P356" s="227"/>
      <c r="Q356" s="226"/>
      <c r="R356" s="227"/>
      <c r="S356" s="230"/>
    </row>
    <row r="357" spans="1:19" x14ac:dyDescent="0.2">
      <c r="A357" s="216"/>
      <c r="B357" s="214"/>
      <c r="C357" s="221"/>
      <c r="D357" s="222"/>
      <c r="E357" s="222"/>
      <c r="F357" s="222"/>
      <c r="G357" s="222"/>
      <c r="H357" s="222"/>
      <c r="I357" s="221"/>
      <c r="J357" s="221"/>
      <c r="K357" s="222"/>
      <c r="L357" s="222"/>
      <c r="M357" s="222"/>
      <c r="N357" s="221"/>
      <c r="O357" s="221"/>
      <c r="P357" s="221"/>
      <c r="Q357" s="222"/>
      <c r="R357" s="221"/>
      <c r="S357" s="90"/>
    </row>
    <row r="358" spans="1:19" x14ac:dyDescent="0.2">
      <c r="A358" s="216"/>
      <c r="B358" s="223"/>
      <c r="C358" s="224"/>
      <c r="D358" s="90"/>
      <c r="E358" s="90"/>
      <c r="F358" s="90"/>
      <c r="G358" s="90"/>
      <c r="H358" s="90"/>
      <c r="I358" s="224"/>
      <c r="J358" s="224"/>
      <c r="K358" s="90"/>
      <c r="L358" s="90"/>
      <c r="M358" s="90"/>
      <c r="N358" s="224"/>
      <c r="O358" s="224"/>
      <c r="P358" s="224"/>
      <c r="Q358" s="90"/>
      <c r="R358" s="224"/>
      <c r="S358" s="90"/>
    </row>
    <row r="359" spans="1:19" x14ac:dyDescent="0.2">
      <c r="A359" s="216"/>
      <c r="B359" s="225"/>
      <c r="C359" s="227"/>
      <c r="D359" s="226"/>
      <c r="E359" s="226"/>
      <c r="F359" s="226"/>
      <c r="G359" s="226"/>
      <c r="H359" s="226"/>
      <c r="I359" s="227"/>
      <c r="J359" s="227"/>
      <c r="K359" s="226"/>
      <c r="L359" s="226"/>
      <c r="M359" s="226"/>
      <c r="N359" s="227"/>
      <c r="O359" s="227"/>
      <c r="P359" s="227"/>
      <c r="Q359" s="226"/>
      <c r="R359" s="227"/>
      <c r="S359" s="230"/>
    </row>
    <row r="360" spans="1:19" x14ac:dyDescent="0.2">
      <c r="A360" s="216"/>
      <c r="B360" s="214"/>
      <c r="C360" s="221"/>
      <c r="D360" s="222"/>
      <c r="E360" s="222"/>
      <c r="F360" s="222"/>
      <c r="G360" s="222"/>
      <c r="H360" s="222"/>
      <c r="I360" s="221"/>
      <c r="J360" s="221"/>
      <c r="K360" s="222"/>
      <c r="L360" s="222"/>
      <c r="M360" s="222"/>
      <c r="N360" s="221"/>
      <c r="O360" s="221"/>
      <c r="P360" s="221"/>
      <c r="Q360" s="222"/>
      <c r="R360" s="221"/>
      <c r="S360" s="90"/>
    </row>
    <row r="361" spans="1:19" x14ac:dyDescent="0.2">
      <c r="A361" s="216"/>
      <c r="B361" s="223"/>
      <c r="C361" s="224"/>
      <c r="D361" s="90"/>
      <c r="E361" s="90"/>
      <c r="F361" s="90"/>
      <c r="G361" s="90"/>
      <c r="H361" s="90"/>
      <c r="I361" s="224"/>
      <c r="J361" s="224"/>
      <c r="K361" s="90"/>
      <c r="L361" s="90"/>
      <c r="M361" s="90"/>
      <c r="N361" s="224"/>
      <c r="O361" s="224"/>
      <c r="P361" s="224"/>
      <c r="Q361" s="90"/>
      <c r="R361" s="224"/>
      <c r="S361" s="90"/>
    </row>
    <row r="362" spans="1:19" x14ac:dyDescent="0.2">
      <c r="A362" s="534"/>
      <c r="B362" s="225"/>
      <c r="C362" s="227"/>
      <c r="D362" s="226"/>
      <c r="E362" s="226"/>
      <c r="F362" s="226"/>
      <c r="G362" s="226"/>
      <c r="H362" s="226"/>
      <c r="I362" s="227"/>
      <c r="J362" s="227"/>
      <c r="K362" s="226"/>
      <c r="L362" s="226"/>
      <c r="M362" s="226"/>
      <c r="N362" s="227"/>
      <c r="O362" s="227"/>
      <c r="P362" s="227"/>
      <c r="Q362" s="226"/>
      <c r="R362" s="227"/>
      <c r="S362" s="230"/>
    </row>
    <row r="363" spans="1:19" x14ac:dyDescent="0.2">
      <c r="A363" s="213"/>
    </row>
    <row r="369" spans="19:19" x14ac:dyDescent="0.2">
      <c r="S369" s="212"/>
    </row>
    <row r="370" spans="19:19" x14ac:dyDescent="0.2">
      <c r="S370" s="212"/>
    </row>
    <row r="371" spans="19:19" x14ac:dyDescent="0.2">
      <c r="S371" s="212"/>
    </row>
    <row r="372" spans="19:19" x14ac:dyDescent="0.2">
      <c r="S372" s="212"/>
    </row>
    <row r="373" spans="19:19" x14ac:dyDescent="0.2">
      <c r="S373" s="212"/>
    </row>
    <row r="374" spans="19:19" x14ac:dyDescent="0.2">
      <c r="S374" s="212"/>
    </row>
    <row r="375" spans="19:19" x14ac:dyDescent="0.2">
      <c r="S375" s="212"/>
    </row>
    <row r="376" spans="19:19" x14ac:dyDescent="0.2">
      <c r="S376" s="212"/>
    </row>
    <row r="377" spans="19:19" x14ac:dyDescent="0.2">
      <c r="S377" s="212"/>
    </row>
    <row r="378" spans="19:19" x14ac:dyDescent="0.2">
      <c r="S378" s="212"/>
    </row>
    <row r="379" spans="19:19" x14ac:dyDescent="0.2">
      <c r="S379" s="212"/>
    </row>
    <row r="380" spans="19:19" x14ac:dyDescent="0.2">
      <c r="S380" s="212"/>
    </row>
    <row r="381" spans="19:19" x14ac:dyDescent="0.2">
      <c r="S381" s="212"/>
    </row>
    <row r="382" spans="19:19" x14ac:dyDescent="0.2">
      <c r="S382" s="212"/>
    </row>
    <row r="383" spans="19:19" x14ac:dyDescent="0.2">
      <c r="S383" s="212"/>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FF00"/>
  </sheetPr>
  <dimension ref="A1:V131"/>
  <sheetViews>
    <sheetView workbookViewId="0">
      <selection sqref="A1:XFD1048576"/>
    </sheetView>
  </sheetViews>
  <sheetFormatPr defaultRowHeight="15.75" x14ac:dyDescent="0.25"/>
  <cols>
    <col min="1" max="1" width="7.125" style="210" customWidth="1"/>
    <col min="2" max="2" width="18.375" style="47" customWidth="1"/>
    <col min="3" max="8" width="12.125" style="47" customWidth="1"/>
    <col min="9" max="9" width="8.875" style="47" customWidth="1"/>
    <col min="10" max="14" width="9.5" style="47" customWidth="1"/>
    <col min="15" max="15" width="8.875" style="47" customWidth="1"/>
    <col min="16" max="17" width="18.875" style="47" customWidth="1"/>
    <col min="18" max="18" width="8.875" style="47" customWidth="1"/>
    <col min="19" max="19" width="11" style="47" customWidth="1"/>
    <col min="20" max="20" width="8.875" style="47" customWidth="1"/>
    <col min="21" max="21" width="11" style="47" customWidth="1"/>
    <col min="22" max="22" width="8.875" style="47" customWidth="1"/>
    <col min="23" max="23" width="11" bestFit="1" customWidth="1"/>
  </cols>
  <sheetData>
    <row r="1" spans="1:22" x14ac:dyDescent="0.25">
      <c r="A1" s="209"/>
    </row>
    <row r="3" spans="1:22" x14ac:dyDescent="0.25">
      <c r="A3" s="498"/>
      <c r="B3" s="499"/>
      <c r="C3" s="504"/>
      <c r="D3" s="500"/>
      <c r="E3" s="500"/>
      <c r="F3" s="500"/>
      <c r="G3" s="500"/>
      <c r="H3" s="500"/>
      <c r="I3" s="500"/>
      <c r="J3" s="500"/>
      <c r="K3" s="500"/>
      <c r="L3" s="500"/>
      <c r="M3" s="500"/>
      <c r="N3" s="500"/>
      <c r="O3" s="500"/>
      <c r="P3" s="500"/>
      <c r="Q3" s="500"/>
      <c r="R3" s="500"/>
      <c r="S3" s="528"/>
      <c r="T3"/>
      <c r="U3"/>
      <c r="V3"/>
    </row>
    <row r="4" spans="1:22" x14ac:dyDescent="0.25">
      <c r="A4" s="502"/>
      <c r="B4" s="503"/>
      <c r="C4" s="504"/>
      <c r="D4" s="500"/>
      <c r="E4" s="500"/>
      <c r="F4" s="500"/>
      <c r="G4" s="500"/>
      <c r="H4" s="500"/>
      <c r="I4" s="504"/>
      <c r="J4" s="504"/>
      <c r="K4" s="500"/>
      <c r="L4" s="500"/>
      <c r="M4" s="500"/>
      <c r="N4" s="500"/>
      <c r="O4" s="504"/>
      <c r="P4" s="504"/>
      <c r="Q4" s="500"/>
      <c r="R4" s="504"/>
      <c r="S4" s="495"/>
      <c r="T4"/>
      <c r="U4"/>
      <c r="V4"/>
    </row>
    <row r="5" spans="1:22" x14ac:dyDescent="0.25">
      <c r="A5" s="498"/>
      <c r="B5" s="504"/>
      <c r="C5" s="504"/>
      <c r="D5" s="501"/>
      <c r="E5" s="501"/>
      <c r="F5" s="501"/>
      <c r="G5" s="501"/>
      <c r="H5" s="501"/>
      <c r="I5" s="505"/>
      <c r="J5" s="504"/>
      <c r="K5" s="501"/>
      <c r="L5" s="501"/>
      <c r="M5" s="501"/>
      <c r="N5" s="501"/>
      <c r="O5" s="505"/>
      <c r="P5" s="504"/>
      <c r="Q5" s="501"/>
      <c r="R5" s="505"/>
      <c r="S5" s="506"/>
      <c r="T5"/>
      <c r="U5"/>
      <c r="V5"/>
    </row>
    <row r="6" spans="1:22" x14ac:dyDescent="0.25">
      <c r="A6" s="498"/>
      <c r="B6" s="504"/>
      <c r="C6" s="504"/>
      <c r="D6" s="501"/>
      <c r="E6" s="501"/>
      <c r="F6" s="501"/>
      <c r="G6" s="501"/>
      <c r="H6" s="501"/>
      <c r="I6" s="504"/>
      <c r="J6" s="504"/>
      <c r="K6" s="501"/>
      <c r="L6" s="501"/>
      <c r="M6" s="501"/>
      <c r="N6" s="501"/>
      <c r="O6" s="504"/>
      <c r="P6" s="504"/>
      <c r="Q6" s="501"/>
      <c r="R6" s="504"/>
      <c r="S6" s="495"/>
      <c r="T6"/>
      <c r="U6"/>
      <c r="V6"/>
    </row>
    <row r="7" spans="1:22" x14ac:dyDescent="0.25">
      <c r="A7" s="502"/>
      <c r="B7" s="507"/>
      <c r="C7" s="507"/>
      <c r="D7" s="508"/>
      <c r="E7" s="508"/>
      <c r="F7" s="508"/>
      <c r="G7" s="508"/>
      <c r="H7" s="508"/>
      <c r="I7" s="507"/>
      <c r="J7" s="507"/>
      <c r="K7" s="508"/>
      <c r="L7" s="508"/>
      <c r="M7" s="508"/>
      <c r="N7" s="508"/>
      <c r="O7" s="507"/>
      <c r="P7" s="507"/>
      <c r="Q7" s="508"/>
      <c r="R7" s="507"/>
      <c r="S7" s="496"/>
      <c r="T7"/>
      <c r="U7"/>
      <c r="V7"/>
    </row>
    <row r="8" spans="1:22" x14ac:dyDescent="0.25">
      <c r="A8" s="502"/>
      <c r="B8" s="507"/>
      <c r="C8" s="507"/>
      <c r="D8" s="508"/>
      <c r="E8" s="508"/>
      <c r="F8" s="508"/>
      <c r="G8" s="508"/>
      <c r="H8" s="508"/>
      <c r="I8" s="507"/>
      <c r="J8" s="507"/>
      <c r="K8" s="508"/>
      <c r="L8" s="508"/>
      <c r="M8" s="508"/>
      <c r="N8" s="508"/>
      <c r="O8" s="507"/>
      <c r="P8" s="507"/>
      <c r="Q8" s="508"/>
      <c r="R8" s="507"/>
      <c r="S8" s="496"/>
      <c r="T8"/>
      <c r="U8"/>
      <c r="V8"/>
    </row>
    <row r="9" spans="1:22" x14ac:dyDescent="0.25">
      <c r="A9" s="502"/>
      <c r="B9" s="507"/>
      <c r="C9" s="507"/>
      <c r="D9" s="508"/>
      <c r="E9" s="508"/>
      <c r="F9" s="508"/>
      <c r="G9" s="508"/>
      <c r="H9" s="508"/>
      <c r="I9" s="507"/>
      <c r="J9" s="507"/>
      <c r="K9" s="508"/>
      <c r="L9" s="508"/>
      <c r="M9" s="508"/>
      <c r="N9" s="508"/>
      <c r="O9" s="507"/>
      <c r="P9" s="507"/>
      <c r="Q9" s="508"/>
      <c r="R9" s="507"/>
      <c r="S9" s="496"/>
      <c r="T9"/>
      <c r="U9"/>
      <c r="V9"/>
    </row>
    <row r="10" spans="1:22" x14ac:dyDescent="0.25">
      <c r="A10" s="502"/>
      <c r="B10" s="507"/>
      <c r="C10" s="507"/>
      <c r="D10" s="508"/>
      <c r="E10" s="508"/>
      <c r="F10" s="508"/>
      <c r="G10" s="508"/>
      <c r="H10" s="508"/>
      <c r="I10" s="507"/>
      <c r="J10" s="507"/>
      <c r="K10" s="508"/>
      <c r="L10" s="508"/>
      <c r="M10" s="508"/>
      <c r="N10" s="508"/>
      <c r="O10" s="507"/>
      <c r="P10" s="507"/>
      <c r="Q10" s="508"/>
      <c r="R10" s="507"/>
      <c r="S10" s="496"/>
      <c r="T10"/>
      <c r="U10"/>
      <c r="V10"/>
    </row>
    <row r="11" spans="1:22" x14ac:dyDescent="0.25">
      <c r="A11" s="502"/>
      <c r="B11" s="507"/>
      <c r="C11" s="507"/>
      <c r="D11" s="508"/>
      <c r="E11" s="508"/>
      <c r="F11" s="508"/>
      <c r="G11" s="508"/>
      <c r="H11" s="508"/>
      <c r="I11" s="507"/>
      <c r="J11" s="507"/>
      <c r="K11" s="508"/>
      <c r="L11" s="508"/>
      <c r="M11" s="508"/>
      <c r="N11" s="508"/>
      <c r="O11" s="507"/>
      <c r="P11" s="507"/>
      <c r="Q11" s="508"/>
      <c r="R11" s="507"/>
      <c r="S11" s="496"/>
      <c r="T11"/>
      <c r="U11"/>
      <c r="V11"/>
    </row>
    <row r="12" spans="1:22" x14ac:dyDescent="0.25">
      <c r="A12" s="502"/>
      <c r="B12" s="507"/>
      <c r="C12" s="507"/>
      <c r="D12" s="508"/>
      <c r="E12" s="508"/>
      <c r="F12" s="508"/>
      <c r="G12" s="508"/>
      <c r="H12" s="508"/>
      <c r="I12" s="507"/>
      <c r="J12" s="507"/>
      <c r="K12" s="508"/>
      <c r="L12" s="508"/>
      <c r="M12" s="508"/>
      <c r="N12" s="508"/>
      <c r="O12" s="507"/>
      <c r="P12" s="507"/>
      <c r="Q12" s="508"/>
      <c r="R12" s="507"/>
      <c r="S12" s="496"/>
      <c r="T12"/>
      <c r="U12"/>
      <c r="V12"/>
    </row>
    <row r="13" spans="1:22" x14ac:dyDescent="0.25">
      <c r="A13" s="498"/>
      <c r="B13" s="504"/>
      <c r="C13" s="504"/>
      <c r="D13" s="501"/>
      <c r="E13" s="501"/>
      <c r="F13" s="501"/>
      <c r="G13" s="501"/>
      <c r="H13" s="501"/>
      <c r="I13" s="504"/>
      <c r="J13" s="504"/>
      <c r="K13" s="501"/>
      <c r="L13" s="501"/>
      <c r="M13" s="501"/>
      <c r="N13" s="501"/>
      <c r="O13" s="504"/>
      <c r="P13" s="504"/>
      <c r="Q13" s="501"/>
      <c r="R13" s="504"/>
      <c r="S13" s="495"/>
      <c r="T13"/>
      <c r="U13"/>
      <c r="V13"/>
    </row>
    <row r="14" spans="1:22" x14ac:dyDescent="0.25">
      <c r="A14" s="502"/>
      <c r="B14" s="507"/>
      <c r="C14" s="507"/>
      <c r="D14" s="508"/>
      <c r="E14" s="508"/>
      <c r="F14" s="508"/>
      <c r="G14" s="508"/>
      <c r="H14" s="508"/>
      <c r="I14" s="507"/>
      <c r="J14" s="507"/>
      <c r="K14" s="508"/>
      <c r="L14" s="508"/>
      <c r="M14" s="508"/>
      <c r="N14" s="508"/>
      <c r="O14" s="507"/>
      <c r="P14" s="507"/>
      <c r="Q14" s="508"/>
      <c r="R14" s="507"/>
      <c r="S14" s="496"/>
      <c r="T14"/>
      <c r="U14"/>
      <c r="V14"/>
    </row>
    <row r="15" spans="1:22" x14ac:dyDescent="0.25">
      <c r="A15" s="502"/>
      <c r="B15" s="507"/>
      <c r="C15" s="507"/>
      <c r="D15" s="508"/>
      <c r="E15" s="508"/>
      <c r="F15" s="508"/>
      <c r="G15" s="508"/>
      <c r="H15" s="508"/>
      <c r="I15" s="507"/>
      <c r="J15" s="507"/>
      <c r="K15" s="508"/>
      <c r="L15" s="508"/>
      <c r="M15" s="508"/>
      <c r="N15" s="508"/>
      <c r="O15" s="507"/>
      <c r="P15" s="507"/>
      <c r="Q15" s="508"/>
      <c r="R15" s="507"/>
      <c r="S15" s="496"/>
      <c r="T15"/>
      <c r="U15"/>
      <c r="V15"/>
    </row>
    <row r="16" spans="1:22" x14ac:dyDescent="0.25">
      <c r="A16" s="502"/>
      <c r="B16" s="507"/>
      <c r="C16" s="507"/>
      <c r="D16" s="508"/>
      <c r="E16" s="508"/>
      <c r="F16" s="508"/>
      <c r="G16" s="508"/>
      <c r="H16" s="508"/>
      <c r="I16" s="507"/>
      <c r="J16" s="507"/>
      <c r="K16" s="508"/>
      <c r="L16" s="508"/>
      <c r="M16" s="508"/>
      <c r="N16" s="508"/>
      <c r="O16" s="507"/>
      <c r="P16" s="507"/>
      <c r="Q16" s="508"/>
      <c r="R16" s="507"/>
      <c r="S16" s="496"/>
      <c r="T16"/>
      <c r="U16"/>
      <c r="V16"/>
    </row>
    <row r="17" spans="1:22" x14ac:dyDescent="0.25">
      <c r="A17" s="502"/>
      <c r="B17" s="507"/>
      <c r="C17" s="507"/>
      <c r="D17" s="508"/>
      <c r="E17" s="508"/>
      <c r="F17" s="508"/>
      <c r="G17" s="508"/>
      <c r="H17" s="508"/>
      <c r="I17" s="507"/>
      <c r="J17" s="507"/>
      <c r="K17" s="508"/>
      <c r="L17" s="508"/>
      <c r="M17" s="508"/>
      <c r="N17" s="508"/>
      <c r="O17" s="507"/>
      <c r="P17" s="507"/>
      <c r="Q17" s="508"/>
      <c r="R17" s="507"/>
      <c r="S17" s="496"/>
      <c r="T17"/>
      <c r="U17"/>
      <c r="V17"/>
    </row>
    <row r="18" spans="1:22" x14ac:dyDescent="0.25">
      <c r="A18" s="502"/>
      <c r="B18" s="507"/>
      <c r="C18" s="507"/>
      <c r="D18" s="508"/>
      <c r="E18" s="508"/>
      <c r="F18" s="508"/>
      <c r="G18" s="508"/>
      <c r="H18" s="508"/>
      <c r="I18" s="507"/>
      <c r="J18" s="507"/>
      <c r="K18" s="508"/>
      <c r="L18" s="508"/>
      <c r="M18" s="508"/>
      <c r="N18" s="508"/>
      <c r="O18" s="507"/>
      <c r="P18" s="507"/>
      <c r="Q18" s="508"/>
      <c r="R18" s="507"/>
      <c r="S18" s="496"/>
      <c r="T18"/>
      <c r="U18"/>
      <c r="V18"/>
    </row>
    <row r="19" spans="1:22" x14ac:dyDescent="0.25">
      <c r="A19" s="502"/>
      <c r="B19" s="507"/>
      <c r="C19" s="507"/>
      <c r="D19" s="508"/>
      <c r="E19" s="508"/>
      <c r="F19" s="508"/>
      <c r="G19" s="508"/>
      <c r="H19" s="508"/>
      <c r="I19" s="507"/>
      <c r="J19" s="507"/>
      <c r="K19" s="508"/>
      <c r="L19" s="508"/>
      <c r="M19" s="508"/>
      <c r="N19" s="508"/>
      <c r="O19" s="507"/>
      <c r="P19" s="507"/>
      <c r="Q19" s="508"/>
      <c r="R19" s="507"/>
      <c r="S19" s="496"/>
      <c r="T19"/>
      <c r="U19"/>
      <c r="V19"/>
    </row>
    <row r="20" spans="1:22" x14ac:dyDescent="0.25">
      <c r="A20" s="498"/>
      <c r="B20" s="504"/>
      <c r="C20" s="504"/>
      <c r="D20" s="501"/>
      <c r="E20" s="501"/>
      <c r="F20" s="501"/>
      <c r="G20" s="501"/>
      <c r="H20" s="501"/>
      <c r="I20" s="504"/>
      <c r="J20" s="504"/>
      <c r="K20" s="501"/>
      <c r="L20" s="501"/>
      <c r="M20" s="501"/>
      <c r="N20" s="501"/>
      <c r="O20" s="504"/>
      <c r="P20" s="504"/>
      <c r="Q20" s="501"/>
      <c r="R20" s="504"/>
      <c r="S20" s="495"/>
      <c r="T20"/>
      <c r="U20"/>
      <c r="V20"/>
    </row>
    <row r="21" spans="1:22" x14ac:dyDescent="0.25">
      <c r="A21" s="502"/>
      <c r="B21" s="507"/>
      <c r="C21" s="507"/>
      <c r="D21" s="508"/>
      <c r="E21" s="508"/>
      <c r="F21" s="508"/>
      <c r="G21" s="508"/>
      <c r="H21" s="508"/>
      <c r="I21" s="507"/>
      <c r="J21" s="507"/>
      <c r="K21" s="508"/>
      <c r="L21" s="508"/>
      <c r="M21" s="508"/>
      <c r="N21" s="508"/>
      <c r="O21" s="507"/>
      <c r="P21" s="507"/>
      <c r="Q21" s="508"/>
      <c r="R21" s="507"/>
      <c r="S21" s="496"/>
      <c r="T21"/>
      <c r="U21"/>
      <c r="V21"/>
    </row>
    <row r="22" spans="1:22" x14ac:dyDescent="0.25">
      <c r="A22" s="502"/>
      <c r="B22" s="507"/>
      <c r="C22" s="507"/>
      <c r="D22" s="508"/>
      <c r="E22" s="508"/>
      <c r="F22" s="508"/>
      <c r="G22" s="508"/>
      <c r="H22" s="508"/>
      <c r="I22" s="507"/>
      <c r="J22" s="507"/>
      <c r="K22" s="508"/>
      <c r="L22" s="508"/>
      <c r="M22" s="508"/>
      <c r="N22" s="508"/>
      <c r="O22" s="507"/>
      <c r="P22" s="507"/>
      <c r="Q22" s="508"/>
      <c r="R22" s="507"/>
      <c r="S22" s="496"/>
      <c r="T22"/>
      <c r="U22"/>
      <c r="V22"/>
    </row>
    <row r="23" spans="1:22" x14ac:dyDescent="0.25">
      <c r="A23" s="502"/>
      <c r="B23" s="507"/>
      <c r="C23" s="507"/>
      <c r="D23" s="508"/>
      <c r="E23" s="508"/>
      <c r="F23" s="508"/>
      <c r="G23" s="508"/>
      <c r="H23" s="508"/>
      <c r="I23" s="507"/>
      <c r="J23" s="507"/>
      <c r="K23" s="508"/>
      <c r="L23" s="508"/>
      <c r="M23" s="508"/>
      <c r="N23" s="508"/>
      <c r="O23" s="507"/>
      <c r="P23" s="507"/>
      <c r="Q23" s="508"/>
      <c r="R23" s="507"/>
      <c r="S23" s="496"/>
      <c r="T23"/>
      <c r="U23"/>
      <c r="V23"/>
    </row>
    <row r="24" spans="1:22" x14ac:dyDescent="0.25">
      <c r="A24" s="502"/>
      <c r="B24" s="507"/>
      <c r="C24" s="507"/>
      <c r="D24" s="508"/>
      <c r="E24" s="508"/>
      <c r="F24" s="508"/>
      <c r="G24" s="508"/>
      <c r="H24" s="508"/>
      <c r="I24" s="507"/>
      <c r="J24" s="507"/>
      <c r="K24" s="508"/>
      <c r="L24" s="508"/>
      <c r="M24" s="508"/>
      <c r="N24" s="508"/>
      <c r="O24" s="507"/>
      <c r="P24" s="507"/>
      <c r="Q24" s="508"/>
      <c r="R24" s="507"/>
      <c r="S24" s="496"/>
      <c r="T24"/>
      <c r="U24"/>
      <c r="V24"/>
    </row>
    <row r="25" spans="1:22" x14ac:dyDescent="0.25">
      <c r="A25" s="502"/>
      <c r="B25" s="507"/>
      <c r="C25" s="507"/>
      <c r="D25" s="508"/>
      <c r="E25" s="508"/>
      <c r="F25" s="508"/>
      <c r="G25" s="508"/>
      <c r="H25" s="508"/>
      <c r="I25" s="507"/>
      <c r="J25" s="507"/>
      <c r="K25" s="508"/>
      <c r="L25" s="508"/>
      <c r="M25" s="508"/>
      <c r="N25" s="508"/>
      <c r="O25" s="507"/>
      <c r="P25" s="507"/>
      <c r="Q25" s="508"/>
      <c r="R25" s="507"/>
      <c r="S25" s="496"/>
      <c r="T25"/>
      <c r="U25"/>
      <c r="V25"/>
    </row>
    <row r="26" spans="1:22" x14ac:dyDescent="0.25">
      <c r="A26" s="502"/>
      <c r="B26" s="507"/>
      <c r="C26" s="507"/>
      <c r="D26" s="508"/>
      <c r="E26" s="508"/>
      <c r="F26" s="508"/>
      <c r="G26" s="508"/>
      <c r="H26" s="508"/>
      <c r="I26" s="507"/>
      <c r="J26" s="507"/>
      <c r="K26" s="508"/>
      <c r="L26" s="508"/>
      <c r="M26" s="508"/>
      <c r="N26" s="508"/>
      <c r="O26" s="507"/>
      <c r="P26" s="507"/>
      <c r="Q26" s="508"/>
      <c r="R26" s="507"/>
      <c r="S26" s="496"/>
      <c r="T26"/>
      <c r="U26"/>
      <c r="V26"/>
    </row>
    <row r="27" spans="1:22" x14ac:dyDescent="0.25">
      <c r="A27" s="498"/>
      <c r="B27" s="504"/>
      <c r="C27" s="504"/>
      <c r="D27" s="501"/>
      <c r="E27" s="501"/>
      <c r="F27" s="501"/>
      <c r="G27" s="501"/>
      <c r="H27" s="501"/>
      <c r="I27" s="504"/>
      <c r="J27" s="504"/>
      <c r="K27" s="501"/>
      <c r="L27" s="501"/>
      <c r="M27" s="501"/>
      <c r="N27" s="501"/>
      <c r="O27" s="504"/>
      <c r="P27" s="504"/>
      <c r="Q27" s="501"/>
      <c r="R27" s="504"/>
      <c r="S27" s="495"/>
      <c r="T27"/>
      <c r="U27"/>
      <c r="V27"/>
    </row>
    <row r="28" spans="1:22" x14ac:dyDescent="0.25">
      <c r="A28" s="502"/>
      <c r="B28" s="507"/>
      <c r="C28" s="507"/>
      <c r="D28" s="508"/>
      <c r="E28" s="508"/>
      <c r="F28" s="508"/>
      <c r="G28" s="508"/>
      <c r="H28" s="508"/>
      <c r="I28" s="507"/>
      <c r="J28" s="507"/>
      <c r="K28" s="508"/>
      <c r="L28" s="508"/>
      <c r="M28" s="508"/>
      <c r="N28" s="508"/>
      <c r="O28" s="507"/>
      <c r="P28" s="507"/>
      <c r="Q28" s="508"/>
      <c r="R28" s="507"/>
      <c r="S28" s="496"/>
      <c r="T28"/>
      <c r="U28"/>
      <c r="V28"/>
    </row>
    <row r="29" spans="1:22" x14ac:dyDescent="0.25">
      <c r="A29" s="502"/>
      <c r="B29" s="507"/>
      <c r="C29" s="507"/>
      <c r="D29" s="508"/>
      <c r="E29" s="508"/>
      <c r="F29" s="508"/>
      <c r="G29" s="508"/>
      <c r="H29" s="508"/>
      <c r="I29" s="507"/>
      <c r="J29" s="507"/>
      <c r="K29" s="508"/>
      <c r="L29" s="508"/>
      <c r="M29" s="508"/>
      <c r="N29" s="508"/>
      <c r="O29" s="507"/>
      <c r="P29" s="507"/>
      <c r="Q29" s="508"/>
      <c r="R29" s="507"/>
      <c r="S29" s="496"/>
      <c r="T29"/>
      <c r="U29"/>
      <c r="V29"/>
    </row>
    <row r="30" spans="1:22" x14ac:dyDescent="0.25">
      <c r="A30" s="502"/>
      <c r="B30" s="507"/>
      <c r="C30" s="507"/>
      <c r="D30" s="508"/>
      <c r="E30" s="508"/>
      <c r="F30" s="508"/>
      <c r="G30" s="508"/>
      <c r="H30" s="508"/>
      <c r="I30" s="507"/>
      <c r="J30" s="507"/>
      <c r="K30" s="508"/>
      <c r="L30" s="508"/>
      <c r="M30" s="508"/>
      <c r="N30" s="508"/>
      <c r="O30" s="507"/>
      <c r="P30" s="507"/>
      <c r="Q30" s="508"/>
      <c r="R30" s="507"/>
      <c r="S30" s="496"/>
      <c r="T30"/>
      <c r="U30"/>
      <c r="V30"/>
    </row>
    <row r="31" spans="1:22" x14ac:dyDescent="0.25">
      <c r="A31" s="502"/>
      <c r="B31" s="507"/>
      <c r="C31" s="507"/>
      <c r="D31" s="508"/>
      <c r="E31" s="508"/>
      <c r="F31" s="508"/>
      <c r="G31" s="508"/>
      <c r="H31" s="508"/>
      <c r="I31" s="507"/>
      <c r="J31" s="507"/>
      <c r="K31" s="508"/>
      <c r="L31" s="508"/>
      <c r="M31" s="508"/>
      <c r="N31" s="508"/>
      <c r="O31" s="507"/>
      <c r="P31" s="507"/>
      <c r="Q31" s="508"/>
      <c r="R31" s="507"/>
      <c r="S31" s="496"/>
      <c r="T31"/>
      <c r="U31"/>
      <c r="V31"/>
    </row>
    <row r="32" spans="1:22" x14ac:dyDescent="0.25">
      <c r="A32" s="502"/>
      <c r="B32" s="507"/>
      <c r="C32" s="507"/>
      <c r="D32" s="508"/>
      <c r="E32" s="508"/>
      <c r="F32" s="508"/>
      <c r="G32" s="508"/>
      <c r="H32" s="508"/>
      <c r="I32" s="507"/>
      <c r="J32" s="507"/>
      <c r="K32" s="508"/>
      <c r="L32" s="508"/>
      <c r="M32" s="508"/>
      <c r="N32" s="508"/>
      <c r="O32" s="507"/>
      <c r="P32" s="507"/>
      <c r="Q32" s="508"/>
      <c r="R32" s="507"/>
      <c r="S32" s="496"/>
      <c r="T32"/>
      <c r="U32"/>
      <c r="V32"/>
    </row>
    <row r="33" spans="1:22" x14ac:dyDescent="0.25">
      <c r="A33" s="502"/>
      <c r="B33" s="507"/>
      <c r="C33" s="507"/>
      <c r="D33" s="508"/>
      <c r="E33" s="508"/>
      <c r="F33" s="508"/>
      <c r="G33" s="508"/>
      <c r="H33" s="508"/>
      <c r="I33" s="507"/>
      <c r="J33" s="507"/>
      <c r="K33" s="508"/>
      <c r="L33" s="508"/>
      <c r="M33" s="508"/>
      <c r="N33" s="508"/>
      <c r="O33" s="507"/>
      <c r="P33" s="507"/>
      <c r="Q33" s="508"/>
      <c r="R33" s="507"/>
      <c r="S33" s="496"/>
      <c r="T33"/>
      <c r="U33"/>
      <c r="V33"/>
    </row>
    <row r="34" spans="1:22" x14ac:dyDescent="0.25">
      <c r="A34" s="498"/>
      <c r="B34" s="504"/>
      <c r="C34" s="504"/>
      <c r="D34" s="501"/>
      <c r="E34" s="501"/>
      <c r="F34" s="501"/>
      <c r="G34" s="501"/>
      <c r="H34" s="501"/>
      <c r="I34" s="504"/>
      <c r="J34" s="504"/>
      <c r="K34" s="501"/>
      <c r="L34" s="501"/>
      <c r="M34" s="501"/>
      <c r="N34" s="501"/>
      <c r="O34" s="504"/>
      <c r="P34" s="504"/>
      <c r="Q34" s="501"/>
      <c r="R34" s="504"/>
      <c r="S34" s="495"/>
      <c r="T34"/>
      <c r="U34"/>
      <c r="V34"/>
    </row>
    <row r="35" spans="1:22" x14ac:dyDescent="0.25">
      <c r="A35" s="502"/>
      <c r="B35" s="507"/>
      <c r="C35" s="507"/>
      <c r="D35" s="508"/>
      <c r="E35" s="508"/>
      <c r="F35" s="508"/>
      <c r="G35" s="508"/>
      <c r="H35" s="508"/>
      <c r="I35" s="507"/>
      <c r="J35" s="507"/>
      <c r="K35" s="508"/>
      <c r="L35" s="508"/>
      <c r="M35" s="508"/>
      <c r="N35" s="508"/>
      <c r="O35" s="507"/>
      <c r="P35" s="507"/>
      <c r="Q35" s="508"/>
      <c r="R35" s="507"/>
      <c r="S35" s="496"/>
      <c r="T35"/>
      <c r="U35"/>
      <c r="V35"/>
    </row>
    <row r="36" spans="1:22" x14ac:dyDescent="0.25">
      <c r="A36" s="502"/>
      <c r="B36" s="507"/>
      <c r="C36" s="507"/>
      <c r="D36" s="508"/>
      <c r="E36" s="508"/>
      <c r="F36" s="508"/>
      <c r="G36" s="508"/>
      <c r="H36" s="508"/>
      <c r="I36" s="507"/>
      <c r="J36" s="507"/>
      <c r="K36" s="508"/>
      <c r="L36" s="508"/>
      <c r="M36" s="508"/>
      <c r="N36" s="508"/>
      <c r="O36" s="507"/>
      <c r="P36" s="507"/>
      <c r="Q36" s="508"/>
      <c r="R36" s="507"/>
      <c r="S36" s="496"/>
      <c r="T36"/>
      <c r="U36"/>
      <c r="V36"/>
    </row>
    <row r="37" spans="1:22" x14ac:dyDescent="0.25">
      <c r="A37" s="502"/>
      <c r="B37" s="507"/>
      <c r="C37" s="507"/>
      <c r="D37" s="508"/>
      <c r="E37" s="508"/>
      <c r="F37" s="508"/>
      <c r="G37" s="508"/>
      <c r="H37" s="508"/>
      <c r="I37" s="507"/>
      <c r="J37" s="507"/>
      <c r="K37" s="508"/>
      <c r="L37" s="508"/>
      <c r="M37" s="508"/>
      <c r="N37" s="508"/>
      <c r="O37" s="507"/>
      <c r="P37" s="507"/>
      <c r="Q37" s="508"/>
      <c r="R37" s="507"/>
      <c r="S37" s="496"/>
      <c r="T37"/>
      <c r="U37"/>
      <c r="V37"/>
    </row>
    <row r="38" spans="1:22" x14ac:dyDescent="0.25">
      <c r="A38" s="502"/>
      <c r="B38" s="507"/>
      <c r="C38" s="507"/>
      <c r="D38" s="508"/>
      <c r="E38" s="508"/>
      <c r="F38" s="508"/>
      <c r="G38" s="508"/>
      <c r="H38" s="508"/>
      <c r="I38" s="507"/>
      <c r="J38" s="507"/>
      <c r="K38" s="508"/>
      <c r="L38" s="508"/>
      <c r="M38" s="508"/>
      <c r="N38" s="508"/>
      <c r="O38" s="507"/>
      <c r="P38" s="507"/>
      <c r="Q38" s="508"/>
      <c r="R38" s="507"/>
      <c r="S38" s="496"/>
      <c r="T38"/>
      <c r="U38"/>
      <c r="V38"/>
    </row>
    <row r="39" spans="1:22" x14ac:dyDescent="0.25">
      <c r="A39" s="502"/>
      <c r="B39" s="507"/>
      <c r="C39" s="507"/>
      <c r="D39" s="508"/>
      <c r="E39" s="508"/>
      <c r="F39" s="508"/>
      <c r="G39" s="508"/>
      <c r="H39" s="508"/>
      <c r="I39" s="507"/>
      <c r="J39" s="507"/>
      <c r="K39" s="508"/>
      <c r="L39" s="508"/>
      <c r="M39" s="508"/>
      <c r="N39" s="508"/>
      <c r="O39" s="507"/>
      <c r="P39" s="507"/>
      <c r="Q39" s="508"/>
      <c r="R39" s="507"/>
      <c r="S39" s="496"/>
      <c r="T39"/>
      <c r="U39"/>
      <c r="V39"/>
    </row>
    <row r="40" spans="1:22" x14ac:dyDescent="0.25">
      <c r="A40" s="502"/>
      <c r="B40" s="507"/>
      <c r="C40" s="507"/>
      <c r="D40" s="508"/>
      <c r="E40" s="508"/>
      <c r="F40" s="508"/>
      <c r="G40" s="508"/>
      <c r="H40" s="508"/>
      <c r="I40" s="507"/>
      <c r="J40" s="507"/>
      <c r="K40" s="508"/>
      <c r="L40" s="508"/>
      <c r="M40" s="508"/>
      <c r="N40" s="508"/>
      <c r="O40" s="507"/>
      <c r="P40" s="507"/>
      <c r="Q40" s="508"/>
      <c r="R40" s="507"/>
      <c r="S40" s="496"/>
      <c r="T40"/>
      <c r="U40"/>
      <c r="V40"/>
    </row>
    <row r="41" spans="1:22" x14ac:dyDescent="0.25">
      <c r="A41" s="498"/>
      <c r="B41" s="504"/>
      <c r="C41" s="504"/>
      <c r="D41" s="501"/>
      <c r="E41" s="501"/>
      <c r="F41" s="501"/>
      <c r="G41" s="501"/>
      <c r="H41" s="501"/>
      <c r="I41" s="504"/>
      <c r="J41" s="504"/>
      <c r="K41" s="501"/>
      <c r="L41" s="501"/>
      <c r="M41" s="501"/>
      <c r="N41" s="501"/>
      <c r="O41" s="504"/>
      <c r="P41" s="504"/>
      <c r="Q41" s="501"/>
      <c r="R41" s="504"/>
      <c r="S41" s="495"/>
      <c r="T41"/>
      <c r="U41"/>
      <c r="V41"/>
    </row>
    <row r="42" spans="1:22" x14ac:dyDescent="0.25">
      <c r="A42" s="502"/>
      <c r="B42" s="507"/>
      <c r="C42" s="507"/>
      <c r="D42" s="508"/>
      <c r="E42" s="508"/>
      <c r="F42" s="508"/>
      <c r="G42" s="508"/>
      <c r="H42" s="508"/>
      <c r="I42" s="507"/>
      <c r="J42" s="507"/>
      <c r="K42" s="508"/>
      <c r="L42" s="508"/>
      <c r="M42" s="508"/>
      <c r="N42" s="508"/>
      <c r="O42" s="507"/>
      <c r="P42" s="507"/>
      <c r="Q42" s="508"/>
      <c r="R42" s="507"/>
      <c r="S42" s="496"/>
      <c r="T42"/>
      <c r="U42"/>
      <c r="V42"/>
    </row>
    <row r="43" spans="1:22" x14ac:dyDescent="0.25">
      <c r="A43" s="502"/>
      <c r="B43" s="507"/>
      <c r="C43" s="507"/>
      <c r="D43" s="508"/>
      <c r="E43" s="508"/>
      <c r="F43" s="508"/>
      <c r="G43" s="508"/>
      <c r="H43" s="508"/>
      <c r="I43" s="507"/>
      <c r="J43" s="507"/>
      <c r="K43" s="508"/>
      <c r="L43" s="508"/>
      <c r="M43" s="508"/>
      <c r="N43" s="508"/>
      <c r="O43" s="507"/>
      <c r="P43" s="507"/>
      <c r="Q43" s="508"/>
      <c r="R43" s="507"/>
      <c r="S43" s="496"/>
      <c r="T43"/>
      <c r="U43"/>
      <c r="V43"/>
    </row>
    <row r="44" spans="1:22" x14ac:dyDescent="0.25">
      <c r="A44" s="502"/>
      <c r="B44" s="507"/>
      <c r="C44" s="507"/>
      <c r="D44" s="508"/>
      <c r="E44" s="508"/>
      <c r="F44" s="508"/>
      <c r="G44" s="508"/>
      <c r="H44" s="508"/>
      <c r="I44" s="507"/>
      <c r="J44" s="507"/>
      <c r="K44" s="508"/>
      <c r="L44" s="508"/>
      <c r="M44" s="508"/>
      <c r="N44" s="508"/>
      <c r="O44" s="507"/>
      <c r="P44" s="507"/>
      <c r="Q44" s="508"/>
      <c r="R44" s="507"/>
      <c r="S44" s="496"/>
      <c r="T44"/>
      <c r="U44"/>
      <c r="V44"/>
    </row>
    <row r="45" spans="1:22" x14ac:dyDescent="0.25">
      <c r="A45" s="502"/>
      <c r="B45" s="507"/>
      <c r="C45" s="507"/>
      <c r="D45" s="508"/>
      <c r="E45" s="508"/>
      <c r="F45" s="508"/>
      <c r="G45" s="508"/>
      <c r="H45" s="508"/>
      <c r="I45" s="507"/>
      <c r="J45" s="507"/>
      <c r="K45" s="508"/>
      <c r="L45" s="508"/>
      <c r="M45" s="508"/>
      <c r="N45" s="508"/>
      <c r="O45" s="507"/>
      <c r="P45" s="507"/>
      <c r="Q45" s="508"/>
      <c r="R45" s="507"/>
      <c r="S45" s="496"/>
      <c r="T45"/>
      <c r="U45"/>
      <c r="V45"/>
    </row>
    <row r="46" spans="1:22" x14ac:dyDescent="0.25">
      <c r="A46" s="502"/>
      <c r="B46" s="507"/>
      <c r="C46" s="507"/>
      <c r="D46" s="508"/>
      <c r="E46" s="508"/>
      <c r="F46" s="508"/>
      <c r="G46" s="508"/>
      <c r="H46" s="508"/>
      <c r="I46" s="507"/>
      <c r="J46" s="507"/>
      <c r="K46" s="508"/>
      <c r="L46" s="508"/>
      <c r="M46" s="508"/>
      <c r="N46" s="508"/>
      <c r="O46" s="507"/>
      <c r="P46" s="507"/>
      <c r="Q46" s="508"/>
      <c r="R46" s="507"/>
      <c r="S46" s="496"/>
      <c r="T46"/>
      <c r="U46"/>
      <c r="V46"/>
    </row>
    <row r="47" spans="1:22" x14ac:dyDescent="0.25">
      <c r="A47" s="502"/>
      <c r="B47" s="507"/>
      <c r="C47" s="507"/>
      <c r="D47" s="508"/>
      <c r="E47" s="508"/>
      <c r="F47" s="508"/>
      <c r="G47" s="508"/>
      <c r="H47" s="508"/>
      <c r="I47" s="507"/>
      <c r="J47" s="507"/>
      <c r="K47" s="508"/>
      <c r="L47" s="508"/>
      <c r="M47" s="508"/>
      <c r="N47" s="508"/>
      <c r="O47" s="507"/>
      <c r="P47" s="507"/>
      <c r="Q47" s="508"/>
      <c r="R47" s="507"/>
      <c r="S47" s="496"/>
      <c r="T47"/>
      <c r="U47"/>
      <c r="V47"/>
    </row>
    <row r="48" spans="1:22" x14ac:dyDescent="0.25">
      <c r="A48" s="498"/>
      <c r="B48" s="504"/>
      <c r="C48" s="504"/>
      <c r="D48" s="501"/>
      <c r="E48" s="501"/>
      <c r="F48" s="501"/>
      <c r="G48" s="501"/>
      <c r="H48" s="501"/>
      <c r="I48" s="504"/>
      <c r="J48" s="504"/>
      <c r="K48" s="501"/>
      <c r="L48" s="501"/>
      <c r="M48" s="501"/>
      <c r="N48" s="501"/>
      <c r="O48" s="504"/>
      <c r="P48" s="504"/>
      <c r="Q48" s="501"/>
      <c r="R48" s="504"/>
      <c r="S48" s="495"/>
      <c r="T48"/>
      <c r="U48"/>
      <c r="V48"/>
    </row>
    <row r="49" spans="1:22" x14ac:dyDescent="0.25">
      <c r="A49" s="502"/>
      <c r="B49" s="507"/>
      <c r="C49" s="507"/>
      <c r="D49" s="508"/>
      <c r="E49" s="508"/>
      <c r="F49" s="508"/>
      <c r="G49" s="508"/>
      <c r="H49" s="508"/>
      <c r="I49" s="507"/>
      <c r="J49" s="507"/>
      <c r="K49" s="508"/>
      <c r="L49" s="508"/>
      <c r="M49" s="508"/>
      <c r="N49" s="508"/>
      <c r="O49" s="507"/>
      <c r="P49" s="507"/>
      <c r="Q49" s="508"/>
      <c r="R49" s="507"/>
      <c r="S49" s="496"/>
      <c r="T49"/>
      <c r="U49"/>
      <c r="V49"/>
    </row>
    <row r="50" spans="1:22" x14ac:dyDescent="0.25">
      <c r="A50" s="502"/>
      <c r="B50" s="507"/>
      <c r="C50" s="507"/>
      <c r="D50" s="508"/>
      <c r="E50" s="508"/>
      <c r="F50" s="508"/>
      <c r="G50" s="508"/>
      <c r="H50" s="508"/>
      <c r="I50" s="507"/>
      <c r="J50" s="507"/>
      <c r="K50" s="508"/>
      <c r="L50" s="508"/>
      <c r="M50" s="508"/>
      <c r="N50" s="508"/>
      <c r="O50" s="507"/>
      <c r="P50" s="507"/>
      <c r="Q50" s="508"/>
      <c r="R50" s="507"/>
      <c r="S50" s="496"/>
      <c r="T50"/>
      <c r="U50"/>
      <c r="V50"/>
    </row>
    <row r="51" spans="1:22" x14ac:dyDescent="0.25">
      <c r="A51" s="502"/>
      <c r="B51" s="507"/>
      <c r="C51" s="507"/>
      <c r="D51" s="508"/>
      <c r="E51" s="508"/>
      <c r="F51" s="508"/>
      <c r="G51" s="508"/>
      <c r="H51" s="508"/>
      <c r="I51" s="507"/>
      <c r="J51" s="507"/>
      <c r="K51" s="508"/>
      <c r="L51" s="508"/>
      <c r="M51" s="508"/>
      <c r="N51" s="508"/>
      <c r="O51" s="507"/>
      <c r="P51" s="507"/>
      <c r="Q51" s="508"/>
      <c r="R51" s="507"/>
      <c r="S51" s="496"/>
      <c r="T51"/>
      <c r="U51"/>
      <c r="V51"/>
    </row>
    <row r="52" spans="1:22" x14ac:dyDescent="0.25">
      <c r="A52" s="502"/>
      <c r="B52" s="507"/>
      <c r="C52" s="507"/>
      <c r="D52" s="508"/>
      <c r="E52" s="508"/>
      <c r="F52" s="508"/>
      <c r="G52" s="508"/>
      <c r="H52" s="508"/>
      <c r="I52" s="507"/>
      <c r="J52" s="507"/>
      <c r="K52" s="508"/>
      <c r="L52" s="508"/>
      <c r="M52" s="508"/>
      <c r="N52" s="508"/>
      <c r="O52" s="507"/>
      <c r="P52" s="507"/>
      <c r="Q52" s="508"/>
      <c r="R52" s="507"/>
      <c r="S52" s="496"/>
      <c r="T52"/>
      <c r="U52"/>
      <c r="V52"/>
    </row>
    <row r="53" spans="1:22" x14ac:dyDescent="0.25">
      <c r="A53" s="502"/>
      <c r="B53" s="507"/>
      <c r="C53" s="507"/>
      <c r="D53" s="508"/>
      <c r="E53" s="508"/>
      <c r="F53" s="508"/>
      <c r="G53" s="508"/>
      <c r="H53" s="508"/>
      <c r="I53" s="507"/>
      <c r="J53" s="507"/>
      <c r="K53" s="508"/>
      <c r="L53" s="508"/>
      <c r="M53" s="508"/>
      <c r="N53" s="508"/>
      <c r="O53" s="507"/>
      <c r="P53" s="507"/>
      <c r="Q53" s="508"/>
      <c r="R53" s="507"/>
      <c r="S53" s="496"/>
      <c r="T53"/>
      <c r="U53"/>
      <c r="V53"/>
    </row>
    <row r="54" spans="1:22" x14ac:dyDescent="0.25">
      <c r="A54" s="502"/>
      <c r="B54" s="507"/>
      <c r="C54" s="507"/>
      <c r="D54" s="508"/>
      <c r="E54" s="508"/>
      <c r="F54" s="508"/>
      <c r="G54" s="508"/>
      <c r="H54" s="508"/>
      <c r="I54" s="507"/>
      <c r="J54" s="507"/>
      <c r="K54" s="508"/>
      <c r="L54" s="508"/>
      <c r="M54" s="508"/>
      <c r="N54" s="508"/>
      <c r="O54" s="507"/>
      <c r="P54" s="507"/>
      <c r="Q54" s="508"/>
      <c r="R54" s="507"/>
      <c r="S54" s="496"/>
      <c r="T54"/>
      <c r="U54"/>
      <c r="V54"/>
    </row>
    <row r="55" spans="1:22" x14ac:dyDescent="0.25">
      <c r="A55" s="498"/>
      <c r="B55" s="504"/>
      <c r="C55" s="504"/>
      <c r="D55" s="501"/>
      <c r="E55" s="501"/>
      <c r="F55" s="501"/>
      <c r="G55" s="501"/>
      <c r="H55" s="501"/>
      <c r="I55" s="504"/>
      <c r="J55" s="504"/>
      <c r="K55" s="501"/>
      <c r="L55" s="501"/>
      <c r="M55" s="501"/>
      <c r="N55" s="501"/>
      <c r="O55" s="504"/>
      <c r="P55" s="504"/>
      <c r="Q55" s="501"/>
      <c r="R55" s="504"/>
      <c r="S55" s="495"/>
      <c r="T55"/>
      <c r="U55"/>
      <c r="V55"/>
    </row>
    <row r="56" spans="1:22" x14ac:dyDescent="0.25">
      <c r="A56" s="502"/>
      <c r="B56" s="507"/>
      <c r="C56" s="507"/>
      <c r="D56" s="508"/>
      <c r="E56" s="508"/>
      <c r="F56" s="508"/>
      <c r="G56" s="508"/>
      <c r="H56" s="508"/>
      <c r="I56" s="507"/>
      <c r="J56" s="507"/>
      <c r="K56" s="508"/>
      <c r="L56" s="508"/>
      <c r="M56" s="508"/>
      <c r="N56" s="508"/>
      <c r="O56" s="507"/>
      <c r="P56" s="507"/>
      <c r="Q56" s="508"/>
      <c r="R56" s="507"/>
      <c r="S56" s="496"/>
      <c r="T56"/>
      <c r="U56"/>
      <c r="V56"/>
    </row>
    <row r="57" spans="1:22" x14ac:dyDescent="0.25">
      <c r="A57" s="502"/>
      <c r="B57" s="507"/>
      <c r="C57" s="507"/>
      <c r="D57" s="508"/>
      <c r="E57" s="508"/>
      <c r="F57" s="508"/>
      <c r="G57" s="508"/>
      <c r="H57" s="508"/>
      <c r="I57" s="507"/>
      <c r="J57" s="507"/>
      <c r="K57" s="508"/>
      <c r="L57" s="508"/>
      <c r="M57" s="508"/>
      <c r="N57" s="508"/>
      <c r="O57" s="507"/>
      <c r="P57" s="507"/>
      <c r="Q57" s="508"/>
      <c r="R57" s="507"/>
      <c r="S57" s="496"/>
      <c r="T57"/>
      <c r="U57"/>
      <c r="V57"/>
    </row>
    <row r="58" spans="1:22" x14ac:dyDescent="0.25">
      <c r="A58" s="502"/>
      <c r="B58" s="507"/>
      <c r="C58" s="507"/>
      <c r="D58" s="508"/>
      <c r="E58" s="508"/>
      <c r="F58" s="508"/>
      <c r="G58" s="508"/>
      <c r="H58" s="508"/>
      <c r="I58" s="507"/>
      <c r="J58" s="507"/>
      <c r="K58" s="508"/>
      <c r="L58" s="508"/>
      <c r="M58" s="508"/>
      <c r="N58" s="508"/>
      <c r="O58" s="507"/>
      <c r="P58" s="507"/>
      <c r="Q58" s="508"/>
      <c r="R58" s="507"/>
      <c r="S58" s="496"/>
      <c r="T58"/>
      <c r="U58"/>
      <c r="V58"/>
    </row>
    <row r="59" spans="1:22" x14ac:dyDescent="0.25">
      <c r="A59" s="502"/>
      <c r="B59" s="507"/>
      <c r="C59" s="507"/>
      <c r="D59" s="508"/>
      <c r="E59" s="508"/>
      <c r="F59" s="508"/>
      <c r="G59" s="508"/>
      <c r="H59" s="508"/>
      <c r="I59" s="507"/>
      <c r="J59" s="507"/>
      <c r="K59" s="508"/>
      <c r="L59" s="508"/>
      <c r="M59" s="508"/>
      <c r="N59" s="508"/>
      <c r="O59" s="507"/>
      <c r="P59" s="507"/>
      <c r="Q59" s="508"/>
      <c r="R59" s="507"/>
      <c r="S59" s="496"/>
      <c r="T59"/>
      <c r="U59"/>
      <c r="V59"/>
    </row>
    <row r="60" spans="1:22" x14ac:dyDescent="0.25">
      <c r="A60" s="502"/>
      <c r="B60" s="507"/>
      <c r="C60" s="507"/>
      <c r="D60" s="508"/>
      <c r="E60" s="508"/>
      <c r="F60" s="508"/>
      <c r="G60" s="508"/>
      <c r="H60" s="508"/>
      <c r="I60" s="507"/>
      <c r="J60" s="507"/>
      <c r="K60" s="508"/>
      <c r="L60" s="508"/>
      <c r="M60" s="508"/>
      <c r="N60" s="508"/>
      <c r="O60" s="507"/>
      <c r="P60" s="507"/>
      <c r="Q60" s="508"/>
      <c r="R60" s="507"/>
      <c r="S60" s="496"/>
      <c r="T60"/>
      <c r="U60"/>
      <c r="V60"/>
    </row>
    <row r="61" spans="1:22" x14ac:dyDescent="0.25">
      <c r="A61" s="502"/>
      <c r="B61" s="507"/>
      <c r="C61" s="507"/>
      <c r="D61" s="508"/>
      <c r="E61" s="508"/>
      <c r="F61" s="508"/>
      <c r="G61" s="508"/>
      <c r="H61" s="508"/>
      <c r="I61" s="507"/>
      <c r="J61" s="507"/>
      <c r="K61" s="508"/>
      <c r="L61" s="508"/>
      <c r="M61" s="508"/>
      <c r="N61" s="508"/>
      <c r="O61" s="507"/>
      <c r="P61" s="507"/>
      <c r="Q61" s="508"/>
      <c r="R61" s="507"/>
      <c r="S61" s="496"/>
      <c r="T61"/>
      <c r="U61"/>
      <c r="V61"/>
    </row>
    <row r="62" spans="1:22" x14ac:dyDescent="0.25">
      <c r="A62" s="498"/>
      <c r="B62" s="504"/>
      <c r="C62" s="504"/>
      <c r="D62" s="501"/>
      <c r="E62" s="501"/>
      <c r="F62" s="501"/>
      <c r="G62" s="501"/>
      <c r="H62" s="501"/>
      <c r="I62" s="504"/>
      <c r="J62" s="504"/>
      <c r="K62" s="501"/>
      <c r="L62" s="501"/>
      <c r="M62" s="501"/>
      <c r="N62" s="501"/>
      <c r="O62" s="504"/>
      <c r="P62" s="504"/>
      <c r="Q62" s="501"/>
      <c r="R62" s="504"/>
      <c r="S62" s="495"/>
      <c r="T62"/>
      <c r="U62"/>
      <c r="V62"/>
    </row>
    <row r="63" spans="1:22" x14ac:dyDescent="0.25">
      <c r="A63" s="502"/>
      <c r="B63" s="507"/>
      <c r="C63" s="507"/>
      <c r="D63" s="508"/>
      <c r="E63" s="508"/>
      <c r="F63" s="508"/>
      <c r="G63" s="508"/>
      <c r="H63" s="508"/>
      <c r="I63" s="507"/>
      <c r="J63" s="507"/>
      <c r="K63" s="508"/>
      <c r="L63" s="508"/>
      <c r="M63" s="508"/>
      <c r="N63" s="508"/>
      <c r="O63" s="507"/>
      <c r="P63" s="507"/>
      <c r="Q63" s="508"/>
      <c r="R63" s="507"/>
      <c r="S63" s="496"/>
      <c r="T63"/>
      <c r="U63"/>
      <c r="V63"/>
    </row>
    <row r="64" spans="1:22" x14ac:dyDescent="0.25">
      <c r="A64" s="502"/>
      <c r="B64" s="507"/>
      <c r="C64" s="507"/>
      <c r="D64" s="508"/>
      <c r="E64" s="508"/>
      <c r="F64" s="508"/>
      <c r="G64" s="508"/>
      <c r="H64" s="508"/>
      <c r="I64" s="507"/>
      <c r="J64" s="507"/>
      <c r="K64" s="508"/>
      <c r="L64" s="508"/>
      <c r="M64" s="508"/>
      <c r="N64" s="508"/>
      <c r="O64" s="507"/>
      <c r="P64" s="507"/>
      <c r="Q64" s="508"/>
      <c r="R64" s="507"/>
      <c r="S64" s="496"/>
      <c r="T64"/>
      <c r="U64"/>
      <c r="V64"/>
    </row>
    <row r="65" spans="1:22" x14ac:dyDescent="0.25">
      <c r="A65" s="502"/>
      <c r="B65" s="507"/>
      <c r="C65" s="507"/>
      <c r="D65" s="508"/>
      <c r="E65" s="508"/>
      <c r="F65" s="508"/>
      <c r="G65" s="508"/>
      <c r="H65" s="508"/>
      <c r="I65" s="507"/>
      <c r="J65" s="507"/>
      <c r="K65" s="508"/>
      <c r="L65" s="508"/>
      <c r="M65" s="508"/>
      <c r="N65" s="508"/>
      <c r="O65" s="507"/>
      <c r="P65" s="507"/>
      <c r="Q65" s="508"/>
      <c r="R65" s="507"/>
      <c r="S65" s="496"/>
      <c r="T65"/>
      <c r="U65"/>
      <c r="V65"/>
    </row>
    <row r="66" spans="1:22" x14ac:dyDescent="0.25">
      <c r="A66" s="502"/>
      <c r="B66" s="507"/>
      <c r="C66" s="507"/>
      <c r="D66" s="508"/>
      <c r="E66" s="508"/>
      <c r="F66" s="508"/>
      <c r="G66" s="508"/>
      <c r="H66" s="508"/>
      <c r="I66" s="507"/>
      <c r="J66" s="507"/>
      <c r="K66" s="508"/>
      <c r="L66" s="508"/>
      <c r="M66" s="508"/>
      <c r="N66" s="508"/>
      <c r="O66" s="507"/>
      <c r="P66" s="507"/>
      <c r="Q66" s="508"/>
      <c r="R66" s="507"/>
      <c r="S66" s="496"/>
      <c r="T66"/>
      <c r="U66"/>
      <c r="V66"/>
    </row>
    <row r="67" spans="1:22" x14ac:dyDescent="0.25">
      <c r="A67" s="502"/>
      <c r="B67" s="507"/>
      <c r="C67" s="507"/>
      <c r="D67" s="508"/>
      <c r="E67" s="508"/>
      <c r="F67" s="508"/>
      <c r="G67" s="508"/>
      <c r="H67" s="508"/>
      <c r="I67" s="507"/>
      <c r="J67" s="507"/>
      <c r="K67" s="508"/>
      <c r="L67" s="508"/>
      <c r="M67" s="508"/>
      <c r="N67" s="508"/>
      <c r="O67" s="507"/>
      <c r="P67" s="507"/>
      <c r="Q67" s="508"/>
      <c r="R67" s="507"/>
      <c r="S67" s="496"/>
      <c r="T67"/>
      <c r="U67"/>
      <c r="V67"/>
    </row>
    <row r="68" spans="1:22" x14ac:dyDescent="0.25">
      <c r="A68" s="502"/>
      <c r="B68" s="507"/>
      <c r="C68" s="507"/>
      <c r="D68" s="508"/>
      <c r="E68" s="508"/>
      <c r="F68" s="508"/>
      <c r="G68" s="508"/>
      <c r="H68" s="508"/>
      <c r="I68" s="507"/>
      <c r="J68" s="507"/>
      <c r="K68" s="508"/>
      <c r="L68" s="508"/>
      <c r="M68" s="508"/>
      <c r="N68" s="508"/>
      <c r="O68" s="507"/>
      <c r="P68" s="507"/>
      <c r="Q68" s="508"/>
      <c r="R68" s="507"/>
      <c r="S68" s="496"/>
      <c r="T68"/>
      <c r="U68"/>
      <c r="V68"/>
    </row>
    <row r="69" spans="1:22" x14ac:dyDescent="0.25">
      <c r="A69" s="498"/>
      <c r="B69" s="504"/>
      <c r="C69" s="504"/>
      <c r="D69" s="501"/>
      <c r="E69" s="501"/>
      <c r="F69" s="501"/>
      <c r="G69" s="501"/>
      <c r="H69" s="501"/>
      <c r="I69" s="504"/>
      <c r="J69" s="504"/>
      <c r="K69" s="501"/>
      <c r="L69" s="501"/>
      <c r="M69" s="501"/>
      <c r="N69" s="501"/>
      <c r="O69" s="504"/>
      <c r="P69" s="504"/>
      <c r="Q69" s="501"/>
      <c r="R69" s="504"/>
      <c r="S69" s="495"/>
      <c r="T69"/>
      <c r="U69"/>
      <c r="V69"/>
    </row>
    <row r="70" spans="1:22" x14ac:dyDescent="0.25">
      <c r="A70" s="502"/>
      <c r="B70" s="507"/>
      <c r="C70" s="507"/>
      <c r="D70" s="508"/>
      <c r="E70" s="508"/>
      <c r="F70" s="508"/>
      <c r="G70" s="508"/>
      <c r="H70" s="508"/>
      <c r="I70" s="507"/>
      <c r="J70" s="507"/>
      <c r="K70" s="508"/>
      <c r="L70" s="508"/>
      <c r="M70" s="508"/>
      <c r="N70" s="508"/>
      <c r="O70" s="507"/>
      <c r="P70" s="507"/>
      <c r="Q70" s="508"/>
      <c r="R70" s="507"/>
      <c r="S70" s="496"/>
      <c r="T70"/>
      <c r="U70"/>
      <c r="V70"/>
    </row>
    <row r="71" spans="1:22" x14ac:dyDescent="0.25">
      <c r="A71" s="502"/>
      <c r="B71" s="507"/>
      <c r="C71" s="507"/>
      <c r="D71" s="508"/>
      <c r="E71" s="508"/>
      <c r="F71" s="508"/>
      <c r="G71" s="508"/>
      <c r="H71" s="508"/>
      <c r="I71" s="507"/>
      <c r="J71" s="507"/>
      <c r="K71" s="508"/>
      <c r="L71" s="508"/>
      <c r="M71" s="508"/>
      <c r="N71" s="508"/>
      <c r="O71" s="507"/>
      <c r="P71" s="507"/>
      <c r="Q71" s="508"/>
      <c r="R71" s="507"/>
      <c r="S71" s="496"/>
      <c r="T71"/>
      <c r="U71"/>
      <c r="V71"/>
    </row>
    <row r="72" spans="1:22" x14ac:dyDescent="0.25">
      <c r="A72" s="502"/>
      <c r="B72" s="507"/>
      <c r="C72" s="507"/>
      <c r="D72" s="508"/>
      <c r="E72" s="508"/>
      <c r="F72" s="508"/>
      <c r="G72" s="508"/>
      <c r="H72" s="508"/>
      <c r="I72" s="507"/>
      <c r="J72" s="507"/>
      <c r="K72" s="508"/>
      <c r="L72" s="508"/>
      <c r="M72" s="508"/>
      <c r="N72" s="508"/>
      <c r="O72" s="507"/>
      <c r="P72" s="507"/>
      <c r="Q72" s="508"/>
      <c r="R72" s="507"/>
      <c r="S72" s="496"/>
      <c r="T72"/>
      <c r="U72"/>
      <c r="V72"/>
    </row>
    <row r="73" spans="1:22" x14ac:dyDescent="0.25">
      <c r="A73" s="502"/>
      <c r="B73" s="507"/>
      <c r="C73" s="507"/>
      <c r="D73" s="508"/>
      <c r="E73" s="508"/>
      <c r="F73" s="508"/>
      <c r="G73" s="508"/>
      <c r="H73" s="508"/>
      <c r="I73" s="507"/>
      <c r="J73" s="507"/>
      <c r="K73" s="508"/>
      <c r="L73" s="508"/>
      <c r="M73" s="508"/>
      <c r="N73" s="508"/>
      <c r="O73" s="507"/>
      <c r="P73" s="507"/>
      <c r="Q73" s="508"/>
      <c r="R73" s="507"/>
      <c r="S73" s="496"/>
      <c r="T73"/>
      <c r="U73"/>
      <c r="V73"/>
    </row>
    <row r="74" spans="1:22" x14ac:dyDescent="0.25">
      <c r="A74" s="502"/>
      <c r="B74" s="507"/>
      <c r="C74" s="507"/>
      <c r="D74" s="508"/>
      <c r="E74" s="508"/>
      <c r="F74" s="508"/>
      <c r="G74" s="508"/>
      <c r="H74" s="508"/>
      <c r="I74" s="507"/>
      <c r="J74" s="507"/>
      <c r="K74" s="508"/>
      <c r="L74" s="508"/>
      <c r="M74" s="508"/>
      <c r="N74" s="508"/>
      <c r="O74" s="507"/>
      <c r="P74" s="507"/>
      <c r="Q74" s="508"/>
      <c r="R74" s="507"/>
      <c r="S74" s="496"/>
      <c r="T74"/>
      <c r="U74"/>
      <c r="V74"/>
    </row>
    <row r="75" spans="1:22" x14ac:dyDescent="0.25">
      <c r="A75" s="502"/>
      <c r="B75" s="507"/>
      <c r="C75" s="507"/>
      <c r="D75" s="508"/>
      <c r="E75" s="508"/>
      <c r="F75" s="508"/>
      <c r="G75" s="508"/>
      <c r="H75" s="508"/>
      <c r="I75" s="507"/>
      <c r="J75" s="507"/>
      <c r="K75" s="508"/>
      <c r="L75" s="508"/>
      <c r="M75" s="508"/>
      <c r="N75" s="508"/>
      <c r="O75" s="507"/>
      <c r="P75" s="507"/>
      <c r="Q75" s="508"/>
      <c r="R75" s="507"/>
      <c r="S75" s="496"/>
      <c r="T75"/>
      <c r="U75"/>
      <c r="V75"/>
    </row>
    <row r="76" spans="1:22" x14ac:dyDescent="0.25">
      <c r="A76" s="498"/>
      <c r="B76" s="504"/>
      <c r="C76" s="504"/>
      <c r="D76" s="501"/>
      <c r="E76" s="501"/>
      <c r="F76" s="501"/>
      <c r="G76" s="501"/>
      <c r="H76" s="501"/>
      <c r="I76" s="504"/>
      <c r="J76" s="504"/>
      <c r="K76" s="501"/>
      <c r="L76" s="501"/>
      <c r="M76" s="501"/>
      <c r="N76" s="501"/>
      <c r="O76" s="504"/>
      <c r="P76" s="504"/>
      <c r="Q76" s="501"/>
      <c r="R76" s="504"/>
      <c r="S76" s="495"/>
      <c r="T76"/>
      <c r="U76"/>
      <c r="V76"/>
    </row>
    <row r="77" spans="1:22" x14ac:dyDescent="0.25">
      <c r="A77" s="502"/>
      <c r="B77" s="507"/>
      <c r="C77" s="507"/>
      <c r="D77" s="508"/>
      <c r="E77" s="508"/>
      <c r="F77" s="508"/>
      <c r="G77" s="508"/>
      <c r="H77" s="508"/>
      <c r="I77" s="507"/>
      <c r="J77" s="507"/>
      <c r="K77" s="508"/>
      <c r="L77" s="508"/>
      <c r="M77" s="508"/>
      <c r="N77" s="508"/>
      <c r="O77" s="507"/>
      <c r="P77" s="507"/>
      <c r="Q77" s="508"/>
      <c r="R77" s="507"/>
      <c r="S77" s="496"/>
      <c r="T77"/>
      <c r="U77"/>
      <c r="V77"/>
    </row>
    <row r="78" spans="1:22" x14ac:dyDescent="0.25">
      <c r="A78" s="502"/>
      <c r="B78" s="507"/>
      <c r="C78" s="507"/>
      <c r="D78" s="508"/>
      <c r="E78" s="508"/>
      <c r="F78" s="508"/>
      <c r="G78" s="508"/>
      <c r="H78" s="508"/>
      <c r="I78" s="507"/>
      <c r="J78" s="507"/>
      <c r="K78" s="508"/>
      <c r="L78" s="508"/>
      <c r="M78" s="508"/>
      <c r="N78" s="508"/>
      <c r="O78" s="507"/>
      <c r="P78" s="507"/>
      <c r="Q78" s="508"/>
      <c r="R78" s="507"/>
      <c r="S78" s="496"/>
      <c r="T78"/>
      <c r="U78"/>
      <c r="V78"/>
    </row>
    <row r="79" spans="1:22" x14ac:dyDescent="0.25">
      <c r="A79" s="502"/>
      <c r="B79" s="507"/>
      <c r="C79" s="507"/>
      <c r="D79" s="508"/>
      <c r="E79" s="508"/>
      <c r="F79" s="508"/>
      <c r="G79" s="508"/>
      <c r="H79" s="508"/>
      <c r="I79" s="507"/>
      <c r="J79" s="507"/>
      <c r="K79" s="508"/>
      <c r="L79" s="508"/>
      <c r="M79" s="508"/>
      <c r="N79" s="508"/>
      <c r="O79" s="507"/>
      <c r="P79" s="507"/>
      <c r="Q79" s="508"/>
      <c r="R79" s="507"/>
      <c r="S79" s="496"/>
      <c r="T79"/>
      <c r="U79"/>
      <c r="V79"/>
    </row>
    <row r="80" spans="1:22" x14ac:dyDescent="0.25">
      <c r="A80" s="502"/>
      <c r="B80" s="507"/>
      <c r="C80" s="507"/>
      <c r="D80" s="508"/>
      <c r="E80" s="508"/>
      <c r="F80" s="508"/>
      <c r="G80" s="508"/>
      <c r="H80" s="508"/>
      <c r="I80" s="507"/>
      <c r="J80" s="507"/>
      <c r="K80" s="508"/>
      <c r="L80" s="508"/>
      <c r="M80" s="508"/>
      <c r="N80" s="508"/>
      <c r="O80" s="507"/>
      <c r="P80" s="507"/>
      <c r="Q80" s="508"/>
      <c r="R80" s="507"/>
      <c r="S80" s="496"/>
      <c r="T80"/>
      <c r="U80"/>
      <c r="V80"/>
    </row>
    <row r="81" spans="1:22" x14ac:dyDescent="0.25">
      <c r="A81" s="502"/>
      <c r="B81" s="507"/>
      <c r="C81" s="507"/>
      <c r="D81" s="508"/>
      <c r="E81" s="508"/>
      <c r="F81" s="508"/>
      <c r="G81" s="508"/>
      <c r="H81" s="508"/>
      <c r="I81" s="507"/>
      <c r="J81" s="507"/>
      <c r="K81" s="508"/>
      <c r="L81" s="508"/>
      <c r="M81" s="508"/>
      <c r="N81" s="508"/>
      <c r="O81" s="507"/>
      <c r="P81" s="507"/>
      <c r="Q81" s="508"/>
      <c r="R81" s="507"/>
      <c r="S81" s="496"/>
      <c r="T81"/>
      <c r="U81"/>
      <c r="V81"/>
    </row>
    <row r="82" spans="1:22" x14ac:dyDescent="0.25">
      <c r="A82" s="502"/>
      <c r="B82" s="507"/>
      <c r="C82" s="507"/>
      <c r="D82" s="508"/>
      <c r="E82" s="508"/>
      <c r="F82" s="508"/>
      <c r="G82" s="508"/>
      <c r="H82" s="508"/>
      <c r="I82" s="507"/>
      <c r="J82" s="507"/>
      <c r="K82" s="508"/>
      <c r="L82" s="508"/>
      <c r="M82" s="508"/>
      <c r="N82" s="508"/>
      <c r="O82" s="507"/>
      <c r="P82" s="507"/>
      <c r="Q82" s="508"/>
      <c r="R82" s="507"/>
      <c r="S82" s="496"/>
      <c r="T82"/>
      <c r="U82"/>
      <c r="V82"/>
    </row>
    <row r="83" spans="1:22" x14ac:dyDescent="0.25">
      <c r="A83" s="498"/>
      <c r="B83" s="504"/>
      <c r="C83" s="504"/>
      <c r="D83" s="501"/>
      <c r="E83" s="501"/>
      <c r="F83" s="501"/>
      <c r="G83" s="501"/>
      <c r="H83" s="501"/>
      <c r="I83" s="504"/>
      <c r="J83" s="504"/>
      <c r="K83" s="501"/>
      <c r="L83" s="501"/>
      <c r="M83" s="501"/>
      <c r="N83" s="501"/>
      <c r="O83" s="504"/>
      <c r="P83" s="504"/>
      <c r="Q83" s="501"/>
      <c r="R83" s="504"/>
      <c r="S83" s="495"/>
      <c r="T83"/>
      <c r="U83"/>
      <c r="V83"/>
    </row>
    <row r="84" spans="1:22" x14ac:dyDescent="0.25">
      <c r="A84" s="502"/>
      <c r="B84" s="507"/>
      <c r="C84" s="507"/>
      <c r="D84" s="508"/>
      <c r="E84" s="508"/>
      <c r="F84" s="508"/>
      <c r="G84" s="508"/>
      <c r="H84" s="508"/>
      <c r="I84" s="507"/>
      <c r="J84" s="507"/>
      <c r="K84" s="508"/>
      <c r="L84" s="508"/>
      <c r="M84" s="508"/>
      <c r="N84" s="508"/>
      <c r="O84" s="507"/>
      <c r="P84" s="507"/>
      <c r="Q84" s="508"/>
      <c r="R84" s="507"/>
      <c r="S84" s="496"/>
      <c r="T84"/>
      <c r="U84"/>
      <c r="V84"/>
    </row>
    <row r="85" spans="1:22" x14ac:dyDescent="0.25">
      <c r="A85" s="502"/>
      <c r="B85" s="507"/>
      <c r="C85" s="507"/>
      <c r="D85" s="508"/>
      <c r="E85" s="508"/>
      <c r="F85" s="508"/>
      <c r="G85" s="508"/>
      <c r="H85" s="508"/>
      <c r="I85" s="507"/>
      <c r="J85" s="507"/>
      <c r="K85" s="508"/>
      <c r="L85" s="508"/>
      <c r="M85" s="508"/>
      <c r="N85" s="508"/>
      <c r="O85" s="507"/>
      <c r="P85" s="507"/>
      <c r="Q85" s="508"/>
      <c r="R85" s="507"/>
      <c r="S85" s="496"/>
      <c r="T85"/>
      <c r="U85"/>
      <c r="V85"/>
    </row>
    <row r="86" spans="1:22" x14ac:dyDescent="0.25">
      <c r="A86" s="502"/>
      <c r="B86" s="507"/>
      <c r="C86" s="507"/>
      <c r="D86" s="508"/>
      <c r="E86" s="508"/>
      <c r="F86" s="508"/>
      <c r="G86" s="508"/>
      <c r="H86" s="508"/>
      <c r="I86" s="507"/>
      <c r="J86" s="507"/>
      <c r="K86" s="508"/>
      <c r="L86" s="508"/>
      <c r="M86" s="508"/>
      <c r="N86" s="508"/>
      <c r="O86" s="507"/>
      <c r="P86" s="507"/>
      <c r="Q86" s="508"/>
      <c r="R86" s="507"/>
      <c r="S86" s="496"/>
      <c r="T86"/>
      <c r="U86"/>
      <c r="V86"/>
    </row>
    <row r="87" spans="1:22" x14ac:dyDescent="0.25">
      <c r="A87" s="502"/>
      <c r="B87" s="507"/>
      <c r="C87" s="507"/>
      <c r="D87" s="508"/>
      <c r="E87" s="508"/>
      <c r="F87" s="508"/>
      <c r="G87" s="508"/>
      <c r="H87" s="508"/>
      <c r="I87" s="507"/>
      <c r="J87" s="507"/>
      <c r="K87" s="508"/>
      <c r="L87" s="508"/>
      <c r="M87" s="508"/>
      <c r="N87" s="508"/>
      <c r="O87" s="507"/>
      <c r="P87" s="507"/>
      <c r="Q87" s="508"/>
      <c r="R87" s="507"/>
      <c r="S87" s="496"/>
      <c r="T87"/>
      <c r="U87"/>
      <c r="V87"/>
    </row>
    <row r="88" spans="1:22" x14ac:dyDescent="0.25">
      <c r="A88" s="502"/>
      <c r="B88" s="507"/>
      <c r="C88" s="507"/>
      <c r="D88" s="508"/>
      <c r="E88" s="508"/>
      <c r="F88" s="508"/>
      <c r="G88" s="508"/>
      <c r="H88" s="508"/>
      <c r="I88" s="507"/>
      <c r="J88" s="507"/>
      <c r="K88" s="508"/>
      <c r="L88" s="508"/>
      <c r="M88" s="508"/>
      <c r="N88" s="508"/>
      <c r="O88" s="507"/>
      <c r="P88" s="507"/>
      <c r="Q88" s="508"/>
      <c r="R88" s="507"/>
      <c r="S88" s="496"/>
      <c r="T88"/>
      <c r="U88"/>
      <c r="V88"/>
    </row>
    <row r="89" spans="1:22" x14ac:dyDescent="0.25">
      <c r="A89" s="502"/>
      <c r="B89" s="507"/>
      <c r="C89" s="507"/>
      <c r="D89" s="508"/>
      <c r="E89" s="508"/>
      <c r="F89" s="508"/>
      <c r="G89" s="508"/>
      <c r="H89" s="508"/>
      <c r="I89" s="507"/>
      <c r="J89" s="507"/>
      <c r="K89" s="508"/>
      <c r="L89" s="508"/>
      <c r="M89" s="508"/>
      <c r="N89" s="508"/>
      <c r="O89" s="507"/>
      <c r="P89" s="507"/>
      <c r="Q89" s="508"/>
      <c r="R89" s="507"/>
      <c r="S89" s="496"/>
      <c r="T89"/>
      <c r="U89"/>
      <c r="V89"/>
    </row>
    <row r="90" spans="1:22" x14ac:dyDescent="0.25">
      <c r="A90" s="498"/>
      <c r="B90" s="504"/>
      <c r="C90" s="504"/>
      <c r="D90" s="501"/>
      <c r="E90" s="501"/>
      <c r="F90" s="501"/>
      <c r="G90" s="501"/>
      <c r="H90" s="501"/>
      <c r="I90" s="504"/>
      <c r="J90" s="504"/>
      <c r="K90" s="501"/>
      <c r="L90" s="501"/>
      <c r="M90" s="501"/>
      <c r="N90" s="501"/>
      <c r="O90" s="504"/>
      <c r="P90" s="504"/>
      <c r="Q90" s="501"/>
      <c r="R90" s="504"/>
      <c r="S90" s="495"/>
      <c r="T90"/>
      <c r="U90"/>
      <c r="V90"/>
    </row>
    <row r="91" spans="1:22" x14ac:dyDescent="0.25">
      <c r="A91" s="502"/>
      <c r="B91" s="507"/>
      <c r="C91" s="507"/>
      <c r="D91" s="508"/>
      <c r="E91" s="508"/>
      <c r="F91" s="508"/>
      <c r="G91" s="508"/>
      <c r="H91" s="508"/>
      <c r="I91" s="507"/>
      <c r="J91" s="507"/>
      <c r="K91" s="508"/>
      <c r="L91" s="508"/>
      <c r="M91" s="508"/>
      <c r="N91" s="508"/>
      <c r="O91" s="507"/>
      <c r="P91" s="507"/>
      <c r="Q91" s="508"/>
      <c r="R91" s="507"/>
      <c r="S91" s="496"/>
      <c r="T91"/>
      <c r="U91"/>
      <c r="V91"/>
    </row>
    <row r="92" spans="1:22" x14ac:dyDescent="0.25">
      <c r="A92" s="502"/>
      <c r="B92" s="507"/>
      <c r="C92" s="507"/>
      <c r="D92" s="508"/>
      <c r="E92" s="508"/>
      <c r="F92" s="508"/>
      <c r="G92" s="508"/>
      <c r="H92" s="508"/>
      <c r="I92" s="507"/>
      <c r="J92" s="507"/>
      <c r="K92" s="508"/>
      <c r="L92" s="508"/>
      <c r="M92" s="508"/>
      <c r="N92" s="508"/>
      <c r="O92" s="507"/>
      <c r="P92" s="507"/>
      <c r="Q92" s="508"/>
      <c r="R92" s="507"/>
      <c r="S92" s="496"/>
      <c r="T92"/>
      <c r="U92"/>
      <c r="V92"/>
    </row>
    <row r="93" spans="1:22" x14ac:dyDescent="0.25">
      <c r="A93" s="502"/>
      <c r="B93" s="507"/>
      <c r="C93" s="507"/>
      <c r="D93" s="508"/>
      <c r="E93" s="508"/>
      <c r="F93" s="508"/>
      <c r="G93" s="508"/>
      <c r="H93" s="508"/>
      <c r="I93" s="507"/>
      <c r="J93" s="507"/>
      <c r="K93" s="508"/>
      <c r="L93" s="508"/>
      <c r="M93" s="508"/>
      <c r="N93" s="508"/>
      <c r="O93" s="507"/>
      <c r="P93" s="507"/>
      <c r="Q93" s="508"/>
      <c r="R93" s="507"/>
      <c r="S93" s="496"/>
      <c r="T93"/>
      <c r="U93"/>
      <c r="V93"/>
    </row>
    <row r="94" spans="1:22" x14ac:dyDescent="0.25">
      <c r="A94" s="502"/>
      <c r="B94" s="507"/>
      <c r="C94" s="507"/>
      <c r="D94" s="508"/>
      <c r="E94" s="508"/>
      <c r="F94" s="508"/>
      <c r="G94" s="508"/>
      <c r="H94" s="508"/>
      <c r="I94" s="507"/>
      <c r="J94" s="507"/>
      <c r="K94" s="508"/>
      <c r="L94" s="508"/>
      <c r="M94" s="508"/>
      <c r="N94" s="508"/>
      <c r="O94" s="507"/>
      <c r="P94" s="507"/>
      <c r="Q94" s="508"/>
      <c r="R94" s="507"/>
      <c r="S94" s="496"/>
      <c r="T94"/>
      <c r="U94"/>
      <c r="V94"/>
    </row>
    <row r="95" spans="1:22" x14ac:dyDescent="0.25">
      <c r="A95" s="502"/>
      <c r="B95" s="507"/>
      <c r="C95" s="507"/>
      <c r="D95" s="508"/>
      <c r="E95" s="508"/>
      <c r="F95" s="508"/>
      <c r="G95" s="508"/>
      <c r="H95" s="508"/>
      <c r="I95" s="507"/>
      <c r="J95" s="507"/>
      <c r="K95" s="508"/>
      <c r="L95" s="508"/>
      <c r="M95" s="508"/>
      <c r="N95" s="508"/>
      <c r="O95" s="507"/>
      <c r="P95" s="507"/>
      <c r="Q95" s="508"/>
      <c r="R95" s="507"/>
      <c r="S95" s="496"/>
      <c r="T95"/>
      <c r="U95"/>
      <c r="V95"/>
    </row>
    <row r="96" spans="1:22" x14ac:dyDescent="0.25">
      <c r="A96" s="502"/>
      <c r="B96" s="507"/>
      <c r="C96" s="507"/>
      <c r="D96" s="508"/>
      <c r="E96" s="508"/>
      <c r="F96" s="508"/>
      <c r="G96" s="508"/>
      <c r="H96" s="508"/>
      <c r="I96" s="507"/>
      <c r="J96" s="507"/>
      <c r="K96" s="508"/>
      <c r="L96" s="508"/>
      <c r="M96" s="508"/>
      <c r="N96" s="508"/>
      <c r="O96" s="507"/>
      <c r="P96" s="507"/>
      <c r="Q96" s="508"/>
      <c r="R96" s="507"/>
      <c r="S96" s="496"/>
      <c r="T96"/>
      <c r="U96"/>
      <c r="V96"/>
    </row>
    <row r="97" spans="1:22" x14ac:dyDescent="0.25">
      <c r="A97" s="498"/>
      <c r="B97" s="504"/>
      <c r="C97" s="504"/>
      <c r="D97" s="501"/>
      <c r="E97" s="501"/>
      <c r="F97" s="501"/>
      <c r="G97" s="501"/>
      <c r="H97" s="501"/>
      <c r="I97" s="504"/>
      <c r="J97" s="504"/>
      <c r="K97" s="501"/>
      <c r="L97" s="501"/>
      <c r="M97" s="501"/>
      <c r="N97" s="501"/>
      <c r="O97" s="504"/>
      <c r="P97" s="504"/>
      <c r="Q97" s="501"/>
      <c r="R97" s="504"/>
      <c r="S97" s="495"/>
      <c r="T97"/>
      <c r="U97"/>
      <c r="V97"/>
    </row>
    <row r="98" spans="1:22" x14ac:dyDescent="0.25">
      <c r="A98" s="502"/>
      <c r="B98" s="507"/>
      <c r="C98" s="507"/>
      <c r="D98" s="508"/>
      <c r="E98" s="508"/>
      <c r="F98" s="508"/>
      <c r="G98" s="508"/>
      <c r="H98" s="508"/>
      <c r="I98" s="507"/>
      <c r="J98" s="507"/>
      <c r="K98" s="508"/>
      <c r="L98" s="508"/>
      <c r="M98" s="508"/>
      <c r="N98" s="508"/>
      <c r="O98" s="507"/>
      <c r="P98" s="507"/>
      <c r="Q98" s="508"/>
      <c r="R98" s="507"/>
      <c r="S98" s="496"/>
      <c r="T98"/>
      <c r="U98"/>
      <c r="V98"/>
    </row>
    <row r="99" spans="1:22" x14ac:dyDescent="0.25">
      <c r="A99" s="502"/>
      <c r="B99" s="507"/>
      <c r="C99" s="507"/>
      <c r="D99" s="508"/>
      <c r="E99" s="508"/>
      <c r="F99" s="508"/>
      <c r="G99" s="508"/>
      <c r="H99" s="508"/>
      <c r="I99" s="507"/>
      <c r="J99" s="507"/>
      <c r="K99" s="508"/>
      <c r="L99" s="508"/>
      <c r="M99" s="508"/>
      <c r="N99" s="508"/>
      <c r="O99" s="507"/>
      <c r="P99" s="507"/>
      <c r="Q99" s="508"/>
      <c r="R99" s="507"/>
      <c r="S99" s="496"/>
      <c r="T99"/>
      <c r="U99"/>
      <c r="V99"/>
    </row>
    <row r="100" spans="1:22" x14ac:dyDescent="0.25">
      <c r="A100" s="502"/>
      <c r="B100" s="507"/>
      <c r="C100" s="507"/>
      <c r="D100" s="508"/>
      <c r="E100" s="508"/>
      <c r="F100" s="508"/>
      <c r="G100" s="508"/>
      <c r="H100" s="508"/>
      <c r="I100" s="507"/>
      <c r="J100" s="507"/>
      <c r="K100" s="508"/>
      <c r="L100" s="508"/>
      <c r="M100" s="508"/>
      <c r="N100" s="508"/>
      <c r="O100" s="507"/>
      <c r="P100" s="507"/>
      <c r="Q100" s="508"/>
      <c r="R100" s="507"/>
      <c r="S100" s="496"/>
      <c r="T100"/>
      <c r="U100"/>
      <c r="V100"/>
    </row>
    <row r="101" spans="1:22" x14ac:dyDescent="0.25">
      <c r="A101" s="502"/>
      <c r="B101" s="507"/>
      <c r="C101" s="507"/>
      <c r="D101" s="508"/>
      <c r="E101" s="508"/>
      <c r="F101" s="508"/>
      <c r="G101" s="508"/>
      <c r="H101" s="508"/>
      <c r="I101" s="507"/>
      <c r="J101" s="507"/>
      <c r="K101" s="508"/>
      <c r="L101" s="508"/>
      <c r="M101" s="508"/>
      <c r="N101" s="508"/>
      <c r="O101" s="507"/>
      <c r="P101" s="507"/>
      <c r="Q101" s="508"/>
      <c r="R101" s="507"/>
      <c r="S101" s="496"/>
      <c r="T101"/>
      <c r="U101"/>
      <c r="V101"/>
    </row>
    <row r="102" spans="1:22" x14ac:dyDescent="0.25">
      <c r="A102" s="502"/>
      <c r="B102" s="507"/>
      <c r="C102" s="507"/>
      <c r="D102" s="508"/>
      <c r="E102" s="508"/>
      <c r="F102" s="508"/>
      <c r="G102" s="508"/>
      <c r="H102" s="508"/>
      <c r="I102" s="507"/>
      <c r="J102" s="507"/>
      <c r="K102" s="508"/>
      <c r="L102" s="508"/>
      <c r="M102" s="508"/>
      <c r="N102" s="508"/>
      <c r="O102" s="507"/>
      <c r="P102" s="507"/>
      <c r="Q102" s="508"/>
      <c r="R102" s="507"/>
      <c r="S102" s="496"/>
      <c r="T102"/>
      <c r="U102"/>
      <c r="V102"/>
    </row>
    <row r="103" spans="1:22" x14ac:dyDescent="0.25">
      <c r="A103" s="502"/>
      <c r="B103" s="507"/>
      <c r="C103" s="507"/>
      <c r="D103" s="508"/>
      <c r="E103" s="508"/>
      <c r="F103" s="508"/>
      <c r="G103" s="508"/>
      <c r="H103" s="508"/>
      <c r="I103" s="507"/>
      <c r="J103" s="507"/>
      <c r="K103" s="508"/>
      <c r="L103" s="508"/>
      <c r="M103" s="508"/>
      <c r="N103" s="508"/>
      <c r="O103" s="507"/>
      <c r="P103" s="507"/>
      <c r="Q103" s="508"/>
      <c r="R103" s="507"/>
      <c r="S103" s="496"/>
      <c r="T103"/>
      <c r="U103"/>
      <c r="V103"/>
    </row>
    <row r="104" spans="1:22" x14ac:dyDescent="0.25">
      <c r="A104" s="498"/>
      <c r="B104" s="504"/>
      <c r="C104" s="504"/>
      <c r="D104" s="501"/>
      <c r="E104" s="501"/>
      <c r="F104" s="501"/>
      <c r="G104" s="501"/>
      <c r="H104" s="501"/>
      <c r="I104" s="504"/>
      <c r="J104" s="504"/>
      <c r="K104" s="501"/>
      <c r="L104" s="501"/>
      <c r="M104" s="501"/>
      <c r="N104" s="501"/>
      <c r="O104" s="504"/>
      <c r="P104" s="504"/>
      <c r="Q104" s="501"/>
      <c r="R104" s="504"/>
      <c r="S104" s="495"/>
      <c r="T104"/>
      <c r="U104"/>
      <c r="V104"/>
    </row>
    <row r="105" spans="1:22" x14ac:dyDescent="0.25">
      <c r="A105" s="502"/>
      <c r="B105" s="507"/>
      <c r="C105" s="507"/>
      <c r="D105" s="508"/>
      <c r="E105" s="508"/>
      <c r="F105" s="508"/>
      <c r="G105" s="508"/>
      <c r="H105" s="508"/>
      <c r="I105" s="507"/>
      <c r="J105" s="507"/>
      <c r="K105" s="508"/>
      <c r="L105" s="508"/>
      <c r="M105" s="508"/>
      <c r="N105" s="508"/>
      <c r="O105" s="507"/>
      <c r="P105" s="507"/>
      <c r="Q105" s="508"/>
      <c r="R105" s="507"/>
      <c r="S105" s="496"/>
      <c r="T105"/>
      <c r="U105"/>
      <c r="V105"/>
    </row>
    <row r="106" spans="1:22" x14ac:dyDescent="0.25">
      <c r="A106" s="502"/>
      <c r="B106" s="507"/>
      <c r="C106" s="507"/>
      <c r="D106" s="508"/>
      <c r="E106" s="508"/>
      <c r="F106" s="508"/>
      <c r="G106" s="508"/>
      <c r="H106" s="508"/>
      <c r="I106" s="507"/>
      <c r="J106" s="507"/>
      <c r="K106" s="508"/>
      <c r="L106" s="508"/>
      <c r="M106" s="508"/>
      <c r="N106" s="508"/>
      <c r="O106" s="507"/>
      <c r="P106" s="507"/>
      <c r="Q106" s="508"/>
      <c r="R106" s="507"/>
      <c r="S106" s="496"/>
      <c r="T106"/>
      <c r="U106"/>
      <c r="V106"/>
    </row>
    <row r="107" spans="1:22" x14ac:dyDescent="0.25">
      <c r="A107" s="502"/>
      <c r="B107" s="507"/>
      <c r="C107" s="507"/>
      <c r="D107" s="508"/>
      <c r="E107" s="508"/>
      <c r="F107" s="508"/>
      <c r="G107" s="508"/>
      <c r="H107" s="508"/>
      <c r="I107" s="507"/>
      <c r="J107" s="507"/>
      <c r="K107" s="508"/>
      <c r="L107" s="508"/>
      <c r="M107" s="508"/>
      <c r="N107" s="508"/>
      <c r="O107" s="507"/>
      <c r="P107" s="507"/>
      <c r="Q107" s="508"/>
      <c r="R107" s="507"/>
      <c r="S107" s="496"/>
      <c r="T107"/>
      <c r="U107"/>
      <c r="V107"/>
    </row>
    <row r="108" spans="1:22" x14ac:dyDescent="0.25">
      <c r="A108" s="502"/>
      <c r="B108" s="507"/>
      <c r="C108" s="507"/>
      <c r="D108" s="508"/>
      <c r="E108" s="508"/>
      <c r="F108" s="508"/>
      <c r="G108" s="508"/>
      <c r="H108" s="508"/>
      <c r="I108" s="507"/>
      <c r="J108" s="507"/>
      <c r="K108" s="508"/>
      <c r="L108" s="508"/>
      <c r="M108" s="508"/>
      <c r="N108" s="508"/>
      <c r="O108" s="507"/>
      <c r="P108" s="507"/>
      <c r="Q108" s="508"/>
      <c r="R108" s="507"/>
      <c r="S108" s="496"/>
      <c r="T108"/>
      <c r="U108"/>
      <c r="V108"/>
    </row>
    <row r="109" spans="1:22" x14ac:dyDescent="0.25">
      <c r="A109" s="502"/>
      <c r="B109" s="507"/>
      <c r="C109" s="507"/>
      <c r="D109" s="508"/>
      <c r="E109" s="508"/>
      <c r="F109" s="508"/>
      <c r="G109" s="508"/>
      <c r="H109" s="508"/>
      <c r="I109" s="507"/>
      <c r="J109" s="507"/>
      <c r="K109" s="508"/>
      <c r="L109" s="508"/>
      <c r="M109" s="508"/>
      <c r="N109" s="508"/>
      <c r="O109" s="507"/>
      <c r="P109" s="507"/>
      <c r="Q109" s="508"/>
      <c r="R109" s="507"/>
      <c r="S109" s="496"/>
      <c r="T109"/>
      <c r="U109"/>
      <c r="V109"/>
    </row>
    <row r="110" spans="1:22" x14ac:dyDescent="0.25">
      <c r="A110" s="502"/>
      <c r="B110" s="507"/>
      <c r="C110" s="507"/>
      <c r="D110" s="508"/>
      <c r="E110" s="508"/>
      <c r="F110" s="508"/>
      <c r="G110" s="508"/>
      <c r="H110" s="508"/>
      <c r="I110" s="507"/>
      <c r="J110" s="507"/>
      <c r="K110" s="508"/>
      <c r="L110" s="508"/>
      <c r="M110" s="508"/>
      <c r="N110" s="508"/>
      <c r="O110" s="507"/>
      <c r="P110" s="507"/>
      <c r="Q110" s="508"/>
      <c r="R110" s="507"/>
      <c r="S110" s="496"/>
      <c r="T110"/>
      <c r="U110"/>
      <c r="V110"/>
    </row>
    <row r="111" spans="1:22" x14ac:dyDescent="0.25">
      <c r="A111" s="498"/>
      <c r="B111" s="504"/>
      <c r="C111" s="504"/>
      <c r="D111" s="501"/>
      <c r="E111" s="501"/>
      <c r="F111" s="501"/>
      <c r="G111" s="501"/>
      <c r="H111" s="501"/>
      <c r="I111" s="504"/>
      <c r="J111" s="504"/>
      <c r="K111" s="501"/>
      <c r="L111" s="501"/>
      <c r="M111" s="501"/>
      <c r="N111" s="501"/>
      <c r="O111" s="504"/>
      <c r="P111" s="504"/>
      <c r="Q111" s="501"/>
      <c r="R111" s="504"/>
      <c r="S111" s="495"/>
      <c r="T111"/>
      <c r="U111"/>
      <c r="V111"/>
    </row>
    <row r="112" spans="1:22" x14ac:dyDescent="0.25">
      <c r="A112" s="502"/>
      <c r="B112" s="507"/>
      <c r="C112" s="507"/>
      <c r="D112" s="508"/>
      <c r="E112" s="508"/>
      <c r="F112" s="508"/>
      <c r="G112" s="508"/>
      <c r="H112" s="508"/>
      <c r="I112" s="507"/>
      <c r="J112" s="507"/>
      <c r="K112" s="508"/>
      <c r="L112" s="508"/>
      <c r="M112" s="508"/>
      <c r="N112" s="508"/>
      <c r="O112" s="507"/>
      <c r="P112" s="507"/>
      <c r="Q112" s="508"/>
      <c r="R112" s="507"/>
      <c r="S112" s="496"/>
      <c r="T112"/>
      <c r="U112"/>
      <c r="V112"/>
    </row>
    <row r="113" spans="1:22" x14ac:dyDescent="0.25">
      <c r="A113" s="502"/>
      <c r="B113" s="507"/>
      <c r="C113" s="507"/>
      <c r="D113" s="508"/>
      <c r="E113" s="508"/>
      <c r="F113" s="508"/>
      <c r="G113" s="508"/>
      <c r="H113" s="508"/>
      <c r="I113" s="507"/>
      <c r="J113" s="507"/>
      <c r="K113" s="508"/>
      <c r="L113" s="508"/>
      <c r="M113" s="508"/>
      <c r="N113" s="508"/>
      <c r="O113" s="507"/>
      <c r="P113" s="507"/>
      <c r="Q113" s="508"/>
      <c r="R113" s="507"/>
      <c r="S113" s="496"/>
      <c r="T113"/>
      <c r="U113"/>
      <c r="V113"/>
    </row>
    <row r="114" spans="1:22" x14ac:dyDescent="0.25">
      <c r="A114" s="502"/>
      <c r="B114" s="507"/>
      <c r="C114" s="507"/>
      <c r="D114" s="508"/>
      <c r="E114" s="508"/>
      <c r="F114" s="508"/>
      <c r="G114" s="508"/>
      <c r="H114" s="508"/>
      <c r="I114" s="507"/>
      <c r="J114" s="507"/>
      <c r="K114" s="508"/>
      <c r="L114" s="508"/>
      <c r="M114" s="508"/>
      <c r="N114" s="508"/>
      <c r="O114" s="507"/>
      <c r="P114" s="507"/>
      <c r="Q114" s="508"/>
      <c r="R114" s="507"/>
      <c r="S114" s="496"/>
      <c r="T114"/>
      <c r="U114"/>
      <c r="V114"/>
    </row>
    <row r="115" spans="1:22" x14ac:dyDescent="0.25">
      <c r="A115" s="502"/>
      <c r="B115" s="507"/>
      <c r="C115" s="507"/>
      <c r="D115" s="508"/>
      <c r="E115" s="508"/>
      <c r="F115" s="508"/>
      <c r="G115" s="508"/>
      <c r="H115" s="508"/>
      <c r="I115" s="507"/>
      <c r="J115" s="507"/>
      <c r="K115" s="508"/>
      <c r="L115" s="508"/>
      <c r="M115" s="508"/>
      <c r="N115" s="508"/>
      <c r="O115" s="507"/>
      <c r="P115" s="507"/>
      <c r="Q115" s="508"/>
      <c r="R115" s="507"/>
      <c r="S115" s="496"/>
      <c r="T115"/>
      <c r="U115"/>
      <c r="V115"/>
    </row>
    <row r="116" spans="1:22" x14ac:dyDescent="0.25">
      <c r="A116" s="502"/>
      <c r="B116" s="507"/>
      <c r="C116" s="507"/>
      <c r="D116" s="508"/>
      <c r="E116" s="508"/>
      <c r="F116" s="508"/>
      <c r="G116" s="508"/>
      <c r="H116" s="508"/>
      <c r="I116" s="507"/>
      <c r="J116" s="507"/>
      <c r="K116" s="508"/>
      <c r="L116" s="508"/>
      <c r="M116" s="508"/>
      <c r="N116" s="508"/>
      <c r="O116" s="507"/>
      <c r="P116" s="507"/>
      <c r="Q116" s="508"/>
      <c r="R116" s="507"/>
      <c r="S116" s="496"/>
      <c r="T116"/>
      <c r="U116"/>
      <c r="V116"/>
    </row>
    <row r="117" spans="1:22" x14ac:dyDescent="0.25">
      <c r="A117" s="502"/>
      <c r="B117" s="507"/>
      <c r="C117" s="507"/>
      <c r="D117" s="508"/>
      <c r="E117" s="508"/>
      <c r="F117" s="508"/>
      <c r="G117" s="508"/>
      <c r="H117" s="508"/>
      <c r="I117" s="507"/>
      <c r="J117" s="507"/>
      <c r="K117" s="508"/>
      <c r="L117" s="508"/>
      <c r="M117" s="508"/>
      <c r="N117" s="508"/>
      <c r="O117" s="507"/>
      <c r="P117" s="507"/>
      <c r="Q117" s="508"/>
      <c r="R117" s="507"/>
      <c r="S117" s="496"/>
      <c r="T117"/>
      <c r="U117"/>
      <c r="V117"/>
    </row>
    <row r="118" spans="1:22" x14ac:dyDescent="0.25">
      <c r="A118" s="504"/>
      <c r="B118" s="500"/>
      <c r="C118" s="504"/>
      <c r="D118" s="501"/>
      <c r="E118" s="501"/>
      <c r="F118" s="501"/>
      <c r="G118" s="501"/>
      <c r="H118" s="501"/>
      <c r="I118" s="504"/>
      <c r="J118" s="504"/>
      <c r="K118" s="501"/>
      <c r="L118" s="501"/>
      <c r="M118" s="501"/>
      <c r="N118" s="501"/>
      <c r="O118" s="504"/>
      <c r="P118" s="504"/>
      <c r="Q118" s="501"/>
      <c r="R118" s="504"/>
      <c r="S118" s="495"/>
      <c r="T118"/>
      <c r="U118"/>
      <c r="V118"/>
    </row>
    <row r="119" spans="1:22" x14ac:dyDescent="0.25">
      <c r="A119" s="504"/>
      <c r="B119" s="500"/>
      <c r="C119" s="504"/>
      <c r="D119" s="501"/>
      <c r="E119" s="501"/>
      <c r="F119" s="501"/>
      <c r="G119" s="501"/>
      <c r="H119" s="501"/>
      <c r="I119" s="504"/>
      <c r="J119" s="504"/>
      <c r="K119" s="501"/>
      <c r="L119" s="501"/>
      <c r="M119" s="501"/>
      <c r="N119" s="501"/>
      <c r="O119" s="504"/>
      <c r="P119" s="504"/>
      <c r="Q119" s="501"/>
      <c r="R119" s="504"/>
      <c r="S119" s="495"/>
      <c r="T119"/>
      <c r="U119"/>
      <c r="V119"/>
    </row>
    <row r="120" spans="1:22" x14ac:dyDescent="0.25">
      <c r="A120" s="504"/>
      <c r="B120" s="500"/>
      <c r="C120" s="504"/>
      <c r="D120" s="501"/>
      <c r="E120" s="501"/>
      <c r="F120" s="501"/>
      <c r="G120" s="501"/>
      <c r="H120" s="501"/>
      <c r="I120" s="504"/>
      <c r="J120" s="504"/>
      <c r="K120" s="501"/>
      <c r="L120" s="501"/>
      <c r="M120" s="501"/>
      <c r="N120" s="501"/>
      <c r="O120" s="504"/>
      <c r="P120" s="504"/>
      <c r="Q120" s="501"/>
      <c r="R120" s="504"/>
      <c r="S120" s="495"/>
      <c r="T120"/>
      <c r="U120"/>
      <c r="V120"/>
    </row>
    <row r="121" spans="1:22" x14ac:dyDescent="0.25">
      <c r="A121" s="504"/>
      <c r="B121" s="500"/>
      <c r="C121" s="504"/>
      <c r="D121" s="501"/>
      <c r="E121" s="501"/>
      <c r="F121" s="501"/>
      <c r="G121" s="501"/>
      <c r="H121" s="501"/>
      <c r="I121" s="504"/>
      <c r="J121" s="504"/>
      <c r="K121" s="501"/>
      <c r="L121" s="501"/>
      <c r="M121" s="501"/>
      <c r="N121" s="501"/>
      <c r="O121" s="504"/>
      <c r="P121" s="504"/>
      <c r="Q121" s="501"/>
      <c r="R121" s="504"/>
      <c r="S121" s="495"/>
      <c r="T121"/>
      <c r="U121"/>
      <c r="V121"/>
    </row>
    <row r="122" spans="1:22" x14ac:dyDescent="0.25">
      <c r="A122" s="504"/>
      <c r="B122" s="500"/>
      <c r="C122" s="504"/>
      <c r="D122" s="501"/>
      <c r="E122" s="501"/>
      <c r="F122" s="501"/>
      <c r="G122" s="501"/>
      <c r="H122" s="501"/>
      <c r="I122" s="504"/>
      <c r="J122" s="504"/>
      <c r="K122" s="501"/>
      <c r="L122" s="501"/>
      <c r="M122" s="501"/>
      <c r="N122" s="501"/>
      <c r="O122" s="504"/>
      <c r="P122" s="504"/>
      <c r="Q122" s="501"/>
      <c r="R122" s="504"/>
      <c r="S122" s="495"/>
      <c r="T122"/>
      <c r="U122"/>
      <c r="V122"/>
    </row>
    <row r="123" spans="1:22" x14ac:dyDescent="0.25">
      <c r="A123" s="504"/>
      <c r="B123" s="500"/>
      <c r="C123" s="504"/>
      <c r="D123" s="501"/>
      <c r="E123" s="501"/>
      <c r="F123" s="501"/>
      <c r="G123" s="501"/>
      <c r="H123" s="501"/>
      <c r="I123" s="504"/>
      <c r="J123" s="504"/>
      <c r="K123" s="501"/>
      <c r="L123" s="501"/>
      <c r="M123" s="501"/>
      <c r="N123" s="501"/>
      <c r="O123" s="504"/>
      <c r="P123" s="504"/>
      <c r="Q123" s="501"/>
      <c r="R123" s="504"/>
      <c r="S123" s="495"/>
      <c r="T123"/>
      <c r="U123"/>
      <c r="V123"/>
    </row>
    <row r="124" spans="1:22" x14ac:dyDescent="0.25">
      <c r="A124" s="509"/>
      <c r="B124" s="510"/>
      <c r="C124" s="509"/>
      <c r="D124" s="511"/>
      <c r="E124" s="511"/>
      <c r="F124" s="511"/>
      <c r="G124" s="511"/>
      <c r="H124" s="511"/>
      <c r="I124" s="509"/>
      <c r="J124" s="509"/>
      <c r="K124" s="511"/>
      <c r="L124" s="511"/>
      <c r="M124" s="511"/>
      <c r="N124" s="511"/>
      <c r="O124" s="509"/>
      <c r="P124" s="509"/>
      <c r="Q124" s="511"/>
      <c r="R124" s="509"/>
      <c r="S124" s="497"/>
      <c r="T124"/>
      <c r="U124"/>
      <c r="V124"/>
    </row>
    <row r="125" spans="1:22" x14ac:dyDescent="0.25">
      <c r="A125"/>
      <c r="B125"/>
      <c r="C125"/>
      <c r="D125"/>
      <c r="E125"/>
      <c r="F125"/>
      <c r="G125"/>
      <c r="H125"/>
      <c r="I125"/>
      <c r="J125"/>
      <c r="K125"/>
      <c r="L125"/>
      <c r="M125"/>
      <c r="N125"/>
      <c r="O125"/>
      <c r="P125"/>
      <c r="Q125"/>
      <c r="R125"/>
      <c r="S125"/>
      <c r="T125"/>
      <c r="U125"/>
      <c r="V125"/>
    </row>
    <row r="126" spans="1:22" x14ac:dyDescent="0.25">
      <c r="A126"/>
      <c r="B126"/>
      <c r="C126"/>
      <c r="D126"/>
      <c r="E126"/>
      <c r="F126"/>
      <c r="G126"/>
      <c r="H126"/>
      <c r="I126"/>
      <c r="J126"/>
      <c r="K126"/>
      <c r="L126"/>
      <c r="M126"/>
      <c r="N126"/>
      <c r="O126"/>
      <c r="P126"/>
      <c r="Q126"/>
      <c r="R126"/>
      <c r="S126"/>
      <c r="T126"/>
      <c r="U126"/>
      <c r="V126"/>
    </row>
    <row r="127" spans="1:22" x14ac:dyDescent="0.25">
      <c r="A127"/>
      <c r="B127"/>
      <c r="C127"/>
      <c r="D127"/>
      <c r="E127"/>
      <c r="F127"/>
      <c r="G127"/>
      <c r="H127"/>
      <c r="I127"/>
      <c r="J127"/>
      <c r="K127"/>
      <c r="L127"/>
      <c r="M127"/>
      <c r="N127"/>
      <c r="O127"/>
      <c r="P127"/>
      <c r="Q127"/>
      <c r="R127"/>
      <c r="S127"/>
      <c r="T127"/>
      <c r="U127"/>
      <c r="V127"/>
    </row>
    <row r="128" spans="1:22" x14ac:dyDescent="0.25">
      <c r="A128"/>
      <c r="B128"/>
      <c r="C128"/>
      <c r="D128"/>
      <c r="E128"/>
      <c r="F128"/>
      <c r="G128"/>
      <c r="H128"/>
      <c r="I128"/>
      <c r="J128"/>
      <c r="K128"/>
      <c r="L128"/>
      <c r="M128"/>
      <c r="N128"/>
      <c r="O128"/>
      <c r="P128"/>
      <c r="Q128"/>
      <c r="R128"/>
      <c r="S128"/>
      <c r="T128"/>
      <c r="U128"/>
      <c r="V128"/>
    </row>
    <row r="129" spans="1:22" x14ac:dyDescent="0.25">
      <c r="A129"/>
      <c r="B129"/>
      <c r="C129"/>
      <c r="D129"/>
      <c r="E129"/>
      <c r="F129"/>
      <c r="G129"/>
      <c r="H129"/>
      <c r="I129"/>
      <c r="J129"/>
      <c r="K129"/>
      <c r="L129"/>
      <c r="M129"/>
      <c r="N129"/>
      <c r="O129"/>
      <c r="P129"/>
      <c r="Q129"/>
      <c r="R129"/>
      <c r="S129"/>
      <c r="T129"/>
      <c r="U129"/>
      <c r="V129"/>
    </row>
    <row r="130" spans="1:22" x14ac:dyDescent="0.25">
      <c r="A130"/>
      <c r="B130"/>
      <c r="C130"/>
      <c r="D130"/>
      <c r="E130"/>
      <c r="F130"/>
      <c r="G130"/>
      <c r="H130"/>
      <c r="I130"/>
      <c r="J130"/>
      <c r="K130"/>
      <c r="L130"/>
      <c r="M130"/>
      <c r="N130"/>
      <c r="O130"/>
      <c r="P130"/>
      <c r="Q130"/>
      <c r="R130"/>
      <c r="S130"/>
      <c r="T130"/>
      <c r="U130"/>
      <c r="V130"/>
    </row>
    <row r="131" spans="1:22" x14ac:dyDescent="0.25">
      <c r="A131"/>
      <c r="B131"/>
      <c r="C131"/>
      <c r="D131"/>
      <c r="E131"/>
      <c r="F131"/>
      <c r="G131"/>
      <c r="H131"/>
      <c r="I131"/>
      <c r="J131"/>
      <c r="K131"/>
      <c r="L131"/>
      <c r="M131"/>
      <c r="N131"/>
      <c r="O131"/>
      <c r="P131"/>
      <c r="Q131"/>
      <c r="R131"/>
      <c r="S131"/>
      <c r="T131"/>
      <c r="U131"/>
      <c r="V131"/>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5" tint="0.59999389629810485"/>
  </sheetPr>
  <dimension ref="A1:H26"/>
  <sheetViews>
    <sheetView showGridLines="0" showZeros="0" view="pageLayout" topLeftCell="A7" zoomScaleNormal="70" zoomScaleSheetLayoutView="100" workbookViewId="0">
      <selection activeCell="G10" sqref="G10"/>
    </sheetView>
  </sheetViews>
  <sheetFormatPr defaultColWidth="9" defaultRowHeight="15" x14ac:dyDescent="0.2"/>
  <cols>
    <col min="1" max="1" width="33.375" style="99" customWidth="1"/>
    <col min="2" max="2" width="9" style="99"/>
    <col min="3" max="3" width="11.125" style="99" customWidth="1"/>
    <col min="4" max="4" width="10.625" style="99" customWidth="1"/>
    <col min="5" max="5" width="10.125" style="99" customWidth="1"/>
    <col min="6" max="6" width="13.25" style="99" customWidth="1"/>
    <col min="7" max="7" width="8.625" style="99" customWidth="1"/>
    <col min="8" max="8" width="9.125" style="99" customWidth="1"/>
    <col min="9" max="16384" width="9" style="99"/>
  </cols>
  <sheetData>
    <row r="1" spans="1:8" ht="18" x14ac:dyDescent="0.25">
      <c r="A1" s="544" t="s">
        <v>323</v>
      </c>
      <c r="B1" s="544"/>
      <c r="C1" s="544"/>
      <c r="D1" s="544"/>
      <c r="E1" s="544"/>
      <c r="F1" s="544"/>
      <c r="G1" s="544"/>
      <c r="H1" s="544"/>
    </row>
    <row r="2" spans="1:8" ht="15.75" customHeight="1" x14ac:dyDescent="0.2">
      <c r="A2" s="601"/>
      <c r="B2" s="92"/>
      <c r="C2" s="92"/>
      <c r="D2" s="92"/>
      <c r="E2" s="92"/>
      <c r="F2" s="92"/>
      <c r="G2" s="92"/>
      <c r="H2" s="92"/>
    </row>
    <row r="3" spans="1:8" ht="15.75" x14ac:dyDescent="0.25">
      <c r="A3" s="665" t="s">
        <v>188</v>
      </c>
      <c r="B3" s="665"/>
      <c r="C3" s="665"/>
      <c r="D3" s="665"/>
      <c r="E3" s="665"/>
      <c r="F3" s="665"/>
      <c r="G3" s="665"/>
      <c r="H3" s="665"/>
    </row>
    <row r="4" spans="1:8" ht="15.75" x14ac:dyDescent="0.25">
      <c r="A4" s="665" t="s">
        <v>320</v>
      </c>
      <c r="B4" s="665"/>
      <c r="C4" s="665"/>
      <c r="D4" s="665"/>
      <c r="E4" s="665"/>
      <c r="F4" s="665"/>
      <c r="G4" s="665"/>
      <c r="H4" s="665"/>
    </row>
    <row r="5" spans="1:8" ht="15.75" customHeight="1" x14ac:dyDescent="0.2">
      <c r="A5" s="93"/>
      <c r="B5" s="93"/>
      <c r="C5" s="93"/>
      <c r="D5" s="93"/>
      <c r="E5" s="93"/>
      <c r="F5" s="93"/>
      <c r="G5" s="93"/>
      <c r="H5" s="93"/>
    </row>
    <row r="6" spans="1:8" ht="15.75" customHeight="1" x14ac:dyDescent="0.2">
      <c r="A6" s="602"/>
      <c r="B6" s="94"/>
      <c r="C6" s="94" t="s">
        <v>189</v>
      </c>
      <c r="D6" s="94" t="s">
        <v>190</v>
      </c>
      <c r="E6" s="94"/>
      <c r="F6" s="94" t="s">
        <v>89</v>
      </c>
      <c r="G6" s="94" t="s">
        <v>191</v>
      </c>
      <c r="H6" s="94" t="s">
        <v>192</v>
      </c>
    </row>
    <row r="7" spans="1:8" ht="15.75" customHeight="1" x14ac:dyDescent="0.2">
      <c r="A7" s="603"/>
      <c r="B7" s="95" t="s">
        <v>99</v>
      </c>
      <c r="C7" s="95" t="s">
        <v>99</v>
      </c>
      <c r="D7" s="95" t="s">
        <v>99</v>
      </c>
      <c r="E7" s="95" t="s">
        <v>102</v>
      </c>
      <c r="F7" s="95" t="s">
        <v>83</v>
      </c>
      <c r="G7" s="95" t="s">
        <v>193</v>
      </c>
      <c r="H7" s="95" t="s">
        <v>194</v>
      </c>
    </row>
    <row r="8" spans="1:8" ht="15" customHeight="1" x14ac:dyDescent="0.2">
      <c r="A8" s="560" t="s">
        <v>195</v>
      </c>
      <c r="B8" s="96">
        <f>+GETPIVOTDATA(" Old Prof avg",'Averages Pivot Table'!$A$3,"Category",1,"Category2","Four-Year")</f>
        <v>116647.4795533529</v>
      </c>
      <c r="C8" s="96">
        <f>+GETPIVOTDATA(" Old Asc. avg",'Averages Pivot Table'!$A$3,"Category",1,"Category2","Four-Year")</f>
        <v>79988.241145602064</v>
      </c>
      <c r="D8" s="96">
        <f>+GETPIVOTDATA(" Old Ast. avg",'Averages Pivot Table'!$A$3,"Category",1,"Category2","Four-Year")</f>
        <v>69137.159192721447</v>
      </c>
      <c r="E8" s="96">
        <f>+GETPIVOTDATA(" Old Inst. avg",'Averages Pivot Table'!$A$3,"Category",1,"Category2","Four-Year")</f>
        <v>46133.865822981388</v>
      </c>
      <c r="F8" s="96">
        <f>+GETPIVOTDATA(" Old Undesg. avg",'Averages Pivot Table'!$A$3,"Category",1,"Category2","Four-Year")</f>
        <v>53424.883801003496</v>
      </c>
      <c r="G8" s="96">
        <f>+GETPIVOTDATA(" Old Single Rnk avg",'Averages Pivot Table'!$A$3,"Category",1,"Category2","Four-Year")</f>
        <v>0</v>
      </c>
      <c r="H8" s="96">
        <f>+GETPIVOTDATA(" Old All Ranks avg",'Averages Pivot Table'!$A$3,"Category",1,"Category2","Four-Year")</f>
        <v>86344.785370794707</v>
      </c>
    </row>
    <row r="9" spans="1:8" ht="15" customHeight="1" x14ac:dyDescent="0.2">
      <c r="A9" s="560" t="s">
        <v>196</v>
      </c>
      <c r="B9" s="97">
        <f>+GETPIVOTDATA(" Old Prof avg",'Averages Pivot Table'!$A$3,"Category",2,"Category2","Four-Year")</f>
        <v>107865.76056013755</v>
      </c>
      <c r="C9" s="97">
        <f>+GETPIVOTDATA(" Old Asc. avg",'Averages Pivot Table'!$A$3,"Category",2,"Category2","Four-Year")</f>
        <v>77058.296388039031</v>
      </c>
      <c r="D9" s="97">
        <f>+GETPIVOTDATA(" Old Ast. avg",'Averages Pivot Table'!$A$3,"Category",2,"Category2","Four-Year")</f>
        <v>65078.026349603875</v>
      </c>
      <c r="E9" s="97">
        <f>+GETPIVOTDATA(" Old Inst. avg",'Averages Pivot Table'!$A$3,"Category",2,"Category2","Four-Year")</f>
        <v>44431.651460163499</v>
      </c>
      <c r="F9" s="97">
        <f>+GETPIVOTDATA(" Old Undesg. avg",'Averages Pivot Table'!$A$3,"Category",2,"Category2","Four-Year")</f>
        <v>47382.976259172523</v>
      </c>
      <c r="G9" s="97">
        <f>+GETPIVOTDATA(" Old Single Rnk avg",'Averages Pivot Table'!$A$3,"Category",2,"Category2","Four-Year")</f>
        <v>0</v>
      </c>
      <c r="H9" s="97">
        <f>+GETPIVOTDATA(" Old All Ranks avg",'Averages Pivot Table'!$A$3,"Category",2,"Category2","Four-Year")</f>
        <v>77611.723464561204</v>
      </c>
    </row>
    <row r="10" spans="1:8" ht="15" customHeight="1" x14ac:dyDescent="0.2">
      <c r="A10" s="560" t="s">
        <v>197</v>
      </c>
      <c r="B10" s="97">
        <f>+GETPIVOTDATA(" Old Prof avg",'Averages Pivot Table'!$A$3,"Category",3,"Category2","Four-Year")</f>
        <v>83399.699051345568</v>
      </c>
      <c r="C10" s="97">
        <f>+GETPIVOTDATA(" Old Asc. avg",'Averages Pivot Table'!$A$3,"Category",3,"Category2","Four-Year")</f>
        <v>67480.256771660308</v>
      </c>
      <c r="D10" s="97">
        <f>+GETPIVOTDATA(" Old Ast. avg",'Averages Pivot Table'!$A$3,"Category",3,"Category2","Four-Year")</f>
        <v>57551.809768991763</v>
      </c>
      <c r="E10" s="97">
        <f>+GETPIVOTDATA(" Old Inst. avg",'Averages Pivot Table'!$A$3,"Category",3,"Category2","Four-Year")</f>
        <v>43220.781382443529</v>
      </c>
      <c r="F10" s="97">
        <f>+GETPIVOTDATA(" Old Undesg. avg",'Averages Pivot Table'!$A$3,"Category",3,"Category2","Four-Year")</f>
        <v>46072.406334395877</v>
      </c>
      <c r="G10" s="97">
        <f>+GETPIVOTDATA(" Old Single Rnk avg",'Averages Pivot Table'!$A$3,"Category",3,"Category2","Four-Year")</f>
        <v>0</v>
      </c>
      <c r="H10" s="97">
        <f>+GETPIVOTDATA(" Old All Ranks avg",'Averages Pivot Table'!$A$3,"Category",3,"Category2","Four-Year")</f>
        <v>65262.438080962056</v>
      </c>
    </row>
    <row r="11" spans="1:8" ht="15" customHeight="1" x14ac:dyDescent="0.2">
      <c r="A11" s="560" t="s">
        <v>198</v>
      </c>
      <c r="B11" s="97">
        <f>+GETPIVOTDATA(" Old Prof avg",'Averages Pivot Table'!$A$3,"Category",4,"Category2","Four-Year")</f>
        <v>80111.53917584446</v>
      </c>
      <c r="C11" s="97">
        <f>+GETPIVOTDATA(" Old Asc. avg",'Averages Pivot Table'!$A$3,"Category",4,"Category2","Four-Year")</f>
        <v>65508.34820585428</v>
      </c>
      <c r="D11" s="97">
        <f>+GETPIVOTDATA(" Old Ast. avg",'Averages Pivot Table'!$A$3,"Category",4,"Category2","Four-Year")</f>
        <v>56163.330166117754</v>
      </c>
      <c r="E11" s="97">
        <f>+GETPIVOTDATA(" Old Inst. avg",'Averages Pivot Table'!$A$3,"Category",4,"Category2","Four-Year")</f>
        <v>43937.705334004218</v>
      </c>
      <c r="F11" s="97">
        <f>+GETPIVOTDATA(" Old Undesg. avg",'Averages Pivot Table'!$A$3,"Category",4,"Category2","Four-Year")</f>
        <v>46237.267403943042</v>
      </c>
      <c r="G11" s="97">
        <f>+GETPIVOTDATA(" Old Single Rnk avg",'Averages Pivot Table'!$A$3,"Category",4,"Category2","Four-Year")</f>
        <v>0</v>
      </c>
      <c r="H11" s="97">
        <f>+GETPIVOTDATA(" Old All Ranks avg",'Averages Pivot Table'!$A$3,"Category",4,"Category2","Four-Year")</f>
        <v>61597.011568183159</v>
      </c>
    </row>
    <row r="12" spans="1:8" ht="15" customHeight="1" x14ac:dyDescent="0.2">
      <c r="A12" s="560" t="s">
        <v>199</v>
      </c>
      <c r="B12" s="97">
        <f>+GETPIVOTDATA(" Old Prof avg",'Averages Pivot Table'!$A$3,"Category",5,"Category2","Four-Year")</f>
        <v>76418.573802389088</v>
      </c>
      <c r="C12" s="97">
        <f>+GETPIVOTDATA(" Old Asc. avg",'Averages Pivot Table'!$A$3,"Category",5,"Category2","Four-Year")</f>
        <v>63655.17663658518</v>
      </c>
      <c r="D12" s="97">
        <f>+GETPIVOTDATA(" Old Ast. avg",'Averages Pivot Table'!$A$3,"Category",5,"Category2","Four-Year")</f>
        <v>54179.378735377657</v>
      </c>
      <c r="E12" s="97">
        <f>+GETPIVOTDATA(" Old Inst. avg",'Averages Pivot Table'!$A$3,"Category",5,"Category2","Four-Year")</f>
        <v>44983.085352494294</v>
      </c>
      <c r="F12" s="97">
        <f>+GETPIVOTDATA(" Old Undesg. avg",'Averages Pivot Table'!$A$3,"Category",5,"Category2","Four-Year")</f>
        <v>44679.64272302483</v>
      </c>
      <c r="G12" s="97">
        <f>+GETPIVOTDATA(" Old Single Rnk avg",'Averages Pivot Table'!$A$3,"Category",5,"Category2","Four-Year")</f>
        <v>0</v>
      </c>
      <c r="H12" s="97">
        <f>+GETPIVOTDATA(" Old All Ranks avg",'Averages Pivot Table'!$A$3,"Category",5,"Category2","Four-Year")</f>
        <v>59803.985499071277</v>
      </c>
    </row>
    <row r="13" spans="1:8" ht="15" customHeight="1" x14ac:dyDescent="0.2">
      <c r="A13" s="560" t="s">
        <v>200</v>
      </c>
      <c r="B13" s="97">
        <f>+GETPIVOTDATA(" Old Prof avg",'Averages Pivot Table'!$A$3,"Category",6,"Category2","Four-Year")</f>
        <v>75959.054483390995</v>
      </c>
      <c r="C13" s="97">
        <f>+GETPIVOTDATA(" Old Asc. avg",'Averages Pivot Table'!$A$3,"Category",6,"Category2","Four-Year")</f>
        <v>61331.35819941567</v>
      </c>
      <c r="D13" s="97">
        <f>+GETPIVOTDATA(" Old Ast. avg",'Averages Pivot Table'!$A$3,"Category",6,"Category2","Four-Year")</f>
        <v>52830.335523860587</v>
      </c>
      <c r="E13" s="97">
        <f>+GETPIVOTDATA(" Old Inst. avg",'Averages Pivot Table'!$A$3,"Category",6,"Category2","Four-Year")</f>
        <v>41470.456577440345</v>
      </c>
      <c r="F13" s="97">
        <f>+GETPIVOTDATA(" Old Undesg. avg",'Averages Pivot Table'!$A$3,"Category",6,"Category2","Four-Year")</f>
        <v>45958.604873668643</v>
      </c>
      <c r="G13" s="97">
        <f>+GETPIVOTDATA(" Old Single Rnk avg",'Averages Pivot Table'!$A$3,"Category",6,"Category2","Four-Year")</f>
        <v>0</v>
      </c>
      <c r="H13" s="97">
        <f>+GETPIVOTDATA(" Old All Ranks avg",'Averages Pivot Table'!$A$3,"Category",6,"Category2","Four-Year")</f>
        <v>57684.047198899352</v>
      </c>
    </row>
    <row r="14" spans="1:8" ht="15" customHeight="1" x14ac:dyDescent="0.2">
      <c r="A14" s="604" t="s">
        <v>201</v>
      </c>
      <c r="B14" s="97">
        <f>+GETPIVOTDATA(" Old Prof avg",'Averages Pivot Table'!$A$3,"Category2","Four-Year")</f>
        <v>103171.35836739712</v>
      </c>
      <c r="C14" s="97">
        <f>+GETPIVOTDATA(" Old Asc. avg",'Averages Pivot Table'!$A$3,"Category2","Four-Year")</f>
        <v>73867.059970744565</v>
      </c>
      <c r="D14" s="97">
        <f>+GETPIVOTDATA(" Old Ast. avg",'Averages Pivot Table'!$A$3,"Category2","Four-Year")</f>
        <v>62384.662165140937</v>
      </c>
      <c r="E14" s="97">
        <f>+GETPIVOTDATA(" Old Inst. avg",'Averages Pivot Table'!$A$3,"Category2","Four-Year")</f>
        <v>44496.715302167962</v>
      </c>
      <c r="F14" s="97">
        <f>+GETPIVOTDATA(" Old Undesg. avg",'Averages Pivot Table'!$A$3,"Category2","Four-Year")</f>
        <v>49526.454898951015</v>
      </c>
      <c r="G14" s="97">
        <f>+GETPIVOTDATA(" Old Single Rnk avg",'Averages Pivot Table'!$A$3,"Category2","Four-Year")</f>
        <v>0</v>
      </c>
      <c r="H14" s="97">
        <f>+GETPIVOTDATA(" Old All Ranks avg",'Averages Pivot Table'!$A$3,"Category2","Four-Year")</f>
        <v>75400.498321541643</v>
      </c>
    </row>
    <row r="15" spans="1:8" ht="15" customHeight="1" x14ac:dyDescent="0.2">
      <c r="A15" s="560"/>
      <c r="B15" s="97"/>
      <c r="C15" s="97"/>
      <c r="D15" s="97"/>
      <c r="E15" s="97"/>
      <c r="F15" s="97"/>
      <c r="G15" s="97"/>
      <c r="H15" s="97"/>
    </row>
    <row r="16" spans="1:8" ht="15" customHeight="1" x14ac:dyDescent="0.2">
      <c r="A16" s="560" t="s">
        <v>73</v>
      </c>
      <c r="B16" s="97">
        <f>+GETPIVOTDATA(" Old Prof avg",'Averages Pivot Table'!$A$3,"Category",7,"Category2","Two-Year")</f>
        <v>64645.144191397856</v>
      </c>
      <c r="C16" s="97">
        <f>+GETPIVOTDATA(" Old Asc. avg",'Averages Pivot Table'!$A$3,"Category",7,"Category2","Two-Year")</f>
        <v>53514.489106796122</v>
      </c>
      <c r="D16" s="97">
        <f>+GETPIVOTDATA(" Old Ast. avg",'Averages Pivot Table'!$A$3,"Category",7,"Category2","Two-Year")</f>
        <v>45935.378254482763</v>
      </c>
      <c r="E16" s="97">
        <f>+GETPIVOTDATA(" Old Inst. avg",'Averages Pivot Table'!$A$3,"Category",7,"Category2","Two-Year")</f>
        <v>48844.768771884985</v>
      </c>
      <c r="F16" s="97">
        <f>+GETPIVOTDATA(" Old Undesg. avg",'Averages Pivot Table'!$A$3,"Category",7,"Category2","Two-Year")</f>
        <v>36948.160200000006</v>
      </c>
      <c r="G16" s="97">
        <f>+GETPIVOTDATA(" Old Single Rnk avg",'Averages Pivot Table'!$A$3,"Category",7,"Category2","Two-Year")</f>
        <v>56928.99717710894</v>
      </c>
      <c r="H16" s="97">
        <f>+GETPIVOTDATA(" Old All Ranks avg",'Averages Pivot Table'!$A$3,"Category",7,"Category2","Two-Year")</f>
        <v>54704.754153011076</v>
      </c>
    </row>
    <row r="17" spans="1:8" ht="15" customHeight="1" x14ac:dyDescent="0.2">
      <c r="A17" s="560" t="s">
        <v>202</v>
      </c>
      <c r="B17" s="97">
        <f>+GETPIVOTDATA(" Old Prof avg",'Averages Pivot Table'!$A$3,"Category",8,"Category2","Two-Year")</f>
        <v>69860.45039425604</v>
      </c>
      <c r="C17" s="97">
        <f>+GETPIVOTDATA(" Old Asc. avg",'Averages Pivot Table'!$A$3,"Category",8,"Category2","Two-Year")</f>
        <v>55998.134838840095</v>
      </c>
      <c r="D17" s="97">
        <f>+GETPIVOTDATA(" Old Ast. avg",'Averages Pivot Table'!$A$3,"Category",8,"Category2","Two-Year")</f>
        <v>52210.84537918344</v>
      </c>
      <c r="E17" s="97">
        <f>+GETPIVOTDATA(" Old Inst. avg",'Averages Pivot Table'!$A$3,"Category",8,"Category2","Two-Year")</f>
        <v>48842.762754375006</v>
      </c>
      <c r="F17" s="97">
        <f>+GETPIVOTDATA(" Old Undesg. avg",'Averages Pivot Table'!$A$3,"Category",8,"Category2","Two-Year")</f>
        <v>45604.981352767529</v>
      </c>
      <c r="G17" s="97">
        <f>+GETPIVOTDATA(" Old Single Rnk avg",'Averages Pivot Table'!$A$3,"Category",8,"Category2","Two-Year")</f>
        <v>51770.526983135554</v>
      </c>
      <c r="H17" s="97">
        <f>+GETPIVOTDATA(" Old All Ranks avg",'Averages Pivot Table'!$A$3,"Category",8,"Category2","Two-Year")</f>
        <v>53637.213173291741</v>
      </c>
    </row>
    <row r="18" spans="1:8" ht="15" customHeight="1" x14ac:dyDescent="0.2">
      <c r="A18" s="560" t="s">
        <v>203</v>
      </c>
      <c r="B18" s="97">
        <f>+GETPIVOTDATA(" Old Prof avg",'Averages Pivot Table'!$A$3,"Category",9,"Category2","Two-Year")</f>
        <v>57026.127636472607</v>
      </c>
      <c r="C18" s="97">
        <f>+GETPIVOTDATA(" Old Asc. avg",'Averages Pivot Table'!$A$3,"Category",9,"Category2","Two-Year")</f>
        <v>50290.64751234257</v>
      </c>
      <c r="D18" s="97">
        <f>+GETPIVOTDATA(" Old Ast. avg",'Averages Pivot Table'!$A$3,"Category",9,"Category2","Two-Year")</f>
        <v>45991.150766402679</v>
      </c>
      <c r="E18" s="97">
        <f>+GETPIVOTDATA(" Old Inst. avg",'Averages Pivot Table'!$A$3,"Category",9,"Category2","Two-Year")</f>
        <v>42338.589546545954</v>
      </c>
      <c r="F18" s="97">
        <f>+GETPIVOTDATA(" Old Undesg. avg",'Averages Pivot Table'!$A$3,"Category",9,"Category2","Two-Year")</f>
        <v>44910.071103645831</v>
      </c>
      <c r="G18" s="97">
        <f>+GETPIVOTDATA(" Old Single Rnk avg",'Averages Pivot Table'!$A$3,"Category",9,"Category2","Two-Year")</f>
        <v>49619.581149000922</v>
      </c>
      <c r="H18" s="97">
        <f>+GETPIVOTDATA(" Old All Ranks avg",'Averages Pivot Table'!$A$3,"Category",9,"Category2","Two-Year")</f>
        <v>48691.620113288482</v>
      </c>
    </row>
    <row r="19" spans="1:8" ht="15" customHeight="1" x14ac:dyDescent="0.2">
      <c r="A19" s="560" t="s">
        <v>74</v>
      </c>
      <c r="B19" s="97">
        <f>+GETPIVOTDATA(" Old Prof avg",'Averages Pivot Table'!$A$3,"Category",10,"Category2","Two-Year")</f>
        <v>60938.417352554745</v>
      </c>
      <c r="C19" s="97">
        <f>+GETPIVOTDATA(" Old Asc. avg",'Averages Pivot Table'!$A$3,"Category",10,"Category2","Two-Year")</f>
        <v>52875.701065517242</v>
      </c>
      <c r="D19" s="97">
        <f>+GETPIVOTDATA(" Old Ast. avg",'Averages Pivot Table'!$A$3,"Category",10,"Category2","Two-Year")</f>
        <v>45820.355703589739</v>
      </c>
      <c r="E19" s="97">
        <f>+GETPIVOTDATA(" Old Inst. avg",'Averages Pivot Table'!$A$3,"Category",10,"Category2","Two-Year")</f>
        <v>39540.829211267606</v>
      </c>
      <c r="F19" s="97">
        <f>+GETPIVOTDATA(" Old Undesg. avg",'Averages Pivot Table'!$A$3,"Category",10,"Category2","Two-Year")</f>
        <v>40916.999621118011</v>
      </c>
      <c r="G19" s="97">
        <f>+GETPIVOTDATA(" Old Single Rnk avg",'Averages Pivot Table'!$A$3,"Category",10,"Category2","Two-Year")</f>
        <v>45717.060158957654</v>
      </c>
      <c r="H19" s="97">
        <f>+GETPIVOTDATA(" Old All Ranks avg",'Averages Pivot Table'!$A$3,"Category",10,"Category2","Two-Year")</f>
        <v>45773.151378810107</v>
      </c>
    </row>
    <row r="20" spans="1:8" ht="15" customHeight="1" x14ac:dyDescent="0.2">
      <c r="A20" s="604" t="s">
        <v>75</v>
      </c>
      <c r="B20" s="97">
        <f>+GETPIVOTDATA(" Old Prof avg",'Averages Pivot Table'!$A$3,"Category2","Two-Year")</f>
        <v>65698.362478145587</v>
      </c>
      <c r="C20" s="97">
        <f>+GETPIVOTDATA(" Old Asc. avg",'Averages Pivot Table'!$A$3,"Category2","Two-Year")</f>
        <v>54791.319547830208</v>
      </c>
      <c r="D20" s="97">
        <f>+GETPIVOTDATA(" Old Ast. avg",'Averages Pivot Table'!$A$3,"Category2","Two-Year")</f>
        <v>49789.775566738914</v>
      </c>
      <c r="E20" s="97">
        <f>+GETPIVOTDATA(" Old Inst. avg",'Averages Pivot Table'!$A$3,"Category2","Two-Year")</f>
        <v>46025.767580464613</v>
      </c>
      <c r="F20" s="97">
        <f>+GETPIVOTDATA(" Old Undesg. avg",'Averages Pivot Table'!$A$3,"Category2","Two-Year")</f>
        <v>44926.961267470913</v>
      </c>
      <c r="G20" s="97">
        <f>+GETPIVOTDATA(" Old Single Rnk avg",'Averages Pivot Table'!$A$3,"Category2","Two-Year")</f>
        <v>50874.605263073798</v>
      </c>
      <c r="H20" s="97">
        <f>+GETPIVOTDATA(" Old All Ranks avg",'Averages Pivot Table'!$A$3,"Category2","Two-Year")</f>
        <v>51679.10817866453</v>
      </c>
    </row>
    <row r="21" spans="1:8" ht="15" customHeight="1" x14ac:dyDescent="0.2">
      <c r="A21" s="560"/>
      <c r="B21" s="97"/>
      <c r="C21" s="97"/>
      <c r="D21" s="97"/>
      <c r="E21" s="97"/>
      <c r="F21" s="97"/>
      <c r="G21" s="97"/>
      <c r="H21" s="97"/>
    </row>
    <row r="22" spans="1:8" ht="15" customHeight="1" x14ac:dyDescent="0.2">
      <c r="A22" s="560" t="s">
        <v>8</v>
      </c>
      <c r="B22" s="97">
        <f>+GETPIVOTDATA(" Old Prof avg",'Averages Pivot Table'!$A$3,"Category",12,"Category2","Technical")</f>
        <v>61578.059739999997</v>
      </c>
      <c r="C22" s="97">
        <f>+GETPIVOTDATA(" Old Asc. avg",'Averages Pivot Table'!$A$3,"Category",12,"Category2","Technical")</f>
        <v>49410.908539999997</v>
      </c>
      <c r="D22" s="97">
        <f>+GETPIVOTDATA(" Old Ast. avg",'Averages Pivot Table'!$A$3,"Category",12,"Category2","Technical")</f>
        <v>44476.730100000001</v>
      </c>
      <c r="E22" s="97">
        <f>+GETPIVOTDATA(" Old Inst. avg",'Averages Pivot Table'!$A$3,"Category",12,"Category2","Technical")</f>
        <v>38135.524593220347</v>
      </c>
      <c r="F22" s="97">
        <f>+GETPIVOTDATA(" Old Undesg. avg",'Averages Pivot Table'!$A$3,"Category",12,"Category2","Technical")</f>
        <v>26200</v>
      </c>
      <c r="G22" s="97">
        <f>+GETPIVOTDATA(" Old Single Rnk avg",'Averages Pivot Table'!$A$3,"Category",12,"Category2","Technical")</f>
        <v>45905.339499166046</v>
      </c>
      <c r="H22" s="97">
        <f>+GETPIVOTDATA(" Old All Ranks avg",'Averages Pivot Table'!$A$3,"Category",12,"Category2","Technical")</f>
        <v>45634.120808564425</v>
      </c>
    </row>
    <row r="23" spans="1:8" ht="15" customHeight="1" x14ac:dyDescent="0.2">
      <c r="A23" s="560" t="s">
        <v>9</v>
      </c>
      <c r="B23" s="97">
        <f>+GETPIVOTDATA(" Old Prof avg",'Averages Pivot Table'!$A$3,"Category",13,"Category2","Technical")</f>
        <v>0</v>
      </c>
      <c r="C23" s="97">
        <f>+GETPIVOTDATA(" Old Asc. avg",'Averages Pivot Table'!$A$3,"Category",13,"Category2","Technical")</f>
        <v>0</v>
      </c>
      <c r="D23" s="97">
        <f>+GETPIVOTDATA(" Old Ast. avg",'Averages Pivot Table'!$A$3,"Category",13,"Category2","Technical")</f>
        <v>0</v>
      </c>
      <c r="E23" s="97">
        <f>+GETPIVOTDATA(" Old Inst. avg",'Averages Pivot Table'!$A$3,"Category",13,"Category2","Technical")</f>
        <v>0</v>
      </c>
      <c r="F23" s="97">
        <f>+GETPIVOTDATA(" Old Undesg. avg",'Averages Pivot Table'!$A$3,"Category",13,"Category2","Technical")</f>
        <v>0</v>
      </c>
      <c r="G23" s="97">
        <f>+GETPIVOTDATA(" Old Single Rnk avg",'Averages Pivot Table'!$A$3,"Category",13,"Category2","Technical")</f>
        <v>44247.691075278679</v>
      </c>
      <c r="H23" s="97">
        <f>+GETPIVOTDATA(" Old All Ranks avg",'Averages Pivot Table'!$A$3,"Category",13,"Category2","Technical")</f>
        <v>44247.691075278679</v>
      </c>
    </row>
    <row r="24" spans="1:8" ht="15" customHeight="1" x14ac:dyDescent="0.2">
      <c r="A24" s="605" t="s">
        <v>10</v>
      </c>
      <c r="B24" s="98">
        <f>+GETPIVOTDATA(" Old Prof avg",'Averages Pivot Table'!$A$3,"Category2","Technical")</f>
        <v>61578.059739999997</v>
      </c>
      <c r="C24" s="98">
        <f>+GETPIVOTDATA(" Old Asc. avg",'Averages Pivot Table'!$A$3,"Category2","Technical")</f>
        <v>49410.908539999997</v>
      </c>
      <c r="D24" s="98">
        <f>+GETPIVOTDATA(" Old Ast. avg",'Averages Pivot Table'!$A$3,"Category2","Technical")</f>
        <v>44476.730100000001</v>
      </c>
      <c r="E24" s="98">
        <f>+GETPIVOTDATA(" Old Inst. avg",'Averages Pivot Table'!$A$3,"Category2","Technical")</f>
        <v>38135.524593220347</v>
      </c>
      <c r="F24" s="98">
        <f>+GETPIVOTDATA(" Old Undesg. avg",'Averages Pivot Table'!$A$3,"Category2","Technical")</f>
        <v>26200</v>
      </c>
      <c r="G24" s="98">
        <f>+GETPIVOTDATA(" Old Single Rnk avg",'Averages Pivot Table'!$A$3,"Category2","Technical")</f>
        <v>45298.105810377143</v>
      </c>
      <c r="H24" s="98">
        <f>+GETPIVOTDATA(" Old All Ranks avg",'Averages Pivot Table'!$A$3,"Category2","Technical")</f>
        <v>45150.740528898044</v>
      </c>
    </row>
    <row r="25" spans="1:8" ht="29.25" customHeight="1" x14ac:dyDescent="0.2">
      <c r="A25" s="666" t="s">
        <v>91</v>
      </c>
      <c r="B25" s="667"/>
      <c r="C25" s="667"/>
      <c r="D25" s="667"/>
      <c r="E25" s="667"/>
      <c r="F25" s="667"/>
      <c r="G25" s="667"/>
      <c r="H25" s="667"/>
    </row>
    <row r="26" spans="1:8" x14ac:dyDescent="0.2">
      <c r="H26" s="157" t="s">
        <v>1083</v>
      </c>
    </row>
  </sheetData>
  <mergeCells count="3">
    <mergeCell ref="A3:H3"/>
    <mergeCell ref="A4:H4"/>
    <mergeCell ref="A25:H25"/>
  </mergeCells>
  <printOptions horizontalCentered="1"/>
  <pageMargins left="0.5" right="0.5" top="1" bottom="0.75" header="0.75" footer="0.5"/>
  <pageSetup firstPageNumber="142" orientation="landscape" useFirstPageNumber="1" r:id="rId1"/>
  <headerFooter alignWithMargins="0">
    <oddHeader>&amp;R&amp;"Arial,Regular"&amp;8SREB-State Data Exchange</oddHeader>
    <oddFooter>&amp;C&amp;"Arial,Regular"&amp;10C-&amp;P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16"/>
  </sheetPr>
  <dimension ref="A1:S600"/>
  <sheetViews>
    <sheetView showGridLines="0" showZeros="0" tabSelected="1" view="pageBreakPreview" zoomScaleNormal="75" zoomScaleSheetLayoutView="100" workbookViewId="0">
      <selection activeCell="N17" sqref="N17"/>
    </sheetView>
  </sheetViews>
  <sheetFormatPr defaultColWidth="9" defaultRowHeight="15.75" x14ac:dyDescent="0.25"/>
  <cols>
    <col min="1" max="1" width="11.625" style="114" customWidth="1"/>
    <col min="2" max="2" width="8.25" style="114" customWidth="1"/>
    <col min="3" max="3" width="6.25" style="114" customWidth="1"/>
    <col min="4" max="4" width="8.25" style="114" customWidth="1"/>
    <col min="5" max="5" width="7.625" style="114" customWidth="1"/>
    <col min="6" max="6" width="8.5" style="114" customWidth="1"/>
    <col min="7" max="7" width="7.625" style="114" customWidth="1"/>
    <col min="8" max="8" width="8.25" style="114" customWidth="1"/>
    <col min="9" max="9" width="7.625" style="114" customWidth="1"/>
    <col min="10" max="10" width="8.5" style="114" customWidth="1"/>
    <col min="11" max="11" width="5.5" style="114" customWidth="1"/>
    <col min="12" max="12" width="8.5" style="114" customWidth="1"/>
    <col min="13" max="13" width="5.625" style="114" customWidth="1"/>
    <col min="14" max="14" width="7.875" style="114" customWidth="1"/>
    <col min="15" max="15" width="7.625" style="114" customWidth="1"/>
    <col min="16" max="16" width="5" style="114" customWidth="1"/>
    <col min="17" max="17" width="9.25" style="147" bestFit="1" customWidth="1"/>
    <col min="18" max="19" width="9" style="147"/>
    <col min="20" max="16384" width="9" style="114"/>
  </cols>
  <sheetData>
    <row r="1" spans="1:19" ht="18" x14ac:dyDescent="0.25">
      <c r="A1" s="544" t="s">
        <v>259</v>
      </c>
      <c r="B1" s="544"/>
      <c r="C1" s="544"/>
      <c r="D1" s="544"/>
      <c r="E1" s="544"/>
      <c r="F1" s="544"/>
      <c r="G1" s="544"/>
      <c r="H1" s="544"/>
      <c r="I1" s="544"/>
      <c r="J1" s="544"/>
      <c r="K1" s="544"/>
      <c r="L1" s="544"/>
      <c r="M1" s="544"/>
      <c r="N1" s="544"/>
      <c r="O1" s="544"/>
    </row>
    <row r="2" spans="1:19" ht="15.75" customHeight="1" x14ac:dyDescent="0.25">
      <c r="A2" s="544"/>
      <c r="B2" s="93"/>
      <c r="C2" s="93"/>
      <c r="D2" s="93"/>
      <c r="E2" s="93"/>
      <c r="F2" s="93"/>
      <c r="G2" s="93"/>
      <c r="H2" s="93"/>
      <c r="I2" s="93"/>
      <c r="J2" s="93"/>
      <c r="K2" s="93"/>
      <c r="L2" s="93" t="s">
        <v>223</v>
      </c>
      <c r="M2" s="93"/>
    </row>
    <row r="3" spans="1:19" x14ac:dyDescent="0.25">
      <c r="A3" s="545" t="s">
        <v>204</v>
      </c>
      <c r="B3" s="93"/>
      <c r="C3" s="93"/>
      <c r="D3" s="93"/>
      <c r="E3" s="93"/>
      <c r="F3" s="93"/>
      <c r="G3" s="93"/>
      <c r="H3" s="93"/>
      <c r="I3" s="93"/>
      <c r="J3" s="93"/>
      <c r="K3" s="93"/>
      <c r="L3" s="93"/>
      <c r="M3" s="93"/>
      <c r="N3" s="113"/>
      <c r="O3" s="113"/>
    </row>
    <row r="4" spans="1:19" x14ac:dyDescent="0.25">
      <c r="A4" s="545" t="s">
        <v>1069</v>
      </c>
      <c r="B4" s="93"/>
      <c r="C4" s="93"/>
      <c r="D4" s="93"/>
      <c r="E4" s="93"/>
      <c r="F4" s="93"/>
      <c r="G4" s="93"/>
      <c r="H4" s="93"/>
      <c r="I4" s="93"/>
      <c r="J4" s="93"/>
      <c r="K4" s="93"/>
      <c r="L4" s="93"/>
      <c r="M4" s="93"/>
      <c r="N4" s="113"/>
      <c r="O4" s="113"/>
    </row>
    <row r="5" spans="1:19" ht="15.75" customHeight="1" x14ac:dyDescent="0.25">
      <c r="A5" s="93"/>
      <c r="B5" s="546"/>
      <c r="C5" s="93"/>
      <c r="D5" s="93"/>
      <c r="E5" s="93"/>
      <c r="F5" s="93"/>
      <c r="G5" s="93"/>
      <c r="H5" s="93"/>
      <c r="I5" s="93"/>
      <c r="J5" s="93"/>
      <c r="K5" s="93"/>
      <c r="L5" s="93"/>
      <c r="M5" s="93"/>
    </row>
    <row r="6" spans="1:19" x14ac:dyDescent="0.25">
      <c r="A6" s="547"/>
      <c r="B6" s="143">
        <v>1</v>
      </c>
      <c r="C6" s="115"/>
      <c r="D6" s="143">
        <v>2</v>
      </c>
      <c r="E6" s="115"/>
      <c r="F6" s="143">
        <v>3</v>
      </c>
      <c r="G6" s="115"/>
      <c r="H6" s="143">
        <v>4</v>
      </c>
      <c r="I6" s="115"/>
      <c r="J6" s="143">
        <v>5</v>
      </c>
      <c r="K6" s="115"/>
      <c r="L6" s="143">
        <v>6</v>
      </c>
      <c r="M6" s="115"/>
      <c r="N6" s="548" t="s">
        <v>201</v>
      </c>
      <c r="O6" s="115"/>
      <c r="Q6" s="549" t="s">
        <v>6</v>
      </c>
      <c r="S6" s="550" t="s">
        <v>5</v>
      </c>
    </row>
    <row r="7" spans="1:19" x14ac:dyDescent="0.25">
      <c r="A7" s="551"/>
      <c r="B7" s="552" t="s">
        <v>103</v>
      </c>
      <c r="C7" s="116" t="s">
        <v>193</v>
      </c>
      <c r="D7" s="552" t="s">
        <v>103</v>
      </c>
      <c r="E7" s="116" t="s">
        <v>193</v>
      </c>
      <c r="F7" s="552" t="s">
        <v>103</v>
      </c>
      <c r="G7" s="116" t="s">
        <v>193</v>
      </c>
      <c r="H7" s="552" t="s">
        <v>103</v>
      </c>
      <c r="I7" s="116" t="s">
        <v>193</v>
      </c>
      <c r="J7" s="552" t="s">
        <v>103</v>
      </c>
      <c r="K7" s="116" t="s">
        <v>193</v>
      </c>
      <c r="L7" s="552" t="s">
        <v>103</v>
      </c>
      <c r="M7" s="116" t="s">
        <v>193</v>
      </c>
      <c r="N7" s="553" t="s">
        <v>103</v>
      </c>
      <c r="O7" s="116" t="s">
        <v>193</v>
      </c>
      <c r="Q7" s="549"/>
    </row>
    <row r="8" spans="1:19" s="556" customFormat="1" ht="18" customHeight="1" x14ac:dyDescent="0.25">
      <c r="A8" s="554" t="s">
        <v>222</v>
      </c>
      <c r="B8" s="144">
        <f>+GETPIVOTDATA(" New All Ranks avg",'Averages Pivot Table'!$A$3,"Category",1,"Category2","Four-Year")</f>
        <v>86699.35395035884</v>
      </c>
      <c r="C8" s="144"/>
      <c r="D8" s="144">
        <f>+GETPIVOTDATA(" New All Ranks avg",'Averages Pivot Table'!$A$3,"Category",2,"Category2","Four-Year")</f>
        <v>75443.145352128224</v>
      </c>
      <c r="E8" s="144"/>
      <c r="F8" s="144">
        <f>+GETPIVOTDATA(" New All Ranks avg",'Averages Pivot Table'!$A$3,"Category",3,"Category2","Four-Year")</f>
        <v>64005.908259329583</v>
      </c>
      <c r="G8" s="144"/>
      <c r="H8" s="144">
        <f>+GETPIVOTDATA(" New All Ranks avg",'Averages Pivot Table'!$A$3,"Category",4,"Category2","Four-Year")</f>
        <v>62004.409266607043</v>
      </c>
      <c r="I8" s="144"/>
      <c r="J8" s="144">
        <f>+GETPIVOTDATA(" New All Ranks avg",'Averages Pivot Table'!$A$3,"Category",5,"Category2","Four-Year")</f>
        <v>59815.634086341001</v>
      </c>
      <c r="K8" s="144"/>
      <c r="L8" s="144">
        <f>+GETPIVOTDATA(" New All Ranks avg",'Averages Pivot Table'!$A$3,"Category",6,"Category2","Four-Year")</f>
        <v>58228.200448451011</v>
      </c>
      <c r="M8" s="144"/>
      <c r="N8" s="555">
        <f>+GETPIVOTDATA(" New All Ranks avg",'Averages Pivot Table'!$A$3,"Category2","Four-Year")</f>
        <v>75046.293281217469</v>
      </c>
      <c r="O8" s="117"/>
      <c r="Q8" s="557">
        <f>(N8-S8)/S8</f>
        <v>-4.6976485329537762E-3</v>
      </c>
      <c r="R8" s="558" t="s">
        <v>222</v>
      </c>
      <c r="S8" s="559">
        <f>+GETPIVOTDATA(" Old All Ranks avg",'Averages Pivot Table'!$A$3,"Category2","Four-Year")</f>
        <v>75400.498321541643</v>
      </c>
    </row>
    <row r="9" spans="1:19" ht="12.95" customHeight="1" x14ac:dyDescent="0.25">
      <c r="A9" s="560"/>
      <c r="B9" s="123"/>
      <c r="C9" s="123"/>
      <c r="D9" s="123"/>
      <c r="E9" s="123"/>
      <c r="F9" s="123"/>
      <c r="G9" s="123"/>
      <c r="H9" s="123"/>
      <c r="I9" s="123"/>
      <c r="J9" s="123"/>
      <c r="K9" s="123"/>
      <c r="L9" s="123"/>
      <c r="M9" s="134"/>
      <c r="N9" s="561"/>
      <c r="O9" s="105"/>
      <c r="Q9" s="562"/>
      <c r="S9" s="212"/>
    </row>
    <row r="10" spans="1:19" ht="12.95" customHeight="1" x14ac:dyDescent="0.25">
      <c r="A10" s="132" t="s">
        <v>205</v>
      </c>
      <c r="B10" s="563">
        <f>+GETPIVOTDATA(" New All Ranks avg",'Averages Pivot Table'!$A$3,"State","AL","Category",1,"Category2","Four-Year")</f>
        <v>84704.293575723961</v>
      </c>
      <c r="C10" s="118">
        <f>IF(B10&gt;0,(RANK(B10,B$10:B$28)),0)</f>
        <v>6</v>
      </c>
      <c r="D10" s="563">
        <f>+GETPIVOTDATA(" New All Ranks avg",'Averages Pivot Table'!$A$3,"State","AL","Category",2,"Category2","Four-Year")</f>
        <v>80268.939691503256</v>
      </c>
      <c r="E10" s="118">
        <f>IF(D10&gt;0,(RANK(D10,D$10:D$28)),0)</f>
        <v>2</v>
      </c>
      <c r="F10" s="563">
        <f>+GETPIVOTDATA(" New All Ranks avg",'Averages Pivot Table'!$A$3,"State","AL","Category",3,"Category2","Four-Year")</f>
        <v>62356.524951547071</v>
      </c>
      <c r="G10" s="118">
        <f>IF(F10&gt;0,(RANK(F10,F$10:F$28)),0)</f>
        <v>7</v>
      </c>
      <c r="H10" s="563">
        <f>+GETPIVOTDATA(" New All Ranks avg",'Averages Pivot Table'!$A$3,"State","AL","Category",4,"Category2","Four-Year")</f>
        <v>64709.676069096211</v>
      </c>
      <c r="I10" s="118">
        <f>IF(H10&gt;0,(RANK(H10,H$10:H$28)),0)</f>
        <v>6</v>
      </c>
      <c r="J10" s="563">
        <f>+GETPIVOTDATA(" New All Ranks avg",'Averages Pivot Table'!$A$3,"State","AL","Category",5,"Category2","Four-Year")</f>
        <v>57820.84978902954</v>
      </c>
      <c r="K10" s="118">
        <f>IF(J10&gt;0,(RANK(J10,J$10:J$28)),0)</f>
        <v>7</v>
      </c>
      <c r="L10" s="563">
        <f>+GETPIVOTDATA(" New All Ranks avg",'Averages Pivot Table'!$A$3,"State","AL","Category",6,"Category2","Four-Year")</f>
        <v>69460.827164705886</v>
      </c>
      <c r="M10" s="118">
        <f>IF(L10&gt;0,(RANK(L10,L$10:L$28)),0)</f>
        <v>2</v>
      </c>
      <c r="N10" s="564">
        <f>+GETPIVOTDATA(" New All Ranks avg",'Averages Pivot Table'!$A$3,"State","AL","Category2","Four-Year")</f>
        <v>75379.263593716067</v>
      </c>
      <c r="O10" s="118">
        <f>IF(N10&gt;0,(RANK(N10,N$10:N$28)),0)</f>
        <v>7</v>
      </c>
      <c r="Q10" s="562">
        <f t="shared" ref="Q10:Q28" si="0">(N10-S10)/S10</f>
        <v>3.6115705717165984E-2</v>
      </c>
      <c r="R10" s="147" t="s">
        <v>205</v>
      </c>
      <c r="S10" s="212">
        <f>+GETPIVOTDATA(" Old All Ranks avg",'Averages Pivot Table'!$A$3,"State","AL","Category2","Four-Year")</f>
        <v>72751.781656992607</v>
      </c>
    </row>
    <row r="11" spans="1:19" ht="12.95" customHeight="1" x14ac:dyDescent="0.25">
      <c r="A11" s="132" t="s">
        <v>206</v>
      </c>
      <c r="B11" s="563">
        <f>+GETPIVOTDATA(" New All Ranks avg",'Averages Pivot Table'!$A$3,"State","ar","Category",1,"Category2","Four-Year")</f>
        <v>79119.94406444022</v>
      </c>
      <c r="C11" s="118">
        <f>IF(B11&gt;0,(RANK(B11,B$10:B$28)),0)</f>
        <v>15</v>
      </c>
      <c r="D11" s="563">
        <f>+GETPIVOTDATA(" New All Ranks avg",'Averages Pivot Table'!$A$3,"State","ar","Category",2,"Category2","Four-Year")</f>
        <v>0</v>
      </c>
      <c r="E11" s="118">
        <f>IF(D11&gt;0,(RANK(D11,D$10:D$28)),0)</f>
        <v>0</v>
      </c>
      <c r="F11" s="563">
        <f>+GETPIVOTDATA(" New All Ranks avg",'Averages Pivot Table'!$A$3,"State","ar","Category",3,"Category2","Four-Year")</f>
        <v>60030.391081472146</v>
      </c>
      <c r="G11" s="118">
        <f>IF(F11&gt;0,(RANK(F11,F$10:F$28)),0)</f>
        <v>12</v>
      </c>
      <c r="H11" s="563">
        <f>+GETPIVOTDATA(" New All Ranks avg",'Averages Pivot Table'!$A$3,"State","ar","Category",4,"Category2","Four-Year")</f>
        <v>53198.244017332305</v>
      </c>
      <c r="I11" s="118">
        <f>IF(H11&gt;0,(RANK(H11,H$10:H$28)),0)</f>
        <v>13</v>
      </c>
      <c r="J11" s="563">
        <f>+GETPIVOTDATA(" New All Ranks avg",'Averages Pivot Table'!$A$3,"State","ar","Category",5,"Category2","Four-Year")</f>
        <v>48177.412956441556</v>
      </c>
      <c r="K11" s="118">
        <f>IF(J11&gt;0,(RANK(J11,J$10:J$28)),0)</f>
        <v>11</v>
      </c>
      <c r="L11" s="563">
        <f>+GETPIVOTDATA(" New All Ranks avg",'Averages Pivot Table'!$A$3,"State","ar","Category",6,"Category2","Four-Year")</f>
        <v>53559.629735653201</v>
      </c>
      <c r="M11" s="118">
        <f>IF(L11&gt;0,(RANK(L11,L$10:L$28)),0)</f>
        <v>10</v>
      </c>
      <c r="N11" s="564">
        <f>+GETPIVOTDATA(" New All Ranks avg",'Averages Pivot Table'!$A$3,"State","ar","Category2","Four-Year")</f>
        <v>62729.115786174632</v>
      </c>
      <c r="O11" s="118">
        <f>IF(N11&gt;0,(RANK(N11,N$10:N$28)),0)</f>
        <v>16</v>
      </c>
      <c r="Q11" s="562">
        <f t="shared" si="0"/>
        <v>2.6162627391467599E-2</v>
      </c>
      <c r="R11" s="147" t="s">
        <v>206</v>
      </c>
      <c r="S11" s="212">
        <f>+GETPIVOTDATA(" Old All Ranks avg",'Averages Pivot Table'!$A$3,"State","AR","Category2","Four-Year")</f>
        <v>61129.79961629834</v>
      </c>
    </row>
    <row r="12" spans="1:19" ht="12.95" customHeight="1" x14ac:dyDescent="0.25">
      <c r="A12" s="132" t="s">
        <v>221</v>
      </c>
      <c r="B12" s="563">
        <f>+GETPIVOTDATA(" New All Ranks avg",'Averages Pivot Table'!$A$3,"State","DE","Category",1,"Category2","Four-Year")</f>
        <v>103703.35957223696</v>
      </c>
      <c r="C12" s="118">
        <f>IF(B12&gt;0,(RANK(B12,B$10:B$28)),0)</f>
        <v>2</v>
      </c>
      <c r="D12" s="563">
        <f>+GETPIVOTDATA(" New All Ranks avg",'Averages Pivot Table'!$A$3,"State","DE","Category",2,"Category2","Four-Year")</f>
        <v>0</v>
      </c>
      <c r="E12" s="118">
        <f>IF(D12&gt;0,(RANK(D12,D$10:D$28)),0)</f>
        <v>0</v>
      </c>
      <c r="F12" s="563">
        <f>+GETPIVOTDATA(" New All Ranks avg",'Averages Pivot Table'!$A$3,"State","DE","Category",3,"Category2","Four-Year")</f>
        <v>0</v>
      </c>
      <c r="G12" s="118">
        <f>IF(F12&gt;0,(RANK(F12,F$10:F$28)),0)</f>
        <v>0</v>
      </c>
      <c r="H12" s="563">
        <f>+GETPIVOTDATA(" New All Ranks avg",'Averages Pivot Table'!$A$3,"State","DE","Category",4,"Category2","Four-Year")</f>
        <v>63792.493450241549</v>
      </c>
      <c r="I12" s="118">
        <f>IF(H12&gt;0,(RANK(H12,H$10:H$28)),0)</f>
        <v>8</v>
      </c>
      <c r="J12" s="563">
        <f>+GETPIVOTDATA(" New All Ranks avg",'Averages Pivot Table'!$A$3,"State","DE","Category",5,"Category2","Four-Year")</f>
        <v>0</v>
      </c>
      <c r="K12" s="118">
        <f>IF(J12&gt;0,(RANK(J12,J$10:J$28)),0)</f>
        <v>0</v>
      </c>
      <c r="L12" s="563">
        <f>+GETPIVOTDATA(" New All Ranks avg",'Averages Pivot Table'!$A$3,"State","DE","Category",6,"Category2","Four-Year")</f>
        <v>0</v>
      </c>
      <c r="M12" s="118">
        <f>IF(L12&gt;0,(RANK(L12,L$10:L$28)),0)</f>
        <v>0</v>
      </c>
      <c r="N12" s="564">
        <f>+GETPIVOTDATA(" New All Ranks avg",'Averages Pivot Table'!$A$3,"State","DE","Category2","Four-Year")</f>
        <v>97528.808535425997</v>
      </c>
      <c r="O12" s="118">
        <f>IF(N12&gt;0,(RANK(N12,N$10:N$28)),0)</f>
        <v>1</v>
      </c>
      <c r="Q12" s="562">
        <f t="shared" si="0"/>
        <v>3.2331158441670074E-2</v>
      </c>
      <c r="R12" s="147" t="s">
        <v>221</v>
      </c>
      <c r="S12" s="212">
        <f>+GETPIVOTDATA(" Old All Ranks avg",'Averages Pivot Table'!$A$3,"State","DE","Category2","Four-Year")</f>
        <v>94474.343564954674</v>
      </c>
    </row>
    <row r="13" spans="1:19" ht="12.95" customHeight="1" x14ac:dyDescent="0.25">
      <c r="A13" s="132" t="s">
        <v>207</v>
      </c>
      <c r="B13" s="563">
        <f>+GETPIVOTDATA(" New All Ranks avg",'Averages Pivot Table'!$A$3,"State","FL","Category",1,"Category2","Four-Year")</f>
        <v>84280.965103844472</v>
      </c>
      <c r="C13" s="118">
        <f>IF(B13&gt;0,(RANK(B13,B$10:B$28)),0)</f>
        <v>7</v>
      </c>
      <c r="D13" s="563">
        <f>+GETPIVOTDATA(" New All Ranks avg",'Averages Pivot Table'!$A$3,"State","FL","Category",2,"Category2","Four-Year")</f>
        <v>70891.363825721783</v>
      </c>
      <c r="E13" s="118">
        <f>IF(D13&gt;0,(RANK(D13,D$10:D$28)),0)</f>
        <v>6</v>
      </c>
      <c r="F13" s="563">
        <f>+GETPIVOTDATA(" New All Ranks avg",'Averages Pivot Table'!$A$3,"State","FL","Category",3,"Category2","Four-Year")</f>
        <v>68472.149521417334</v>
      </c>
      <c r="G13" s="118">
        <f>IF(F13&gt;0,(RANK(F13,F$10:F$28)),0)</f>
        <v>2</v>
      </c>
      <c r="H13" s="563">
        <f>+GETPIVOTDATA(" New All Ranks avg",'Averages Pivot Table'!$A$3,"State","FL","Category",4,"Category2","Four-Year")</f>
        <v>63623.862019796958</v>
      </c>
      <c r="I13" s="118">
        <f>IF(H13&gt;0,(RANK(H13,H$10:H$28)),0)</f>
        <v>9</v>
      </c>
      <c r="J13" s="563">
        <f>+GETPIVOTDATA(" New All Ranks avg",'Averages Pivot Table'!$A$3,"State","FL","Category",5,"Category2","Four-Year")</f>
        <v>0</v>
      </c>
      <c r="K13" s="118">
        <f>IF(J13&gt;0,(RANK(J13,J$10:J$28)),0)</f>
        <v>0</v>
      </c>
      <c r="L13" s="563">
        <f>+GETPIVOTDATA(" New All Ranks avg",'Averages Pivot Table'!$A$3,"State","FL","Category",6,"Category2","Four-Year")</f>
        <v>68101.646086956534</v>
      </c>
      <c r="M13" s="118">
        <f>IF(L13&gt;0,(RANK(L13,L$10:L$28)),0)</f>
        <v>3</v>
      </c>
      <c r="N13" s="564">
        <f>+GETPIVOTDATA(" New All Ranks avg",'Averages Pivot Table'!$A$3,"State","FL","Category2","Four-Year")</f>
        <v>79759.539716048021</v>
      </c>
      <c r="O13" s="118">
        <f>IF(N13&gt;0,(RANK(N13,N$10:N$28)),0)</f>
        <v>4</v>
      </c>
      <c r="Q13" s="562">
        <f t="shared" si="0"/>
        <v>2.2072823285583815E-2</v>
      </c>
      <c r="R13" s="147" t="s">
        <v>207</v>
      </c>
      <c r="S13" s="212">
        <f>+GETPIVOTDATA(" Old All Ranks avg",'Averages Pivot Table'!$A$3,"State","FL","Category2","Four-Year")</f>
        <v>78037.041880881618</v>
      </c>
    </row>
    <row r="14" spans="1:19" ht="12.95" customHeight="1" x14ac:dyDescent="0.25">
      <c r="A14" s="132"/>
      <c r="B14" s="563"/>
      <c r="C14" s="118"/>
      <c r="D14" s="563"/>
      <c r="E14" s="118"/>
      <c r="F14" s="563"/>
      <c r="G14" s="118"/>
      <c r="H14" s="563"/>
      <c r="I14" s="118"/>
      <c r="J14" s="563"/>
      <c r="K14" s="118"/>
      <c r="L14" s="563"/>
      <c r="M14" s="118"/>
      <c r="N14" s="564"/>
      <c r="O14" s="118"/>
      <c r="Q14" s="562"/>
      <c r="S14" s="212"/>
    </row>
    <row r="15" spans="1:19" ht="12.95" customHeight="1" x14ac:dyDescent="0.25">
      <c r="A15" s="132" t="s">
        <v>208</v>
      </c>
      <c r="B15" s="563">
        <f>+GETPIVOTDATA(" New All Ranks avg",'Averages Pivot Table'!$A$3,"State","GA","Category",1,"Category2","Four-Year")</f>
        <v>83583.112568585304</v>
      </c>
      <c r="C15" s="118">
        <f>IF(B15&gt;0,(RANK(B15,B$10:B$28)),0)</f>
        <v>8</v>
      </c>
      <c r="D15" s="563">
        <f>+GETPIVOTDATA(" New All Ranks avg",'Averages Pivot Table'!$A$3,"State","GA","Category",2,"Category2","Four-Year")</f>
        <v>106692.94224066148</v>
      </c>
      <c r="E15" s="118">
        <f>IF(D15&gt;0,(RANK(D15,D$10:D$28)),0)</f>
        <v>1</v>
      </c>
      <c r="F15" s="563">
        <f>+GETPIVOTDATA(" New All Ranks avg",'Averages Pivot Table'!$A$3,"State","GA","Category",3,"Category2","Four-Year")</f>
        <v>59435.184831609862</v>
      </c>
      <c r="G15" s="118">
        <f>IF(F15&gt;0,(RANK(F15,F$10:F$28)),0)</f>
        <v>13</v>
      </c>
      <c r="H15" s="563">
        <f>+GETPIVOTDATA(" New All Ranks avg",'Averages Pivot Table'!$A$3,"State","GA","Category",4,"Category2","Four-Year")</f>
        <v>59712.520429401506</v>
      </c>
      <c r="I15" s="118">
        <f>IF(H15&gt;0,(RANK(H15,H$10:H$28)),0)</f>
        <v>10</v>
      </c>
      <c r="J15" s="563">
        <f>+GETPIVOTDATA(" New All Ranks avg",'Averages Pivot Table'!$A$3,"State","GA","Category",5,"Category2","Four-Year")</f>
        <v>57471.931542704624</v>
      </c>
      <c r="K15" s="118">
        <f>IF(J15&gt;0,(RANK(J15,J$10:J$28)),0)</f>
        <v>8</v>
      </c>
      <c r="L15" s="563">
        <f>+GETPIVOTDATA(" New All Ranks avg",'Averages Pivot Table'!$A$3,"State","GA","Category",6,"Category2","Four-Year")</f>
        <v>60143.221283227183</v>
      </c>
      <c r="M15" s="118">
        <f>IF(L15&gt;0,(RANK(L15,L$10:L$28)),0)</f>
        <v>6</v>
      </c>
      <c r="N15" s="564">
        <f>+GETPIVOTDATA(" New All Ranks avg",'Averages Pivot Table'!$A$3,"State","GA","Category2","Four-Year")</f>
        <v>72517.79191399776</v>
      </c>
      <c r="O15" s="118">
        <f>IF(N15&gt;0,(RANK(N15,N$10:N$28)),0)</f>
        <v>8</v>
      </c>
      <c r="Q15" s="562">
        <f t="shared" si="0"/>
        <v>-7.7438840380816387E-4</v>
      </c>
      <c r="R15" s="147" t="s">
        <v>208</v>
      </c>
      <c r="S15" s="212">
        <f>+GETPIVOTDATA(" Old All Ranks avg",'Averages Pivot Table'!$A$3,"State","GA","Category2","Four-Year")</f>
        <v>72573.992372108783</v>
      </c>
    </row>
    <row r="16" spans="1:19" ht="12.95" customHeight="1" x14ac:dyDescent="0.25">
      <c r="A16" s="132" t="s">
        <v>209</v>
      </c>
      <c r="B16" s="563">
        <f>+GETPIVOTDATA(" New All Ranks avg",'Averages Pivot Table'!$A$3,"State","KY","Category",1,"Category2","Four-Year")</f>
        <v>81064.44199460416</v>
      </c>
      <c r="C16" s="118">
        <f>IF(B16&gt;0,(RANK(B16,B$10:B$28)),0)</f>
        <v>11</v>
      </c>
      <c r="D16" s="563">
        <f>+GETPIVOTDATA(" New All Ranks avg",'Averages Pivot Table'!$A$3,"State","KY","Category",2,"Category2","Four-Year")</f>
        <v>0</v>
      </c>
      <c r="E16" s="118">
        <f>IF(D16&gt;0,(RANK(D16,D$10:D$28)),0)</f>
        <v>0</v>
      </c>
      <c r="F16" s="563">
        <f>+GETPIVOTDATA(" New All Ranks avg",'Averages Pivot Table'!$A$3,"State","KY","Category",3,"Category2","Four-Year")</f>
        <v>60676.013868046815</v>
      </c>
      <c r="G16" s="118">
        <f>IF(F16&gt;0,(RANK(F16,F$10:F$28)),0)</f>
        <v>11</v>
      </c>
      <c r="H16" s="563">
        <f>+GETPIVOTDATA(" New All Ranks avg",'Averages Pivot Table'!$A$3,"State","KY","Category",4,"Category2","Four-Year")</f>
        <v>64050.819125519272</v>
      </c>
      <c r="I16" s="118">
        <f>IF(H16&gt;0,(RANK(H16,H$10:H$28)),0)</f>
        <v>7</v>
      </c>
      <c r="J16" s="563">
        <f>+GETPIVOTDATA(" New All Ranks avg",'Averages Pivot Table'!$A$3,"State","KY","Category",5,"Category2","Four-Year")</f>
        <v>0</v>
      </c>
      <c r="K16" s="118">
        <f>IF(J16&gt;0,(RANK(J16,J$10:J$28)),0)</f>
        <v>0</v>
      </c>
      <c r="L16" s="563">
        <f>+GETPIVOTDATA(" New All Ranks avg",'Averages Pivot Table'!$A$3,"State","KY","Category",6,"Category2","Four-Year")</f>
        <v>0</v>
      </c>
      <c r="M16" s="118">
        <f>IF(L16&gt;0,(RANK(L16,L$10:L$28)),0)</f>
        <v>0</v>
      </c>
      <c r="N16" s="564">
        <f>+GETPIVOTDATA(" New All Ranks avg",'Averages Pivot Table'!$A$3,"State","KY","Category2","Four-Year")</f>
        <v>70056.051629862312</v>
      </c>
      <c r="O16" s="118">
        <f>IF(N16&gt;0,(RANK(N16,N$10:N$28)),0)</f>
        <v>10</v>
      </c>
      <c r="Q16" s="562">
        <f t="shared" si="0"/>
        <v>1.4678972224501659E-2</v>
      </c>
      <c r="R16" s="147" t="s">
        <v>209</v>
      </c>
      <c r="S16" s="212">
        <f>+GETPIVOTDATA(" Old All Ranks avg",'Averages Pivot Table'!$A$3,"State","KY","Category2","Four-Year")</f>
        <v>69042.577551673297</v>
      </c>
    </row>
    <row r="17" spans="1:19" ht="12.95" customHeight="1" x14ac:dyDescent="0.25">
      <c r="A17" s="132" t="s">
        <v>210</v>
      </c>
      <c r="B17" s="563">
        <f>+GETPIVOTDATA(" New All Ranks avg",'Averages Pivot Table'!$A$3,"State","LA","Category",1,"Category2","Four-Year")</f>
        <v>81583.390838250416</v>
      </c>
      <c r="C17" s="118">
        <f>IF(B17&gt;0,(RANK(B17,B$10:B$28)),0)</f>
        <v>10</v>
      </c>
      <c r="D17" s="563">
        <f>+GETPIVOTDATA(" New All Ranks avg",'Averages Pivot Table'!$A$3,"State","LA","Category",2,"Category2","Four-Year")</f>
        <v>67036.569235795891</v>
      </c>
      <c r="E17" s="118">
        <f>IF(D17&gt;0,(RANK(D17,D$10:D$28)),0)</f>
        <v>9</v>
      </c>
      <c r="F17" s="563">
        <f>+GETPIVOTDATA(" New All Ranks avg",'Averages Pivot Table'!$A$3,"State","LA","Category",3,"Category2","Four-Year")</f>
        <v>61415.446717851242</v>
      </c>
      <c r="G17" s="118">
        <f>IF(F17&gt;0,(RANK(F17,F$10:F$28)),0)</f>
        <v>10</v>
      </c>
      <c r="H17" s="563">
        <f>+GETPIVOTDATA(" New All Ranks avg",'Averages Pivot Table'!$A$3,"State","LA","Category",4,"Category2","Four-Year")</f>
        <v>54609.933519589249</v>
      </c>
      <c r="I17" s="118">
        <f>IF(H17&gt;0,(RANK(H17,H$10:H$28)),0)</f>
        <v>11</v>
      </c>
      <c r="J17" s="563">
        <f>+GETPIVOTDATA(" New All Ranks avg",'Averages Pivot Table'!$A$3,"State","LA","Category",5,"Category2","Four-Year")</f>
        <v>0</v>
      </c>
      <c r="K17" s="118">
        <f>IF(J17&gt;0,(RANK(J17,J$10:J$28)),0)</f>
        <v>0</v>
      </c>
      <c r="L17" s="563">
        <f>+GETPIVOTDATA(" New All Ranks avg",'Averages Pivot Table'!$A$3,"State","LA","Category",6,"Category2","Four-Year")</f>
        <v>48942.509231578952</v>
      </c>
      <c r="M17" s="118">
        <f>IF(L17&gt;0,(RANK(L17,L$10:L$28)),0)</f>
        <v>12</v>
      </c>
      <c r="N17" s="564">
        <f>+GETPIVOTDATA(" New All Ranks avg",'Averages Pivot Table'!$A$3,"State","LA","Category2","Four-Year")</f>
        <v>65592.802745623747</v>
      </c>
      <c r="O17" s="118">
        <f>IF(N17&gt;0,(RANK(N17,N$10:N$28)),0)</f>
        <v>14</v>
      </c>
      <c r="Q17" s="562">
        <f t="shared" si="0"/>
        <v>1.0557979959825257E-4</v>
      </c>
      <c r="R17" s="147" t="s">
        <v>210</v>
      </c>
      <c r="S17" s="212">
        <f>+GETPIVOTDATA(" Old All Ranks avg",'Averages Pivot Table'!$A$3,"State","LA","Category2","Four-Year")</f>
        <v>65585.878201746731</v>
      </c>
    </row>
    <row r="18" spans="1:19" ht="12.95" customHeight="1" x14ac:dyDescent="0.25">
      <c r="A18" s="132" t="s">
        <v>211</v>
      </c>
      <c r="B18" s="563">
        <f>+GETPIVOTDATA(" New All Ranks avg",'Averages Pivot Table'!$A$3,"State","MD","Category",1,"Category2","Four-Year")</f>
        <v>103906.00070144964</v>
      </c>
      <c r="C18" s="118">
        <f>IF(B18&gt;0,(RANK(B18,B$10:B$28)),0)</f>
        <v>1</v>
      </c>
      <c r="D18" s="563">
        <f>+GETPIVOTDATA(" New All Ranks avg",'Averages Pivot Table'!$A$3,"State","MD","Category",2,"Category2","Four-Year")</f>
        <v>73767.233333715034</v>
      </c>
      <c r="E18" s="118">
        <f>IF(D18&gt;0,(RANK(D18,D$10:D$28)),0)</f>
        <v>5</v>
      </c>
      <c r="F18" s="563">
        <f>+GETPIVOTDATA(" New All Ranks avg",'Averages Pivot Table'!$A$3,"State","MD","Category",3,"Category2","Four-Year")</f>
        <v>65202.053231413083</v>
      </c>
      <c r="G18" s="118">
        <f>IF(F18&gt;0,(RANK(F18,F$10:F$28)),0)</f>
        <v>4</v>
      </c>
      <c r="H18" s="563">
        <f>+GETPIVOTDATA(" New All Ranks avg",'Averages Pivot Table'!$A$3,"State","MD","Category",4,"Category2","Four-Year")</f>
        <v>69725.233976363612</v>
      </c>
      <c r="I18" s="118">
        <f>IF(H18&gt;0,(RANK(H18,H$10:H$28)),0)</f>
        <v>4</v>
      </c>
      <c r="J18" s="563">
        <f>+GETPIVOTDATA(" New All Ranks avg",'Averages Pivot Table'!$A$3,"State","MD","Category",5,"Category2","Four-Year")</f>
        <v>0</v>
      </c>
      <c r="K18" s="118">
        <f>IF(J18&gt;0,(RANK(J18,J$10:J$28)),0)</f>
        <v>0</v>
      </c>
      <c r="L18" s="563">
        <f>+GETPIVOTDATA(" New All Ranks avg",'Averages Pivot Table'!$A$3,"State","MD","Category",6,"Category2","Four-Year")</f>
        <v>70521.133042553192</v>
      </c>
      <c r="M18" s="118">
        <f>IF(L18&gt;0,(RANK(L18,L$10:L$28)),0)</f>
        <v>1</v>
      </c>
      <c r="N18" s="564">
        <f>+GETPIVOTDATA(" New All Ranks avg",'Averages Pivot Table'!$A$3,"State","MD","Category2","Four-Year")</f>
        <v>81222.938638556327</v>
      </c>
      <c r="O18" s="118">
        <f>IF(N18&gt;0,(RANK(N18,N$10:N$28)),0)</f>
        <v>3</v>
      </c>
      <c r="Q18" s="562">
        <f t="shared" si="0"/>
        <v>9.2444757487123476E-3</v>
      </c>
      <c r="R18" s="147" t="s">
        <v>211</v>
      </c>
      <c r="S18" s="212">
        <f>+GETPIVOTDATA(" Old All Ranks avg",'Averages Pivot Table'!$A$3,"State","MD","Category2","Four-Year")</f>
        <v>80478.95291009717</v>
      </c>
    </row>
    <row r="19" spans="1:19" ht="12.95" customHeight="1" x14ac:dyDescent="0.25">
      <c r="A19" s="132"/>
      <c r="B19" s="563"/>
      <c r="C19" s="118"/>
      <c r="D19" s="563"/>
      <c r="E19" s="118"/>
      <c r="F19" s="563"/>
      <c r="G19" s="118"/>
      <c r="H19" s="563"/>
      <c r="I19" s="118"/>
      <c r="J19" s="563"/>
      <c r="K19" s="118"/>
      <c r="L19" s="563"/>
      <c r="M19" s="118"/>
      <c r="N19" s="564"/>
      <c r="O19" s="118"/>
      <c r="Q19" s="562"/>
      <c r="S19" s="212"/>
    </row>
    <row r="20" spans="1:19" ht="12.95" customHeight="1" x14ac:dyDescent="0.25">
      <c r="A20" s="132" t="s">
        <v>212</v>
      </c>
      <c r="B20" s="563">
        <f>+GETPIVOTDATA(" New All Ranks avg",'Averages Pivot Table'!$A$3,"State","MS","Category",1,"Category2","Four-Year")</f>
        <v>66354.314738948699</v>
      </c>
      <c r="C20" s="118">
        <f>IF(B20&gt;0,(RANK(B20,B$10:B$28)),0)</f>
        <v>16</v>
      </c>
      <c r="D20" s="563">
        <f>+GETPIVOTDATA(" New All Ranks avg",'Averages Pivot Table'!$A$3,"State","MS","Category",2,"Category2","Four-Year")</f>
        <v>68882.531365674251</v>
      </c>
      <c r="E20" s="118">
        <f>IF(D20&gt;0,(RANK(D20,D$10:D$28)),0)</f>
        <v>8</v>
      </c>
      <c r="F20" s="563">
        <f>+GETPIVOTDATA(" New All Ranks avg",'Averages Pivot Table'!$A$3,"State","MS","Category",3,"Category2","Four-Year")</f>
        <v>0</v>
      </c>
      <c r="G20" s="118">
        <f>IF(F20&gt;0,(RANK(F20,F$10:F$28)),0)</f>
        <v>0</v>
      </c>
      <c r="H20" s="563">
        <f>+GETPIVOTDATA(" New All Ranks avg",'Averages Pivot Table'!$A$3,"State","MS","Category",4,"Category2","Four-Year")</f>
        <v>53241.40962851153</v>
      </c>
      <c r="I20" s="118">
        <f>IF(H20&gt;0,(RANK(H20,H$10:H$28)),0)</f>
        <v>12</v>
      </c>
      <c r="J20" s="563">
        <f>+GETPIVOTDATA(" New All Ranks avg",'Averages Pivot Table'!$A$3,"State","MS","Category",5,"Category2","Four-Year")</f>
        <v>49621.064440875904</v>
      </c>
      <c r="K20" s="118">
        <f>IF(J20&gt;0,(RANK(J20,J$10:J$28)),0)</f>
        <v>10</v>
      </c>
      <c r="L20" s="563">
        <f>+GETPIVOTDATA(" New All Ranks avg",'Averages Pivot Table'!$A$3,"State","MS","Category",6,"Category2","Four-Year")</f>
        <v>0</v>
      </c>
      <c r="M20" s="118">
        <f>IF(L20&gt;0,(RANK(L20,L$10:L$28)),0)</f>
        <v>0</v>
      </c>
      <c r="N20" s="564">
        <f>+GETPIVOTDATA(" New All Ranks avg",'Averages Pivot Table'!$A$3,"State","MS","Category2","Four-Year")</f>
        <v>64657.137035562198</v>
      </c>
      <c r="O20" s="118">
        <f>IF(N20&gt;0,(RANK(N20,N$10:N$28)),0)</f>
        <v>15</v>
      </c>
      <c r="Q20" s="562">
        <f t="shared" si="0"/>
        <v>2.9302098687566058E-2</v>
      </c>
      <c r="R20" s="147" t="s">
        <v>212</v>
      </c>
      <c r="S20" s="212">
        <f>+GETPIVOTDATA(" Old All Ranks avg",'Averages Pivot Table'!$A$3,"State","MS","Category2","Four-Year")</f>
        <v>62816.482272798901</v>
      </c>
    </row>
    <row r="21" spans="1:19" ht="12.95" customHeight="1" x14ac:dyDescent="0.25">
      <c r="A21" s="132" t="s">
        <v>213</v>
      </c>
      <c r="B21" s="563">
        <f>+GETPIVOTDATA(" New All Ranks avg",'Averages Pivot Table'!$A$3,"State","NC","Category",1,"Category2","Four-Year")</f>
        <v>92267.286799810783</v>
      </c>
      <c r="C21" s="118">
        <f>IF(B21&gt;0,(RANK(B21,B$10:B$28)),0)</f>
        <v>4</v>
      </c>
      <c r="D21" s="563">
        <f>+GETPIVOTDATA(" New All Ranks avg",'Averages Pivot Table'!$A$3,"State","NC","Category",2,"Category2","Four-Year")</f>
        <v>77386.665364572589</v>
      </c>
      <c r="E21" s="118">
        <f>IF(D21&gt;0,(RANK(D21,D$10:D$28)),0)</f>
        <v>4</v>
      </c>
      <c r="F21" s="563">
        <f>+GETPIVOTDATA(" New All Ranks avg",'Averages Pivot Table'!$A$3,"State","NC","Category",3,"Category2","Four-Year")</f>
        <v>69994.894093011826</v>
      </c>
      <c r="G21" s="118">
        <f>IF(F21&gt;0,(RANK(F21,F$10:F$28)),0)</f>
        <v>1</v>
      </c>
      <c r="H21" s="563">
        <f>+GETPIVOTDATA(" New All Ranks avg",'Averages Pivot Table'!$A$3,"State","NC","Category",4,"Category2","Four-Year")</f>
        <v>69949.83675857143</v>
      </c>
      <c r="I21" s="118">
        <f>IF(H21&gt;0,(RANK(H21,H$10:H$28)),0)</f>
        <v>3</v>
      </c>
      <c r="J21" s="563">
        <f>+GETPIVOTDATA(" New All Ranks avg",'Averages Pivot Table'!$A$3,"State","NC","Category",5,"Category2","Four-Year")</f>
        <v>65835.461683035697</v>
      </c>
      <c r="K21" s="118">
        <f>IF(J21&gt;0,(RANK(J21,J$10:J$28)),0)</f>
        <v>1</v>
      </c>
      <c r="L21" s="563">
        <f>+GETPIVOTDATA(" New All Ranks avg",'Averages Pivot Table'!$A$3,"State","NC","Category",6,"Category2","Four-Year")</f>
        <v>67829.675455913981</v>
      </c>
      <c r="M21" s="118">
        <f>IF(L21&gt;0,(RANK(L21,L$10:L$28)),0)</f>
        <v>4</v>
      </c>
      <c r="N21" s="564">
        <f>+GETPIVOTDATA(" New All Ranks avg",'Averages Pivot Table'!$A$3,"State","NC","Category2","Four-Year")</f>
        <v>79226.203274355343</v>
      </c>
      <c r="O21" s="118">
        <f>IF(N21&gt;0,(RANK(N21,N$10:N$28)),0)</f>
        <v>5</v>
      </c>
      <c r="Q21" s="562">
        <f t="shared" si="0"/>
        <v>-1.3437913210995757E-3</v>
      </c>
      <c r="R21" s="147" t="s">
        <v>213</v>
      </c>
      <c r="S21" s="212">
        <f>+GETPIVOTDATA(" Old All Ranks avg",'Averages Pivot Table'!$A$3,"State","NC","Category2","Four-Year")</f>
        <v>79332.810015933195</v>
      </c>
    </row>
    <row r="22" spans="1:19" ht="12.95" customHeight="1" x14ac:dyDescent="0.25">
      <c r="A22" s="132" t="s">
        <v>214</v>
      </c>
      <c r="B22" s="563">
        <f>+GETPIVOTDATA(" New All Ranks avg",'Averages Pivot Table'!$A$3,"State","OK","Category",1,"Category2","Four-Year")</f>
        <v>80243.720100291262</v>
      </c>
      <c r="C22" s="118">
        <f>IF(B22&gt;0,(RANK(B22,B$10:B$28)),0)</f>
        <v>13</v>
      </c>
      <c r="D22" s="563">
        <f>+GETPIVOTDATA(" New All Ranks avg",'Averages Pivot Table'!$A$3,"State","OK","Category",2,"Category2","Four-Year")</f>
        <v>0</v>
      </c>
      <c r="E22" s="118">
        <f>IF(D22&gt;0,(RANK(D22,D$10:D$28)),0)</f>
        <v>0</v>
      </c>
      <c r="F22" s="563">
        <f>+GETPIVOTDATA(" New All Ranks avg",'Averages Pivot Table'!$A$3,"State","OK","Category",3,"Category2","Four-Year")</f>
        <v>58803.14567896774</v>
      </c>
      <c r="G22" s="118">
        <f>IF(F22&gt;0,(RANK(F22,F$10:F$28)),0)</f>
        <v>14</v>
      </c>
      <c r="H22" s="563">
        <f>+GETPIVOTDATA(" New All Ranks avg",'Averages Pivot Table'!$A$3,"State","OK","Category",4,"Category2","Four-Year")</f>
        <v>0</v>
      </c>
      <c r="I22" s="118">
        <f>IF(H22&gt;0,(RANK(H22,H$10:H$28)),0)</f>
        <v>0</v>
      </c>
      <c r="J22" s="563">
        <f>+GETPIVOTDATA(" New All Ranks avg",'Averages Pivot Table'!$A$3,"State","OK","Category",5,"Category2","Four-Year")</f>
        <v>54493.498773274914</v>
      </c>
      <c r="K22" s="118">
        <f>IF(J22&gt;0,(RANK(J22,J$10:J$28)),0)</f>
        <v>9</v>
      </c>
      <c r="L22" s="563">
        <f>+GETPIVOTDATA(" New All Ranks avg",'Averages Pivot Table'!$A$3,"State","OK","Category",6,"Category2","Four-Year")</f>
        <v>49731.536565217393</v>
      </c>
      <c r="M22" s="118">
        <f>IF(L22&gt;0,(RANK(L22,L$10:L$28)),0)</f>
        <v>11</v>
      </c>
      <c r="N22" s="564">
        <f>+GETPIVOTDATA(" New All Ranks avg",'Averages Pivot Table'!$A$3,"State","OK","Category2","Four-Year")</f>
        <v>68501.009799443738</v>
      </c>
      <c r="O22" s="118">
        <f>IF(N22&gt;0,(RANK(N22,N$10:N$28)),0)</f>
        <v>12</v>
      </c>
      <c r="Q22" s="562">
        <f t="shared" si="0"/>
        <v>2.5203554889083105E-2</v>
      </c>
      <c r="R22" s="147" t="s">
        <v>214</v>
      </c>
      <c r="S22" s="212">
        <f>+GETPIVOTDATA(" Old All Ranks avg",'Averages Pivot Table'!$A$3,"State","OK","Category2","Four-Year")</f>
        <v>66816.984268899527</v>
      </c>
    </row>
    <row r="23" spans="1:19" ht="12.95" customHeight="1" x14ac:dyDescent="0.25">
      <c r="A23" s="132" t="s">
        <v>215</v>
      </c>
      <c r="B23" s="563">
        <f>+GETPIVOTDATA(" New All Ranks avg",'Averages Pivot Table'!$A$3,"State","SC","Category",1,"Category2","Four-Year")</f>
        <v>81865.746603031657</v>
      </c>
      <c r="C23" s="118">
        <f>IF(B23&gt;0,(RANK(B23,B$10:B$28)),0)</f>
        <v>9</v>
      </c>
      <c r="D23" s="563">
        <f>+GETPIVOTDATA(" New All Ranks avg",'Averages Pivot Table'!$A$3,"State","SC","Category",2,"Category2","Four-Year")</f>
        <v>0</v>
      </c>
      <c r="E23" s="118">
        <f>IF(D23&gt;0,(RANK(D23,D$10:D$28)),0)</f>
        <v>0</v>
      </c>
      <c r="F23" s="563">
        <f>+GETPIVOTDATA(" New All Ranks avg",'Averages Pivot Table'!$A$3,"State","SC","Category",3,"Category2","Four-Year")</f>
        <v>64811.943115241644</v>
      </c>
      <c r="G23" s="118">
        <f>IF(F23&gt;0,(RANK(F23,F$10:F$28)),0)</f>
        <v>5</v>
      </c>
      <c r="H23" s="563">
        <f>+GETPIVOTDATA(" New All Ranks avg",'Averages Pivot Table'!$A$3,"State","SC","Category",4,"Category2","Four-Year")</f>
        <v>70387.913449438201</v>
      </c>
      <c r="I23" s="118">
        <f>IF(H23&gt;0,(RANK(H23,H$10:H$28)),0)</f>
        <v>2</v>
      </c>
      <c r="J23" s="563">
        <f>+GETPIVOTDATA(" New All Ranks avg",'Averages Pivot Table'!$A$3,"State","SC","Category",5,"Category2","Four-Year")</f>
        <v>61250.42840599738</v>
      </c>
      <c r="K23" s="118">
        <f>IF(J23&gt;0,(RANK(J23,J$10:J$28)),0)</f>
        <v>5</v>
      </c>
      <c r="L23" s="563">
        <f>+GETPIVOTDATA(" New All Ranks avg",'Averages Pivot Table'!$A$3,"State","SC","Category",6,"Category2","Four-Year")</f>
        <v>54081.923882162162</v>
      </c>
      <c r="M23" s="118">
        <f>IF(L23&gt;0,(RANK(L23,L$10:L$28)),0)</f>
        <v>9</v>
      </c>
      <c r="N23" s="564">
        <f>+GETPIVOTDATA(" New All Ranks avg",'Averages Pivot Table'!$A$3,"State","SC","Category2","Four-Year")</f>
        <v>71527.846738593405</v>
      </c>
      <c r="O23" s="118">
        <f>IF(N23&gt;0,(RANK(N23,N$10:N$28)),0)</f>
        <v>9</v>
      </c>
      <c r="Q23" s="562">
        <f t="shared" si="0"/>
        <v>2.0197809334500296E-2</v>
      </c>
      <c r="R23" s="147" t="s">
        <v>215</v>
      </c>
      <c r="S23" s="212">
        <f>+GETPIVOTDATA(" Old All Ranks avg",'Averages Pivot Table'!$A$3,"State","SC","Category2","Four-Year")</f>
        <v>70111.743118967046</v>
      </c>
    </row>
    <row r="24" spans="1:19" ht="12.95" customHeight="1" x14ac:dyDescent="0.25">
      <c r="A24" s="132"/>
      <c r="B24" s="563"/>
      <c r="C24" s="118"/>
      <c r="D24" s="563"/>
      <c r="E24" s="118"/>
      <c r="F24" s="563"/>
      <c r="G24" s="118"/>
      <c r="H24" s="563"/>
      <c r="I24" s="118"/>
      <c r="J24" s="563"/>
      <c r="K24" s="118"/>
      <c r="L24" s="563"/>
      <c r="M24" s="118"/>
      <c r="N24" s="564"/>
      <c r="O24" s="118"/>
      <c r="Q24" s="562"/>
      <c r="S24" s="212"/>
    </row>
    <row r="25" spans="1:19" ht="12.95" customHeight="1" x14ac:dyDescent="0.25">
      <c r="A25" s="132" t="s">
        <v>216</v>
      </c>
      <c r="B25" s="563">
        <f>+GETPIVOTDATA(" New All Ranks avg",'Averages Pivot Table'!$A$3,"State","TN","Category",1,"Category2","Four-Year")</f>
        <v>80524.576131899652</v>
      </c>
      <c r="C25" s="118">
        <f>IF(B25&gt;0,(RANK(B25,B$10:B$28)),0)</f>
        <v>12</v>
      </c>
      <c r="D25" s="563">
        <f>+GETPIVOTDATA(" New All Ranks avg",'Averages Pivot Table'!$A$3,"State","TN","Category",2,"Category2","Four-Year")</f>
        <v>57626.099739088735</v>
      </c>
      <c r="E25" s="118">
        <f>IF(D25&gt;0,(RANK(D25,D$10:D$28)),0)</f>
        <v>10</v>
      </c>
      <c r="F25" s="563">
        <f>+GETPIVOTDATA(" New All Ranks avg",'Averages Pivot Table'!$A$3,"State","TN","Category",3,"Category2","Four-Year")</f>
        <v>61805.697036828045</v>
      </c>
      <c r="G25" s="118">
        <f>IF(F25&gt;0,(RANK(F25,F$10:F$28)),0)</f>
        <v>8</v>
      </c>
      <c r="H25" s="563">
        <f>+GETPIVOTDATA(" New All Ranks avg",'Averages Pivot Table'!$A$3,"State","TN","Category",4,"Category2","Four-Year")</f>
        <v>0</v>
      </c>
      <c r="I25" s="118">
        <f>IF(H25&gt;0,(RANK(H25,H$10:H$28)),0)</f>
        <v>0</v>
      </c>
      <c r="J25" s="563">
        <f>+GETPIVOTDATA(" New All Ranks avg",'Averages Pivot Table'!$A$3,"State","TN","Category",5,"Category2","Four-Year")</f>
        <v>60109.593361029416</v>
      </c>
      <c r="K25" s="118">
        <f>IF(J25&gt;0,(RANK(J25,J$10:J$28)),0)</f>
        <v>6</v>
      </c>
      <c r="L25" s="563">
        <f>+GETPIVOTDATA(" New All Ranks avg",'Averages Pivot Table'!$A$3,"State","TN","Category",6,"Category2","Four-Year")</f>
        <v>0</v>
      </c>
      <c r="M25" s="118">
        <f>IF(L25&gt;0,(RANK(L25,L$10:L$28)),0)</f>
        <v>0</v>
      </c>
      <c r="N25" s="564">
        <f>+GETPIVOTDATA(" New All Ranks avg",'Averages Pivot Table'!$A$3,"State","TN","Category2","Four-Year")</f>
        <v>69499.132230843214</v>
      </c>
      <c r="O25" s="118">
        <f>IF(N25&gt;0,(RANK(N25,N$10:N$28)),0)</f>
        <v>11</v>
      </c>
      <c r="Q25" s="562">
        <f t="shared" si="0"/>
        <v>3.4822678788157937E-2</v>
      </c>
      <c r="R25" s="147" t="s">
        <v>216</v>
      </c>
      <c r="S25" s="212">
        <f>+GETPIVOTDATA(" Old All Ranks avg",'Averages Pivot Table'!$A$3,"State","TN","Category2","Four-Year")</f>
        <v>67160.426279245294</v>
      </c>
    </row>
    <row r="26" spans="1:19" ht="12.95" customHeight="1" x14ac:dyDescent="0.25">
      <c r="A26" s="132" t="s">
        <v>217</v>
      </c>
      <c r="B26" s="563">
        <f>+GETPIVOTDATA(" New All Ranks avg",'Averages Pivot Table'!$A$3,"State","TX","Category",1,"Category2","Four-Year")</f>
        <v>90197.027768754284</v>
      </c>
      <c r="C26" s="118">
        <f>IF(B26&gt;0,(RANK(B26,B$10:B$28)),0)</f>
        <v>5</v>
      </c>
      <c r="D26" s="563">
        <f>+GETPIVOTDATA(" New All Ranks avg",'Averages Pivot Table'!$A$3,"State","TX","Category",2,"Category2","Four-Year")</f>
        <v>69184.923785166247</v>
      </c>
      <c r="E26" s="118">
        <f>IF(D26&gt;0,(RANK(D26,D$10:D$28)),0)</f>
        <v>7</v>
      </c>
      <c r="F26" s="563">
        <f>+GETPIVOTDATA(" New All Ranks avg",'Averages Pivot Table'!$A$3,"State","TX","Category",3,"Category2","Four-Year")</f>
        <v>64130.952037511772</v>
      </c>
      <c r="G26" s="118">
        <f>IF(F26&gt;0,(RANK(F26,F$10:F$28)),0)</f>
        <v>6</v>
      </c>
      <c r="H26" s="563">
        <f>+GETPIVOTDATA(" New All Ranks avg",'Averages Pivot Table'!$A$3,"State","TX","Category",4,"Category2","Four-Year")</f>
        <v>72600.916032124354</v>
      </c>
      <c r="I26" s="118">
        <f>IF(H26&gt;0,(RANK(H26,H$10:H$28)),0)</f>
        <v>1</v>
      </c>
      <c r="J26" s="563">
        <f>+GETPIVOTDATA(" New All Ranks avg",'Averages Pivot Table'!$A$3,"State","TX","Category",5,"Category2","Four-Year")</f>
        <v>64633.042238187707</v>
      </c>
      <c r="K26" s="118">
        <f>IF(J26&gt;0,(RANK(J26,J$10:J$28)),0)</f>
        <v>3</v>
      </c>
      <c r="L26" s="563">
        <f>+GETPIVOTDATA(" New All Ranks avg",'Averages Pivot Table'!$A$3,"State","TX","Category",6,"Category2","Four-Year")</f>
        <v>62223.550136993705</v>
      </c>
      <c r="M26" s="118">
        <f>IF(L26&gt;0,(RANK(L26,L$10:L$28)),0)</f>
        <v>5</v>
      </c>
      <c r="N26" s="564">
        <f>+GETPIVOTDATA(" New All Ranks avg",'Averages Pivot Table'!$A$3,"State","TX","Category2","Four-Year")</f>
        <v>77716.512572093867</v>
      </c>
      <c r="O26" s="118">
        <f>IF(N26&gt;0,(RANK(N26,N$10:N$28)),0)</f>
        <v>6</v>
      </c>
      <c r="Q26" s="562">
        <f t="shared" si="0"/>
        <v>-8.7417392706541114E-2</v>
      </c>
      <c r="R26" s="147" t="s">
        <v>217</v>
      </c>
      <c r="S26" s="212">
        <f>+GETPIVOTDATA(" Old All Ranks avg",'Averages Pivot Table'!$A$3,"State","TX","Category2","Four-Year")</f>
        <v>85161.071393400547</v>
      </c>
    </row>
    <row r="27" spans="1:19" ht="12.95" customHeight="1" x14ac:dyDescent="0.25">
      <c r="A27" s="132" t="s">
        <v>218</v>
      </c>
      <c r="B27" s="563">
        <f>+GETPIVOTDATA(" New All Ranks avg",'Averages Pivot Table'!$A$3,"State","VA","Category",1,"Category2","Four-Year")</f>
        <v>93547.305062545143</v>
      </c>
      <c r="C27" s="118">
        <f>IF(B27&gt;0,(RANK(B27,B$10:B$28)),0)</f>
        <v>3</v>
      </c>
      <c r="D27" s="563">
        <f>+GETPIVOTDATA(" New All Ranks avg",'Averages Pivot Table'!$A$3,"State","VA","Category",2,"Category2","Four-Year")</f>
        <v>79901.827954519293</v>
      </c>
      <c r="E27" s="118">
        <f>IF(D27&gt;0,(RANK(D27,D$10:D$28)),0)</f>
        <v>3</v>
      </c>
      <c r="F27" s="563">
        <f>+GETPIVOTDATA(" New All Ranks avg",'Averages Pivot Table'!$A$3,"State","VA","Category",3,"Category2","Four-Year")</f>
        <v>68374.257849915681</v>
      </c>
      <c r="G27" s="118">
        <f>IF(F27&gt;0,(RANK(F27,F$10:F$28)),0)</f>
        <v>3</v>
      </c>
      <c r="H27" s="563">
        <f>+GETPIVOTDATA(" New All Ranks avg",'Averages Pivot Table'!$A$3,"State","VA","Category",4,"Category2","Four-Year")</f>
        <v>65730.871658805976</v>
      </c>
      <c r="I27" s="118">
        <f>IF(H27&gt;0,(RANK(H27,H$10:H$28)),0)</f>
        <v>5</v>
      </c>
      <c r="J27" s="563">
        <f>+GETPIVOTDATA(" New All Ranks avg",'Averages Pivot Table'!$A$3,"State","VA","Category",5,"Category2","Four-Year")</f>
        <v>65493.360294444436</v>
      </c>
      <c r="K27" s="118">
        <f>IF(J27&gt;0,(RANK(J27,J$10:J$28)),0)</f>
        <v>2</v>
      </c>
      <c r="L27" s="563">
        <f>+GETPIVOTDATA(" New All Ranks avg",'Averages Pivot Table'!$A$3,"State","VA","Category",6,"Category2","Four-Year")</f>
        <v>58182.802988505748</v>
      </c>
      <c r="M27" s="118">
        <f>IF(L27&gt;0,(RANK(L27,L$10:L$28)),0)</f>
        <v>7</v>
      </c>
      <c r="N27" s="564">
        <f>+GETPIVOTDATA(" New All Ranks avg",'Averages Pivot Table'!$A$3,"State","VA","Category2","Four-Year")</f>
        <v>82808.327343906305</v>
      </c>
      <c r="O27" s="118">
        <f>IF(N27&gt;0,(RANK(N27,N$10:N$28)),0)</f>
        <v>2</v>
      </c>
      <c r="Q27" s="562">
        <f t="shared" si="0"/>
        <v>2.9043108165013251E-2</v>
      </c>
      <c r="R27" s="147" t="s">
        <v>218</v>
      </c>
      <c r="S27" s="212">
        <f>+GETPIVOTDATA(" Old All Ranks avg",'Averages Pivot Table'!$A$3,"State","VA","Category2","Four-Year")</f>
        <v>80471.193759384754</v>
      </c>
    </row>
    <row r="28" spans="1:19" ht="12.95" customHeight="1" x14ac:dyDescent="0.25">
      <c r="A28" s="565" t="s">
        <v>219</v>
      </c>
      <c r="B28" s="566">
        <f>+GETPIVOTDATA(" New All Ranks avg",'Averages Pivot Table'!$A$3,"State","WV","Category",1,"Category2","Four-Year")</f>
        <v>79649.292918787862</v>
      </c>
      <c r="C28" s="119">
        <f>IF(B28&gt;0,(RANK(B28,B$10:B$28)),0)</f>
        <v>14</v>
      </c>
      <c r="D28" s="566">
        <f>+GETPIVOTDATA(" New All Ranks avg",'Averages Pivot Table'!$A$3,"State","WV","Category",2,"Category2","Four-Year")</f>
        <v>0</v>
      </c>
      <c r="E28" s="119">
        <f>IF(D28&gt;0,(RANK(D28,D$10:D$28)),0)</f>
        <v>0</v>
      </c>
      <c r="F28" s="566">
        <f>+GETPIVOTDATA(" New All Ranks avg",'Averages Pivot Table'!$A$3,"State","WV","Category",3,"Category2","Four-Year")</f>
        <v>61753.507676000008</v>
      </c>
      <c r="G28" s="119">
        <f>IF(F28&gt;0,(RANK(F28,F$10:F$28)),0)</f>
        <v>9</v>
      </c>
      <c r="H28" s="566">
        <f>+GETPIVOTDATA(" New All Ranks avg",'Averages Pivot Table'!$A$3,"State","WV","Category",4,"Category2","Four-Year")</f>
        <v>0</v>
      </c>
      <c r="I28" s="119">
        <f>IF(H28&gt;0,(RANK(H28,H$10:H$28)),0)</f>
        <v>0</v>
      </c>
      <c r="J28" s="566">
        <f>+GETPIVOTDATA(" New All Ranks avg",'Averages Pivot Table'!$A$3,"State","WV","Category",5,"Category2","Four-Year")</f>
        <v>61654.660547194726</v>
      </c>
      <c r="K28" s="119">
        <f>IF(J28&gt;0,(RANK(J28,J$10:J$28)),0)</f>
        <v>4</v>
      </c>
      <c r="L28" s="566">
        <f>+GETPIVOTDATA(" New All Ranks avg",'Averages Pivot Table'!$A$3,"State","WV","Category",6,"Category2","Four-Year")</f>
        <v>55980.646715488212</v>
      </c>
      <c r="M28" s="119">
        <f>IF(L28&gt;0,(RANK(L28,L$10:L$28)),0)</f>
        <v>8</v>
      </c>
      <c r="N28" s="567">
        <f>+GETPIVOTDATA(" New All Ranks avg",'Averages Pivot Table'!$A$3,"State","WV","Category2","Four-Year")</f>
        <v>67726.610859824039</v>
      </c>
      <c r="O28" s="119">
        <f>IF(N28&gt;0,(RANK(N28,N$10:N$28)),0)</f>
        <v>13</v>
      </c>
      <c r="Q28" s="562">
        <f t="shared" si="0"/>
        <v>3.73918879822559E-2</v>
      </c>
      <c r="R28" s="147" t="s">
        <v>219</v>
      </c>
      <c r="S28" s="212">
        <f>+GETPIVOTDATA(" Old All Ranks avg",'Averages Pivot Table'!$A$3,"State","WV","Category2","Four-Year")</f>
        <v>65285.464099351499</v>
      </c>
    </row>
    <row r="29" spans="1:19" ht="30" customHeight="1" x14ac:dyDescent="0.25">
      <c r="A29" s="674" t="s">
        <v>91</v>
      </c>
      <c r="B29" s="675"/>
      <c r="C29" s="675"/>
      <c r="D29" s="675"/>
      <c r="E29" s="675"/>
      <c r="F29" s="675"/>
      <c r="G29" s="675"/>
      <c r="H29" s="675"/>
      <c r="I29" s="675"/>
      <c r="J29" s="675"/>
      <c r="K29" s="675"/>
      <c r="L29" s="675"/>
      <c r="M29" s="675"/>
      <c r="N29" s="676"/>
      <c r="O29" s="676"/>
      <c r="Q29" s="549"/>
    </row>
    <row r="30" spans="1:19" x14ac:dyDescent="0.25">
      <c r="O30" s="157" t="s">
        <v>1088</v>
      </c>
      <c r="Q30" s="549"/>
    </row>
    <row r="31" spans="1:19" ht="18" x14ac:dyDescent="0.25">
      <c r="A31" s="544" t="s">
        <v>260</v>
      </c>
      <c r="B31" s="544"/>
      <c r="C31" s="544"/>
      <c r="D31" s="544"/>
      <c r="E31" s="544"/>
      <c r="F31" s="544"/>
      <c r="G31" s="544"/>
      <c r="H31" s="544"/>
      <c r="I31" s="544"/>
      <c r="J31" s="544"/>
      <c r="K31" s="544"/>
      <c r="L31" s="544"/>
      <c r="M31" s="544"/>
      <c r="Q31" s="549"/>
    </row>
    <row r="32" spans="1:19" x14ac:dyDescent="0.25">
      <c r="A32" s="93"/>
      <c r="B32" s="93"/>
      <c r="C32" s="93"/>
      <c r="D32" s="93"/>
      <c r="E32" s="93"/>
      <c r="F32" s="93"/>
      <c r="G32" s="113"/>
      <c r="H32" s="113"/>
      <c r="I32" s="113"/>
      <c r="J32" s="113"/>
      <c r="K32" s="113"/>
      <c r="Q32" s="549"/>
    </row>
    <row r="33" spans="1:19" x14ac:dyDescent="0.25">
      <c r="A33" s="665" t="s">
        <v>204</v>
      </c>
      <c r="B33" s="665"/>
      <c r="C33" s="665"/>
      <c r="D33" s="665"/>
      <c r="E33" s="665"/>
      <c r="F33" s="665"/>
      <c r="G33" s="665"/>
      <c r="H33" s="665"/>
      <c r="I33" s="665"/>
      <c r="J33" s="665"/>
      <c r="K33" s="665"/>
      <c r="L33" s="665"/>
      <c r="M33" s="665"/>
      <c r="Q33" s="549"/>
    </row>
    <row r="34" spans="1:19" x14ac:dyDescent="0.25">
      <c r="A34" s="665" t="s">
        <v>1070</v>
      </c>
      <c r="B34" s="665"/>
      <c r="C34" s="665"/>
      <c r="D34" s="665"/>
      <c r="E34" s="665"/>
      <c r="F34" s="665"/>
      <c r="G34" s="665"/>
      <c r="H34" s="665"/>
      <c r="I34" s="665"/>
      <c r="J34" s="665"/>
      <c r="K34" s="665"/>
      <c r="L34" s="665"/>
      <c r="M34" s="665"/>
      <c r="Q34" s="549"/>
    </row>
    <row r="35" spans="1:19" x14ac:dyDescent="0.25">
      <c r="A35" s="93"/>
      <c r="B35" s="93"/>
      <c r="C35" s="93"/>
      <c r="D35" s="93"/>
      <c r="E35" s="93"/>
      <c r="F35" s="93"/>
      <c r="G35" s="113"/>
      <c r="H35" s="113"/>
      <c r="I35" s="113"/>
      <c r="J35" s="113"/>
      <c r="K35" s="113"/>
      <c r="L35" s="105"/>
      <c r="M35" s="105"/>
      <c r="N35" s="105"/>
      <c r="O35" s="105"/>
      <c r="Q35" s="549"/>
    </row>
    <row r="36" spans="1:19" ht="24" x14ac:dyDescent="0.25">
      <c r="A36" s="547"/>
      <c r="B36" s="568" t="s">
        <v>73</v>
      </c>
      <c r="C36" s="569"/>
      <c r="D36" s="143" t="s">
        <v>202</v>
      </c>
      <c r="E36" s="115"/>
      <c r="F36" s="143" t="s">
        <v>203</v>
      </c>
      <c r="G36" s="115"/>
      <c r="H36" s="143" t="s">
        <v>74</v>
      </c>
      <c r="I36" s="115"/>
      <c r="J36" s="548" t="s">
        <v>75</v>
      </c>
      <c r="K36" s="115"/>
      <c r="N36" s="137" t="s">
        <v>223</v>
      </c>
      <c r="O36" s="120"/>
      <c r="Q36" s="549" t="s">
        <v>6</v>
      </c>
      <c r="S36" s="147" t="s">
        <v>5</v>
      </c>
    </row>
    <row r="37" spans="1:19" x14ac:dyDescent="0.25">
      <c r="A37" s="551"/>
      <c r="B37" s="570" t="s">
        <v>103</v>
      </c>
      <c r="C37" s="145" t="s">
        <v>193</v>
      </c>
      <c r="D37" s="570" t="s">
        <v>103</v>
      </c>
      <c r="E37" s="145" t="s">
        <v>193</v>
      </c>
      <c r="F37" s="570" t="s">
        <v>103</v>
      </c>
      <c r="G37" s="145" t="s">
        <v>193</v>
      </c>
      <c r="H37" s="570" t="s">
        <v>103</v>
      </c>
      <c r="I37" s="145" t="s">
        <v>193</v>
      </c>
      <c r="J37" s="571" t="s">
        <v>103</v>
      </c>
      <c r="K37" s="145" t="s">
        <v>193</v>
      </c>
      <c r="N37" s="572"/>
      <c r="O37" s="121"/>
      <c r="Q37" s="549"/>
    </row>
    <row r="38" spans="1:19" s="556" customFormat="1" ht="18" customHeight="1" x14ac:dyDescent="0.25">
      <c r="A38" s="554" t="s">
        <v>222</v>
      </c>
      <c r="B38" s="146">
        <f>+GETPIVOTDATA(" New All Ranks avg",'Averages Pivot Table'!$A$3,"Category",7,"Category2","Two-Year")</f>
        <v>55030.933525737055</v>
      </c>
      <c r="C38" s="146"/>
      <c r="D38" s="146">
        <f>+GETPIVOTDATA(" New All Ranks avg",'Averages Pivot Table'!$A$3,"Category",8,"Category2","Two-Year")</f>
        <v>53354.246352021233</v>
      </c>
      <c r="E38" s="146"/>
      <c r="F38" s="146">
        <f>+GETPIVOTDATA(" New All Ranks avg",'Averages Pivot Table'!$A$3,"Category",9,"Category2","Two-Year")</f>
        <v>49077.743279136754</v>
      </c>
      <c r="G38" s="146"/>
      <c r="H38" s="146">
        <f>+GETPIVOTDATA(" New All Ranks avg",'Averages Pivot Table'!$A$3,"Category",10,"Category2","Two-Year")</f>
        <v>46030.460778177585</v>
      </c>
      <c r="I38" s="151"/>
      <c r="J38" s="573">
        <f>+GETPIVOTDATA(" New All Ranks avg",'Averages Pivot Table'!$A$3,"Category2","Two-Year")</f>
        <v>51834.101565527541</v>
      </c>
      <c r="K38" s="146"/>
      <c r="N38" s="122"/>
      <c r="O38" s="122"/>
      <c r="Q38" s="557">
        <f>(J38-S38)/S38</f>
        <v>2.999149798157678E-3</v>
      </c>
      <c r="R38" s="558" t="s">
        <v>222</v>
      </c>
      <c r="S38" s="559">
        <f>+GETPIVOTDATA(" Old All Ranks avg",'Averages Pivot Table'!$A$3,"Category2","Two-Year")</f>
        <v>51679.10817866453</v>
      </c>
    </row>
    <row r="39" spans="1:19" ht="12.95" customHeight="1" x14ac:dyDescent="0.25">
      <c r="A39" s="132"/>
      <c r="B39" s="123"/>
      <c r="C39" s="150"/>
      <c r="D39" s="123"/>
      <c r="E39" s="150"/>
      <c r="F39" s="574"/>
      <c r="G39" s="147"/>
      <c r="H39" s="147"/>
      <c r="I39" s="147"/>
      <c r="J39" s="223"/>
      <c r="K39" s="147"/>
      <c r="Q39" s="562"/>
      <c r="S39" s="212"/>
    </row>
    <row r="40" spans="1:19" ht="12.95" customHeight="1" x14ac:dyDescent="0.25">
      <c r="A40" s="132" t="s">
        <v>205</v>
      </c>
      <c r="B40" s="124">
        <f>+GETPIVOTDATA(" New All Ranks avg",'Averages Pivot Table'!$A$3,"State","AL","Category",7,"Category2","Two-Year")</f>
        <v>0</v>
      </c>
      <c r="C40" s="118">
        <f>IF(B40&gt;0,(RANK(B40,B$40:B$58)),0)</f>
        <v>0</v>
      </c>
      <c r="D40" s="124">
        <f>+GETPIVOTDATA(" New All Ranks avg",'Averages Pivot Table'!$A$3,"State","AL","Category",8,"Category2","Two-Year")</f>
        <v>53670.772453214289</v>
      </c>
      <c r="E40" s="118">
        <f>IF(D40&gt;0,(RANK(D40,D$40:D$58)),0)</f>
        <v>5</v>
      </c>
      <c r="F40" s="124">
        <f>+GETPIVOTDATA(" New All Ranks avg",'Averages Pivot Table'!$A$3,"State","AL","Category",9,"Category2","Two-Year")</f>
        <v>53168.077911677283</v>
      </c>
      <c r="G40" s="118">
        <f>IF(F40&gt;0,(RANK(F40,F$40:F$58)),0)</f>
        <v>3</v>
      </c>
      <c r="H40" s="575">
        <f>+GETPIVOTDATA(" New All Ranks avg",'Averages Pivot Table'!$A$3,"State","AL","Category",10,"Category2","Two-Year")</f>
        <v>52098.867070110704</v>
      </c>
      <c r="I40" s="118">
        <f>IF(H40&gt;0,(RANK(H40,H$40:H$58)),0)</f>
        <v>4</v>
      </c>
      <c r="J40" s="576">
        <f>+GETPIVOTDATA(" New All Ranks avg",'Averages Pivot Table'!$A$3,"State","AL","Category2","Two-Year")</f>
        <v>53163.426363564577</v>
      </c>
      <c r="K40" s="118">
        <f>IF(J40&gt;0,(RANK(J40,J$40:J$58)),0)</f>
        <v>5</v>
      </c>
      <c r="Q40" s="562">
        <f>(J40-S40)/S40</f>
        <v>2.7251409560276464E-3</v>
      </c>
      <c r="R40" s="147" t="s">
        <v>205</v>
      </c>
      <c r="S40" s="212">
        <f>+GETPIVOTDATA(" Old All Ranks avg",'Averages Pivot Table'!$A$3,"State","AL","Category2","Two-Year")</f>
        <v>53018.942272532433</v>
      </c>
    </row>
    <row r="41" spans="1:19" ht="12.95" customHeight="1" x14ac:dyDescent="0.25">
      <c r="A41" s="132" t="s">
        <v>206</v>
      </c>
      <c r="B41" s="124">
        <f>+GETPIVOTDATA(" New All Ranks avg",'Averages Pivot Table'!$A$3,"State","AR","Category",7,"Category2","Two-Year")</f>
        <v>0</v>
      </c>
      <c r="C41" s="118">
        <f>IF(B41&gt;0,(RANK(B41,B$40:B$58)),0)</f>
        <v>0</v>
      </c>
      <c r="D41" s="124">
        <f>+GETPIVOTDATA(" New All Ranks avg",'Averages Pivot Table'!$A$3,"State","AR","Category",8,"Category2","Two-Year")</f>
        <v>50227.265255492355</v>
      </c>
      <c r="E41" s="118">
        <f>IF(D41&gt;0,(RANK(D41,D$40:D$58)),0)</f>
        <v>9</v>
      </c>
      <c r="F41" s="124">
        <f>+GETPIVOTDATA(" New All Ranks avg",'Averages Pivot Table'!$A$3,"State","AR","Category",9,"Category2","Two-Year")</f>
        <v>43202.652032275233</v>
      </c>
      <c r="G41" s="118">
        <f>IF(F41&gt;0,(RANK(F41,F$40:F$58)),0)</f>
        <v>15</v>
      </c>
      <c r="H41" s="575">
        <f>+GETPIVOTDATA(" New All Ranks avg",'Averages Pivot Table'!$A$3,"State","AR","Category",10,"Category2","Two-Year")</f>
        <v>41939.359957216337</v>
      </c>
      <c r="I41" s="118">
        <f>IF(H41&gt;0,(RANK(H41,H$40:H$58)),0)</f>
        <v>14</v>
      </c>
      <c r="J41" s="576">
        <f>+GETPIVOTDATA(" New All Ranks avg",'Averages Pivot Table'!$A$3,"State","AR","Category2","Two-Year")</f>
        <v>43996.935908215026</v>
      </c>
      <c r="K41" s="118">
        <f>IF(J41&gt;0,(RANK(J41,J$40:J$58)),0)</f>
        <v>16</v>
      </c>
      <c r="Q41" s="562">
        <f>(J41-S41)/S41</f>
        <v>9.6565984710667088E-3</v>
      </c>
      <c r="R41" s="147" t="s">
        <v>206</v>
      </c>
      <c r="S41" s="212">
        <f>+GETPIVOTDATA(" Old All Ranks avg",'Averages Pivot Table'!$A$3,"State","AR","Category2","Two-Year")</f>
        <v>43576.138634502102</v>
      </c>
    </row>
    <row r="42" spans="1:19" ht="12.95" customHeight="1" x14ac:dyDescent="0.25">
      <c r="A42" s="132" t="s">
        <v>221</v>
      </c>
      <c r="B42" s="124">
        <f>+GETPIVOTDATA(" New All Ranks avg",'Averages Pivot Table'!$A$3,"State","DE","Category",7,"Category2","Two-Year")</f>
        <v>0</v>
      </c>
      <c r="C42" s="118">
        <f>IF(B42&gt;0,(RANK(B42,B$40:B$58)),0)</f>
        <v>0</v>
      </c>
      <c r="D42" s="124">
        <f>+GETPIVOTDATA(" New All Ranks avg",'Averages Pivot Table'!$A$3,"State","DE","Category",8,"Category2","Two-Year")</f>
        <v>64188.159506818185</v>
      </c>
      <c r="E42" s="118">
        <f>IF(D42&gt;0,(RANK(D42,D$40:D$58)),0)</f>
        <v>2</v>
      </c>
      <c r="F42" s="124">
        <f>+GETPIVOTDATA(" New All Ranks avg",'Averages Pivot Table'!$A$3,"State","DE","Category",9,"Category2","Two-Year")</f>
        <v>64815.738647540988</v>
      </c>
      <c r="G42" s="118">
        <f>IF(F42&gt;0,(RANK(F42,F$40:F$58)),0)</f>
        <v>1</v>
      </c>
      <c r="H42" s="575">
        <f>+GETPIVOTDATA(" New All Ranks avg",'Averages Pivot Table'!$A$3,"State","DE","Category",10,"Category2","Two-Year")</f>
        <v>63190.528305882355</v>
      </c>
      <c r="I42" s="118">
        <f>IF(H42&gt;0,(RANK(H42,H$40:H$58)),0)</f>
        <v>1</v>
      </c>
      <c r="J42" s="576">
        <f>+GETPIVOTDATA(" New All Ranks avg",'Averages Pivot Table'!$A$3,"State","DE","Category2","Two-Year")</f>
        <v>64166.660820365534</v>
      </c>
      <c r="K42" s="118">
        <f>IF(J42&gt;0,(RANK(J42,J$40:J$58)),0)</f>
        <v>2</v>
      </c>
      <c r="Q42" s="562">
        <f>(J42-S42)/S42</f>
        <v>5.677352336417172E-3</v>
      </c>
      <c r="R42" s="147" t="s">
        <v>221</v>
      </c>
      <c r="S42" s="212">
        <f>+GETPIVOTDATA(" Old All Ranks avg",'Averages Pivot Table'!$A$3,"State","DE","Category2","Two-Year")</f>
        <v>63804.420643749996</v>
      </c>
    </row>
    <row r="43" spans="1:19" ht="12.95" customHeight="1" x14ac:dyDescent="0.25">
      <c r="A43" s="132" t="s">
        <v>207</v>
      </c>
      <c r="B43" s="124">
        <f>+GETPIVOTDATA(" New All Ranks avg",'Averages Pivot Table'!$A$3,"State","FL","Category",7,"Category2","Two-Year")</f>
        <v>57320.089237668159</v>
      </c>
      <c r="C43" s="118">
        <f>IF(B43&gt;0,(RANK(B43,B$40:B$58)),0)</f>
        <v>1</v>
      </c>
      <c r="D43" s="124">
        <f>+GETPIVOTDATA(" New All Ranks avg",'Averages Pivot Table'!$A$3,"State","FL","Category",8,"Category2","Two-Year")</f>
        <v>53679.730678366519</v>
      </c>
      <c r="E43" s="118">
        <f>IF(D43&gt;0,(RANK(D43,D$40:D$58)),0)</f>
        <v>4</v>
      </c>
      <c r="F43" s="124">
        <f>+GETPIVOTDATA(" New All Ranks avg",'Averages Pivot Table'!$A$3,"State","FL","Category",9,"Category2","Two-Year")</f>
        <v>47575.791383219956</v>
      </c>
      <c r="G43" s="118">
        <f>IF(F43&gt;0,(RANK(F43,F$40:F$58)),0)</f>
        <v>9</v>
      </c>
      <c r="H43" s="575">
        <f>+GETPIVOTDATA(" New All Ranks avg",'Averages Pivot Table'!$A$3,"State","FL","Category",10,"Category2","Two-Year")</f>
        <v>48943.15789473684</v>
      </c>
      <c r="I43" s="118">
        <f>IF(H43&gt;0,(RANK(H43,H$40:H$58)),0)</f>
        <v>6</v>
      </c>
      <c r="J43" s="576">
        <f>+GETPIVOTDATA(" New All Ranks avg",'Averages Pivot Table'!$A$3,"State","FL","Category2","Two-Year")</f>
        <v>54585.753821823935</v>
      </c>
      <c r="K43" s="118">
        <f>IF(J43&gt;0,(RANK(J43,J$40:J$58)),0)</f>
        <v>4</v>
      </c>
      <c r="Q43" s="562">
        <f>(J43-S43)/S43</f>
        <v>6.3017519023134318E-3</v>
      </c>
      <c r="R43" s="147" t="s">
        <v>207</v>
      </c>
      <c r="S43" s="212">
        <f>+GETPIVOTDATA(" Old All Ranks avg",'Averages Pivot Table'!$A$3,"State","FL","Category2","Two-Year")</f>
        <v>54243.92208265065</v>
      </c>
    </row>
    <row r="44" spans="1:19" ht="12.95" customHeight="1" x14ac:dyDescent="0.25">
      <c r="A44" s="132"/>
      <c r="B44" s="124"/>
      <c r="C44" s="118"/>
      <c r="D44" s="124"/>
      <c r="E44" s="118"/>
      <c r="F44" s="124"/>
      <c r="G44" s="118"/>
      <c r="H44" s="575"/>
      <c r="I44" s="118"/>
      <c r="J44" s="576"/>
      <c r="K44" s="118"/>
      <c r="Q44" s="562"/>
      <c r="S44" s="212"/>
    </row>
    <row r="45" spans="1:19" ht="12.95" customHeight="1" x14ac:dyDescent="0.25">
      <c r="A45" s="132" t="s">
        <v>208</v>
      </c>
      <c r="B45" s="124">
        <f>+GETPIVOTDATA(" New All Ranks avg",'Averages Pivot Table'!$A$3,"State","GA","Category",7,"Category2","Two-Year")</f>
        <v>50141.680871092081</v>
      </c>
      <c r="C45" s="118">
        <f>IF(B45&gt;0,(RANK(B45,B$40:B$58)),0)</f>
        <v>4</v>
      </c>
      <c r="D45" s="124">
        <f>+GETPIVOTDATA(" New All Ranks avg",'Averages Pivot Table'!$A$3,"State","GA","Category",8,"Category2","Two-Year")</f>
        <v>45201.627115881325</v>
      </c>
      <c r="E45" s="118">
        <f>IF(D45&gt;0,(RANK(D45,D$40:D$58)),0)</f>
        <v>14</v>
      </c>
      <c r="F45" s="124">
        <f>+GETPIVOTDATA(" New All Ranks avg",'Averages Pivot Table'!$A$3,"State","GA","Category",9,"Category2","Two-Year")</f>
        <v>45975.491998082187</v>
      </c>
      <c r="G45" s="118">
        <f>IF(F45&gt;0,(RANK(F45,F$40:F$58)),0)</f>
        <v>11</v>
      </c>
      <c r="H45" s="575">
        <f>+GETPIVOTDATA(" New All Ranks avg",'Averages Pivot Table'!$A$3,"State","GA","Category",10,"Category2","Two-Year")</f>
        <v>42776.953125</v>
      </c>
      <c r="I45" s="118">
        <f>IF(H45&gt;0,(RANK(H45,H$40:H$58)),0)</f>
        <v>12</v>
      </c>
      <c r="J45" s="576">
        <f>+GETPIVOTDATA(" New All Ranks avg",'Averages Pivot Table'!$A$3,"State","GA","Category2","Two-Year")</f>
        <v>46682.95063402399</v>
      </c>
      <c r="K45" s="118">
        <f>IF(J45&gt;0,(RANK(J45,J$40:J$58)),0)</f>
        <v>14</v>
      </c>
      <c r="Q45" s="562">
        <f>(J45-S45)/S45</f>
        <v>-2.6865887039670532E-2</v>
      </c>
      <c r="R45" s="147" t="s">
        <v>208</v>
      </c>
      <c r="S45" s="212">
        <f>+GETPIVOTDATA(" Old All Ranks avg",'Averages Pivot Table'!$A$3,"State","GA","Category2","Two-Year")</f>
        <v>47971.754367968657</v>
      </c>
    </row>
    <row r="46" spans="1:19" ht="12.95" customHeight="1" x14ac:dyDescent="0.25">
      <c r="A46" s="132" t="s">
        <v>209</v>
      </c>
      <c r="B46" s="124">
        <f>+GETPIVOTDATA(" New All Ranks avg",'Averages Pivot Table'!$A$3,"State","KY","Category",7,"Category2","Two-Year")</f>
        <v>0</v>
      </c>
      <c r="C46" s="118">
        <f>IF(B46&gt;0,(RANK(B46,B$40:B$58)),0)</f>
        <v>0</v>
      </c>
      <c r="D46" s="124">
        <f>+GETPIVOTDATA(" New All Ranks avg",'Averages Pivot Table'!$A$3,"State","KY","Category",8,"Category2","Two-Year")</f>
        <v>50840.615992366409</v>
      </c>
      <c r="E46" s="118">
        <f>IF(D46&gt;0,(RANK(D46,D$40:D$58)),0)</f>
        <v>8</v>
      </c>
      <c r="F46" s="124">
        <f>+GETPIVOTDATA(" New All Ranks avg",'Averages Pivot Table'!$A$3,"State","KY","Category",9,"Category2","Two-Year")</f>
        <v>48270.239783422468</v>
      </c>
      <c r="G46" s="118">
        <f>IF(F46&gt;0,(RANK(F46,F$40:F$58)),0)</f>
        <v>7</v>
      </c>
      <c r="H46" s="575">
        <f>+GETPIVOTDATA(" New All Ranks avg",'Averages Pivot Table'!$A$3,"State","KY","Category",10,"Category2","Two-Year")</f>
        <v>51980.002325786169</v>
      </c>
      <c r="I46" s="118">
        <f>IF(H46&gt;0,(RANK(H46,H$40:H$58)),0)</f>
        <v>5</v>
      </c>
      <c r="J46" s="576">
        <f>+GETPIVOTDATA(" New All Ranks avg",'Averages Pivot Table'!$A$3,"State","KY","Category2","Two-Year")</f>
        <v>49343.220048088646</v>
      </c>
      <c r="K46" s="118">
        <f>IF(J46&gt;0,(RANK(J46,J$40:J$58)),0)</f>
        <v>9</v>
      </c>
      <c r="Q46" s="562">
        <f>(J46-S46)/S46</f>
        <v>1.5219775820041493E-2</v>
      </c>
      <c r="R46" s="147" t="s">
        <v>209</v>
      </c>
      <c r="S46" s="212">
        <f>+GETPIVOTDATA(" Old All Ranks avg",'Averages Pivot Table'!$A$3,"State","KY","Category2","Two-Year")</f>
        <v>48603.485888788731</v>
      </c>
    </row>
    <row r="47" spans="1:19" ht="12.95" customHeight="1" x14ac:dyDescent="0.25">
      <c r="A47" s="132" t="s">
        <v>210</v>
      </c>
      <c r="B47" s="124">
        <f>+GETPIVOTDATA(" New All Ranks avg",'Averages Pivot Table'!$A$3,"State","LA","Category",7,"Category2","Two-Year")</f>
        <v>0</v>
      </c>
      <c r="C47" s="118">
        <f>IF(B47&gt;0,(RANK(B47,B$40:B$58)),0)</f>
        <v>0</v>
      </c>
      <c r="D47" s="124">
        <f>+GETPIVOTDATA(" New All Ranks avg",'Averages Pivot Table'!$A$3,"State","LA","Category",8,"Category2","Two-Year")</f>
        <v>53410.162368421064</v>
      </c>
      <c r="E47" s="118">
        <f>IF(D47&gt;0,(RANK(D47,D$40:D$58)),0)</f>
        <v>6</v>
      </c>
      <c r="F47" s="124">
        <f>+GETPIVOTDATA(" New All Ranks avg",'Averages Pivot Table'!$A$3,"State","LA","Category",9,"Category2","Two-Year")</f>
        <v>49839.826275781248</v>
      </c>
      <c r="G47" s="118">
        <f>IF(F47&gt;0,(RANK(F47,F$40:F$58)),0)</f>
        <v>5</v>
      </c>
      <c r="H47" s="575">
        <f>+GETPIVOTDATA(" New All Ranks avg",'Averages Pivot Table'!$A$3,"State","LA","Category",10,"Category2","Two-Year")</f>
        <v>41591.630755274258</v>
      </c>
      <c r="I47" s="118">
        <f>IF(H47&gt;0,(RANK(H47,H$40:H$58)),0)</f>
        <v>15</v>
      </c>
      <c r="J47" s="576">
        <f>+GETPIVOTDATA(" New All Ranks avg",'Averages Pivot Table'!$A$3,"State","LA","Category2","Two-Year")</f>
        <v>50202.046624006914</v>
      </c>
      <c r="K47" s="118">
        <f>IF(J47&gt;0,(RANK(J47,J$40:J$58)),0)</f>
        <v>7</v>
      </c>
      <c r="Q47" s="562">
        <f>(J47-S47)/S47</f>
        <v>5.2846387216052134E-3</v>
      </c>
      <c r="R47" s="147" t="s">
        <v>210</v>
      </c>
      <c r="S47" s="212">
        <f>+GETPIVOTDATA(" Old All Ranks avg",'Averages Pivot Table'!$A$3,"State","LA","Category2","Two-Year")</f>
        <v>49938.14158728972</v>
      </c>
    </row>
    <row r="48" spans="1:19" ht="12.95" customHeight="1" x14ac:dyDescent="0.25">
      <c r="A48" s="132" t="s">
        <v>211</v>
      </c>
      <c r="B48" s="124">
        <f>+GETPIVOTDATA(" New All Ranks avg",'Averages Pivot Table'!$A$3,"State","MD","Category",7,"Category2","Two-Year")</f>
        <v>0</v>
      </c>
      <c r="C48" s="118">
        <f>IF(B48&gt;0,(RANK(B48,B$40:B$58)),0)</f>
        <v>0</v>
      </c>
      <c r="D48" s="124">
        <f>+GETPIVOTDATA(" New All Ranks avg",'Averages Pivot Table'!$A$3,"State","MD","Category",8,"Category2","Two-Year")</f>
        <v>69163.877439217584</v>
      </c>
      <c r="E48" s="118">
        <f>IF(D48&gt;0,(RANK(D48,D$40:D$58)),0)</f>
        <v>1</v>
      </c>
      <c r="F48" s="124">
        <f>+GETPIVOTDATA(" New All Ranks avg",'Averages Pivot Table'!$A$3,"State","MD","Category",9,"Category2","Two-Year")</f>
        <v>58458.815147491601</v>
      </c>
      <c r="G48" s="118">
        <f>IF(F48&gt;0,(RANK(F48,F$40:F$58)),0)</f>
        <v>2</v>
      </c>
      <c r="H48" s="575">
        <f>+GETPIVOTDATA(" New All Ranks avg",'Averages Pivot Table'!$A$3,"State","MD","Category",10,"Category2","Two-Year")</f>
        <v>60146.85474573644</v>
      </c>
      <c r="I48" s="118">
        <f>IF(H48&gt;0,(RANK(H48,H$40:H$58)),0)</f>
        <v>2</v>
      </c>
      <c r="J48" s="576">
        <f>+GETPIVOTDATA(" New All Ranks avg",'Averages Pivot Table'!$A$3,"State","MD","Category2","Two-Year")</f>
        <v>66084.629553953608</v>
      </c>
      <c r="K48" s="118">
        <f>IF(J48&gt;0,(RANK(J48,J$40:J$58)),0)</f>
        <v>1</v>
      </c>
      <c r="Q48" s="562">
        <f>(J48-S48)/S48</f>
        <v>5.1639643547817258E-3</v>
      </c>
      <c r="R48" s="147" t="s">
        <v>211</v>
      </c>
      <c r="S48" s="212">
        <f>+GETPIVOTDATA(" Old All Ranks avg",'Averages Pivot Table'!$A$3,"State","MD","Category2","Two-Year")</f>
        <v>65745.12407672072</v>
      </c>
    </row>
    <row r="49" spans="1:19" ht="12.95" customHeight="1" x14ac:dyDescent="0.25">
      <c r="A49" s="132"/>
      <c r="B49" s="124"/>
      <c r="C49" s="118"/>
      <c r="D49" s="124"/>
      <c r="E49" s="118"/>
      <c r="F49" s="124"/>
      <c r="G49" s="118"/>
      <c r="H49" s="575"/>
      <c r="I49" s="118"/>
      <c r="J49" s="576"/>
      <c r="K49" s="118"/>
      <c r="Q49" s="562"/>
      <c r="S49" s="212"/>
    </row>
    <row r="50" spans="1:19" x14ac:dyDescent="0.25">
      <c r="A50" s="132" t="s">
        <v>212</v>
      </c>
      <c r="B50" s="124">
        <f>+GETPIVOTDATA(" New All Ranks avg",'Averages Pivot Table'!$A$3,"State","MS","Category",7,"Category2","Two-Year")</f>
        <v>0</v>
      </c>
      <c r="C50" s="118">
        <f>IF(B50&gt;0,(RANK(B50,B$40:B$58)),0)</f>
        <v>0</v>
      </c>
      <c r="D50" s="124">
        <f>+GETPIVOTDATA(" New All Ranks avg",'Averages Pivot Table'!$A$3,"State","MS","Category",8,"Category2","Two-Year")</f>
        <v>49646.825981088681</v>
      </c>
      <c r="E50" s="118">
        <f>IF(D50&gt;0,(RANK(D50,D$40:D$58)),0)</f>
        <v>10</v>
      </c>
      <c r="F50" s="124">
        <f>+GETPIVOTDATA(" New All Ranks avg",'Averages Pivot Table'!$A$3,"State","MS","Category",9,"Category2","Two-Year")</f>
        <v>50652.287640033363</v>
      </c>
      <c r="G50" s="118">
        <f>IF(F50&gt;0,(RANK(F50,F$40:F$58)),0)</f>
        <v>4</v>
      </c>
      <c r="H50" s="575">
        <f>+GETPIVOTDATA(" New All Ranks avg",'Averages Pivot Table'!$A$3,"State","MS","Category",10,"Category2","Two-Year")</f>
        <v>46711.516386577183</v>
      </c>
      <c r="I50" s="118">
        <f>IF(H50&gt;0,(RANK(H50,H$40:H$58)),0)</f>
        <v>8</v>
      </c>
      <c r="J50" s="576">
        <f>+GETPIVOTDATA(" New All Ranks avg",'Averages Pivot Table'!$A$3,"State","MS","Category2","Two-Year")</f>
        <v>49951.43258701772</v>
      </c>
      <c r="K50" s="118">
        <f>IF(J50&gt;0,(RANK(J50,J$40:J$58)),0)</f>
        <v>8</v>
      </c>
      <c r="Q50" s="562">
        <f>(J50-S50)/S50</f>
        <v>1.3020827609998868E-2</v>
      </c>
      <c r="R50" s="147" t="s">
        <v>212</v>
      </c>
      <c r="S50" s="212">
        <f>+GETPIVOTDATA(" Old All Ranks avg",'Averages Pivot Table'!$A$3,"State","MS","Category2","Two-Year")</f>
        <v>49309.383603560455</v>
      </c>
    </row>
    <row r="51" spans="1:19" ht="12.95" customHeight="1" x14ac:dyDescent="0.25">
      <c r="A51" s="132" t="s">
        <v>213</v>
      </c>
      <c r="B51" s="124">
        <f>+GETPIVOTDATA(" New All Ranks avg",'Averages Pivot Table'!$A$3,"State","NC","Category",7,"Category2","Two-Year")</f>
        <v>0</v>
      </c>
      <c r="C51" s="118">
        <f>IF(B51&gt;0,(RANK(B51,B$40:B$58)),0)</f>
        <v>0</v>
      </c>
      <c r="D51" s="124">
        <f>+GETPIVOTDATA(" New All Ranks avg",'Averages Pivot Table'!$A$3,"State","NC","Category",8,"Category2","Two-Year")</f>
        <v>47573.766972405749</v>
      </c>
      <c r="E51" s="118">
        <f>IF(D51&gt;0,(RANK(D51,D$40:D$58)),0)</f>
        <v>11</v>
      </c>
      <c r="F51" s="124">
        <f>+GETPIVOTDATA(" New All Ranks avg",'Averages Pivot Table'!$A$3,"State","NC","Category",9,"Category2","Two-Year")</f>
        <v>47321.805585513073</v>
      </c>
      <c r="G51" s="118">
        <f>IF(F51&gt;0,(RANK(F51,F$40:F$58)),0)</f>
        <v>10</v>
      </c>
      <c r="H51" s="575">
        <f>+GETPIVOTDATA(" New All Ranks avg",'Averages Pivot Table'!$A$3,"State","NC","Category",10,"Category2","Two-Year")</f>
        <v>46495.810569948189</v>
      </c>
      <c r="I51" s="118">
        <f>IF(H51&gt;0,(RANK(H51,H$40:H$58)),0)</f>
        <v>9</v>
      </c>
      <c r="J51" s="576">
        <f>+GETPIVOTDATA(" New All Ranks avg",'Averages Pivot Table'!$A$3,"State","NC","Category2","Two-Year")</f>
        <v>47272.222963320462</v>
      </c>
      <c r="K51" s="118">
        <f>IF(J51&gt;0,(RANK(J51,J$40:J$58)),0)</f>
        <v>12</v>
      </c>
      <c r="Q51" s="562">
        <f>(J51-S51)/S51</f>
        <v>-2.5314858138459267E-4</v>
      </c>
      <c r="R51" s="147" t="s">
        <v>213</v>
      </c>
      <c r="S51" s="212">
        <f>+GETPIVOTDATA(" Old All Ranks avg",'Averages Pivot Table'!$A$3,"State","NC","Category2","Two-Year")</f>
        <v>47284.192889672398</v>
      </c>
    </row>
    <row r="52" spans="1:19" ht="12.95" customHeight="1" x14ac:dyDescent="0.25">
      <c r="A52" s="132" t="s">
        <v>214</v>
      </c>
      <c r="B52" s="124">
        <f>+GETPIVOTDATA(" New All Ranks avg",'Averages Pivot Table'!$A$3,"State","OK","Category",7,"Category2","Two-Year")</f>
        <v>55818.207547169812</v>
      </c>
      <c r="C52" s="118">
        <f>IF(B52&gt;0,(RANK(B52,B$40:B$58)),0)</f>
        <v>2</v>
      </c>
      <c r="D52" s="124">
        <f>+GETPIVOTDATA(" New All Ranks avg",'Averages Pivot Table'!$A$3,"State","OK","Category",8,"Category2","Two-Year")</f>
        <v>51283.13160807018</v>
      </c>
      <c r="E52" s="118">
        <f>IF(D52&gt;0,(RANK(D52,D$40:D$58)),0)</f>
        <v>7</v>
      </c>
      <c r="F52" s="124">
        <f>+GETPIVOTDATA(" New All Ranks avg",'Averages Pivot Table'!$A$3,"State","OK","Category",9,"Category2","Two-Year")</f>
        <v>45582.347686315792</v>
      </c>
      <c r="G52" s="118">
        <f>IF(F52&gt;0,(RANK(F52,F$40:F$58)),0)</f>
        <v>12</v>
      </c>
      <c r="H52" s="575">
        <f>+GETPIVOTDATA(" New All Ranks avg",'Averages Pivot Table'!$A$3,"State","OK","Category",10,"Category2","Two-Year")</f>
        <v>43697.8767515625</v>
      </c>
      <c r="I52" s="118">
        <f>IF(H52&gt;0,(RANK(H52,H$40:H$58)),0)</f>
        <v>11</v>
      </c>
      <c r="J52" s="576">
        <f>+GETPIVOTDATA(" New All Ranks avg",'Averages Pivot Table'!$A$3,"State","OK","Category2","Two-Year")</f>
        <v>49306.227374623319</v>
      </c>
      <c r="K52" s="118">
        <f>IF(J52&gt;0,(RANK(J52,J$40:J$58)),0)</f>
        <v>10</v>
      </c>
      <c r="Q52" s="562">
        <f>(J52-S52)/S52</f>
        <v>1.7171073474383541E-2</v>
      </c>
      <c r="R52" s="147" t="s">
        <v>214</v>
      </c>
      <c r="S52" s="212">
        <f>+GETPIVOTDATA(" Old All Ranks avg",'Averages Pivot Table'!$A$3,"State","OK","Category2","Two-Year")</f>
        <v>48473.878839482204</v>
      </c>
    </row>
    <row r="53" spans="1:19" ht="12.95" customHeight="1" x14ac:dyDescent="0.25">
      <c r="A53" s="132" t="s">
        <v>215</v>
      </c>
      <c r="B53" s="124">
        <f>+GETPIVOTDATA(" New All Ranks avg",'Averages Pivot Table'!$A$3,"State","SC","Category",7,"Category2","Two-Year")</f>
        <v>0</v>
      </c>
      <c r="C53" s="118">
        <f>IF(B53&gt;0,(RANK(B53,B$40:B$58)),0)</f>
        <v>0</v>
      </c>
      <c r="D53" s="124">
        <f>+GETPIVOTDATA(" New All Ranks avg",'Averages Pivot Table'!$A$3,"State","SC","Category",8,"Category2","Two-Year")</f>
        <v>47240.54616724739</v>
      </c>
      <c r="E53" s="118">
        <f>IF(D53&gt;0,(RANK(D53,D$40:D$58)),0)</f>
        <v>12</v>
      </c>
      <c r="F53" s="124">
        <f>+GETPIVOTDATA(" New All Ranks avg",'Averages Pivot Table'!$A$3,"State","SC","Category",9,"Category2","Two-Year")</f>
        <v>45478.089985486215</v>
      </c>
      <c r="G53" s="118">
        <f>IF(F53&gt;0,(RANK(F53,F$40:F$58)),0)</f>
        <v>13</v>
      </c>
      <c r="H53" s="575">
        <f>+GETPIVOTDATA(" New All Ranks avg",'Averages Pivot Table'!$A$3,"State","SC","Category",10,"Category2","Two-Year")</f>
        <v>45221.530325490196</v>
      </c>
      <c r="I53" s="118">
        <f>IF(H53&gt;0,(RANK(H53,H$40:H$58)),0)</f>
        <v>10</v>
      </c>
      <c r="J53" s="576">
        <f>+GETPIVOTDATA(" New All Ranks avg",'Averages Pivot Table'!$A$3,"State","SC","Category2","Two-Year")</f>
        <v>46413.977644837483</v>
      </c>
      <c r="K53" s="118">
        <f>IF(J53&gt;0,(RANK(J53,J$40:J$58)),0)</f>
        <v>15</v>
      </c>
      <c r="Q53" s="562">
        <f>(J53-S53)/S53</f>
        <v>4.1558921089936132E-3</v>
      </c>
      <c r="R53" s="147" t="s">
        <v>215</v>
      </c>
      <c r="S53" s="212">
        <f>+GETPIVOTDATA(" Old All Ranks avg",'Averages Pivot Table'!$A$3,"State","SC","Category2","Two-Year")</f>
        <v>46221.884479864799</v>
      </c>
    </row>
    <row r="54" spans="1:19" ht="12.95" customHeight="1" x14ac:dyDescent="0.25">
      <c r="A54" s="132"/>
      <c r="B54" s="124"/>
      <c r="C54" s="118"/>
      <c r="D54" s="124"/>
      <c r="E54" s="118"/>
      <c r="F54" s="124"/>
      <c r="G54" s="118"/>
      <c r="H54" s="575"/>
      <c r="I54" s="118"/>
      <c r="J54" s="576"/>
      <c r="K54" s="118"/>
      <c r="Q54" s="562"/>
      <c r="S54" s="212"/>
    </row>
    <row r="55" spans="1:19" ht="12.95" customHeight="1" x14ac:dyDescent="0.25">
      <c r="A55" s="132" t="s">
        <v>216</v>
      </c>
      <c r="B55" s="124">
        <f>+GETPIVOTDATA(" New All Ranks avg",'Averages Pivot Table'!$A$3,"State","TN","Category",7,"Category2","Two-Year")</f>
        <v>0</v>
      </c>
      <c r="C55" s="118">
        <f>IF(B55&gt;0,(RANK(B55,B$40:B$58)),0)</f>
        <v>0</v>
      </c>
      <c r="D55" s="124">
        <f>+GETPIVOTDATA(" New All Ranks avg",'Averages Pivot Table'!$A$3,"State","TN","Category",8,"Category2","Two-Year")</f>
        <v>46722.741591700411</v>
      </c>
      <c r="E55" s="118">
        <f>IF(D55&gt;0,(RANK(D55,D$40:D$58)),0)</f>
        <v>13</v>
      </c>
      <c r="F55" s="124">
        <f>+GETPIVOTDATA(" New All Ranks avg",'Averages Pivot Table'!$A$3,"State","TN","Category",9,"Category2","Two-Year")</f>
        <v>47633.575022471916</v>
      </c>
      <c r="G55" s="118">
        <f>IF(F55&gt;0,(RANK(F55,F$40:F$58)),0)</f>
        <v>8</v>
      </c>
      <c r="H55" s="575">
        <f>+GETPIVOTDATA(" New All Ranks avg",'Averages Pivot Table'!$A$3,"State","TN","Category",10,"Category2","Two-Year")</f>
        <v>0</v>
      </c>
      <c r="I55" s="118">
        <f>IF(H55&gt;0,(RANK(H55,H$40:H$58)),0)</f>
        <v>0</v>
      </c>
      <c r="J55" s="576">
        <f>+GETPIVOTDATA(" New All Ranks avg",'Averages Pivot Table'!$A$3,"State","TN","Category2","Two-Year")</f>
        <v>47130.554659362773</v>
      </c>
      <c r="K55" s="118">
        <f>IF(J55&gt;0,(RANK(J55,J$40:J$58)),0)</f>
        <v>13</v>
      </c>
      <c r="O55" s="123"/>
      <c r="Q55" s="562">
        <f>(J55-S55)/S55</f>
        <v>1.3495462945704782E-2</v>
      </c>
      <c r="R55" s="147" t="s">
        <v>216</v>
      </c>
      <c r="S55" s="212">
        <f>+GETPIVOTDATA(" Old All Ranks avg",'Averages Pivot Table'!$A$3,"State","TN","Category2","Two-Year")</f>
        <v>46502.975476948595</v>
      </c>
    </row>
    <row r="56" spans="1:19" ht="12.95" customHeight="1" x14ac:dyDescent="0.25">
      <c r="A56" s="132" t="s">
        <v>217</v>
      </c>
      <c r="B56" s="124">
        <f>+GETPIVOTDATA(" New All Ranks avg",'Averages Pivot Table'!$A$3,"State","TX","Category",7,"Category2","Two-Year")</f>
        <v>52118.029006077348</v>
      </c>
      <c r="C56" s="118">
        <f>IF(B56&gt;0,(RANK(B56,B$40:B$58)),0)</f>
        <v>3</v>
      </c>
      <c r="D56" s="124">
        <f>+GETPIVOTDATA(" New All Ranks avg",'Averages Pivot Table'!$A$3,"State","TX","Category",8,"Category2","Two-Year")</f>
        <v>54577.667080959232</v>
      </c>
      <c r="E56" s="118">
        <f>IF(D56&gt;0,(RANK(D56,D$40:D$58)),0)</f>
        <v>3</v>
      </c>
      <c r="F56" s="124">
        <f>+GETPIVOTDATA(" New All Ranks avg",'Averages Pivot Table'!$A$3,"State","TX","Category",9,"Category2","Two-Year")</f>
        <v>49126.186142032529</v>
      </c>
      <c r="G56" s="118">
        <f>IF(F56&gt;0,(RANK(F56,F$40:F$58)),0)</f>
        <v>6</v>
      </c>
      <c r="H56" s="575">
        <f>+GETPIVOTDATA(" New All Ranks avg",'Averages Pivot Table'!$A$3,"State","TX","Category",10,"Category2","Two-Year")</f>
        <v>42584.161857142855</v>
      </c>
      <c r="I56" s="118">
        <f>IF(H56&gt;0,(RANK(H56,H$40:H$58)),0)</f>
        <v>13</v>
      </c>
      <c r="J56" s="576">
        <f>+GETPIVOTDATA(" New All Ranks avg",'Averages Pivot Table'!$A$3,"State","TX","Category2","Two-Year")</f>
        <v>52818.063622660338</v>
      </c>
      <c r="K56" s="118">
        <f>IF(J56&gt;0,(RANK(J56,J$40:J$58)),0)</f>
        <v>6</v>
      </c>
      <c r="O56" s="124"/>
      <c r="Q56" s="562">
        <f>(J56-S56)/S56</f>
        <v>-9.3519998909088863E-3</v>
      </c>
      <c r="R56" s="147" t="s">
        <v>217</v>
      </c>
      <c r="S56" s="212">
        <f>+GETPIVOTDATA(" Old All Ranks avg",'Averages Pivot Table'!$A$3,"State","TX","Category2","Two-Year")</f>
        <v>53316.681219609753</v>
      </c>
    </row>
    <row r="57" spans="1:19" ht="12.95" customHeight="1" x14ac:dyDescent="0.25">
      <c r="A57" s="132" t="s">
        <v>218</v>
      </c>
      <c r="B57" s="124">
        <f>+GETPIVOTDATA(" New All Ranks avg",'Averages Pivot Table'!$A$3,"State","VA","Category",7,"Category2","Two-Year")</f>
        <v>0</v>
      </c>
      <c r="C57" s="118">
        <f>IF(B57&gt;0,(RANK(B57,B$40:B$58)),0)</f>
        <v>0</v>
      </c>
      <c r="D57" s="124">
        <f>+GETPIVOTDATA(" New All Ranks avg",'Averages Pivot Table'!$A$3,"State","VA","Category",8,"Category2","Two-Year")</f>
        <v>0</v>
      </c>
      <c r="E57" s="118">
        <f>IF(D57&gt;0,(RANK(D57,D$40:D$58)),0)</f>
        <v>0</v>
      </c>
      <c r="F57" s="124">
        <f>+GETPIVOTDATA(" New All Ranks avg",'Averages Pivot Table'!$A$3,"State","VA","Category",9,"Category2","Two-Year")</f>
        <v>0</v>
      </c>
      <c r="G57" s="118">
        <f>IF(F57&gt;0,(RANK(F57,F$40:F$58)),0)</f>
        <v>0</v>
      </c>
      <c r="H57" s="575">
        <f>+GETPIVOTDATA(" New All Ranks avg",'Averages Pivot Table'!$A$3,"State","VA","Category",10,"Category2","Two-Year")</f>
        <v>55960.411764705881</v>
      </c>
      <c r="I57" s="118">
        <f>IF(H57&gt;0,(RANK(H57,H$40:H$58)),0)</f>
        <v>3</v>
      </c>
      <c r="J57" s="576">
        <f>+GETPIVOTDATA(" New All Ranks avg",'Averages Pivot Table'!$A$3,"State","VA","Category2","Two-Year")</f>
        <v>58362.313227777769</v>
      </c>
      <c r="K57" s="118">
        <f>IF(J57&gt;0,(RANK(J57,J$40:J$58)),0)</f>
        <v>3</v>
      </c>
      <c r="O57" s="124"/>
      <c r="Q57" s="562">
        <f>(J57-S57)/S57</f>
        <v>2.4344716822354919E-2</v>
      </c>
      <c r="R57" s="147" t="s">
        <v>218</v>
      </c>
      <c r="S57" s="212">
        <f>+GETPIVOTDATA(" Old All Ranks avg",'Averages Pivot Table'!$A$3,"State","VA","Category2","Two-Year")</f>
        <v>56975.266498981851</v>
      </c>
    </row>
    <row r="58" spans="1:19" ht="12.95" customHeight="1" x14ac:dyDescent="0.25">
      <c r="A58" s="6" t="s">
        <v>219</v>
      </c>
      <c r="B58" s="577">
        <f>+GETPIVOTDATA(" New All Ranks avg",'Averages Pivot Table'!$A$3,"State","WV","Category",7,"Category2","Two-Year")</f>
        <v>48368.089069696965</v>
      </c>
      <c r="C58" s="119">
        <f>IF(B58&gt;0,(RANK(B58,B$40:B$58)),0)</f>
        <v>5</v>
      </c>
      <c r="D58" s="577">
        <f>+GETPIVOTDATA(" New All Ranks avg",'Averages Pivot Table'!$A$3,"State","WV","Category",8,"Category2","Two-Year")</f>
        <v>0</v>
      </c>
      <c r="E58" s="119">
        <f>IF(D58&gt;0,(RANK(D58,D$40:D$58)),0)</f>
        <v>0</v>
      </c>
      <c r="F58" s="577">
        <f>+GETPIVOTDATA(" New All Ranks avg",'Averages Pivot Table'!$A$3,"State","WV","Category",9,"Category2","Two-Year")</f>
        <v>45476.420967741935</v>
      </c>
      <c r="G58" s="119">
        <f>IF(F58&gt;0,(RANK(F58,F$40:F$58)),0)</f>
        <v>14</v>
      </c>
      <c r="H58" s="578">
        <f>+GETPIVOTDATA(" New All Ranks avg",'Averages Pivot Table'!$A$3,"State","WV","Category",10,"Category2","Two-Year")</f>
        <v>48055.353806860156</v>
      </c>
      <c r="I58" s="119">
        <f>IF(H58&gt;0,(RANK(H58,H$40:H$58)),0)</f>
        <v>7</v>
      </c>
      <c r="J58" s="579">
        <f>+GETPIVOTDATA(" New All Ranks avg",'Averages Pivot Table'!$A$3,"State","WV","Category2","Two-Year")</f>
        <v>47848.350698080285</v>
      </c>
      <c r="K58" s="119">
        <f>IF(J58&gt;0,(RANK(J58,J$40:J$58)),0)</f>
        <v>11</v>
      </c>
      <c r="O58" s="124"/>
      <c r="Q58" s="562">
        <f>(J58-S58)/S58</f>
        <v>1.72395430888393E-2</v>
      </c>
      <c r="R58" s="147" t="s">
        <v>219</v>
      </c>
      <c r="S58" s="212">
        <f>+GETPIVOTDATA(" Old All Ranks avg",'Averages Pivot Table'!$A$3,"State","WV","Category2","Two-Year")</f>
        <v>47037.446610450446</v>
      </c>
    </row>
    <row r="59" spans="1:19" ht="30" customHeight="1" x14ac:dyDescent="0.25">
      <c r="A59" s="677" t="s">
        <v>91</v>
      </c>
      <c r="B59" s="677"/>
      <c r="C59" s="677"/>
      <c r="D59" s="677"/>
      <c r="E59" s="677"/>
      <c r="F59" s="677"/>
      <c r="G59" s="677"/>
      <c r="H59" s="677"/>
      <c r="I59" s="677"/>
      <c r="J59" s="677"/>
      <c r="K59" s="677"/>
      <c r="L59" s="599"/>
      <c r="M59" s="599"/>
      <c r="N59" s="125"/>
      <c r="O59" s="125"/>
      <c r="Q59" s="549"/>
    </row>
    <row r="60" spans="1:19" x14ac:dyDescent="0.25">
      <c r="K60" s="157" t="s">
        <v>1083</v>
      </c>
      <c r="M60" s="157"/>
      <c r="Q60" s="549"/>
    </row>
    <row r="61" spans="1:19" ht="18" x14ac:dyDescent="0.25">
      <c r="A61" s="544" t="s">
        <v>261</v>
      </c>
      <c r="B61" s="544"/>
      <c r="C61" s="544"/>
      <c r="D61" s="544"/>
      <c r="E61" s="544"/>
      <c r="F61" s="544"/>
      <c r="G61" s="544"/>
      <c r="H61" s="544"/>
      <c r="I61" s="544"/>
      <c r="J61" s="544" t="s">
        <v>223</v>
      </c>
      <c r="K61" s="544"/>
      <c r="L61" s="544"/>
      <c r="M61" s="544"/>
      <c r="N61" s="544"/>
      <c r="O61" s="544"/>
      <c r="Q61" s="549"/>
    </row>
    <row r="62" spans="1:19" x14ac:dyDescent="0.25">
      <c r="A62" s="93"/>
      <c r="B62" s="93"/>
      <c r="C62" s="93"/>
      <c r="D62" s="93"/>
      <c r="E62" s="93"/>
      <c r="F62" s="93"/>
      <c r="G62" s="113"/>
      <c r="H62" s="113"/>
      <c r="I62" s="113"/>
      <c r="J62" s="113"/>
      <c r="K62" s="113"/>
      <c r="O62" s="124"/>
      <c r="Q62" s="549"/>
    </row>
    <row r="63" spans="1:19" x14ac:dyDescent="0.25">
      <c r="A63" s="665" t="s">
        <v>204</v>
      </c>
      <c r="B63" s="665"/>
      <c r="C63" s="665"/>
      <c r="D63" s="665"/>
      <c r="E63" s="665"/>
      <c r="F63" s="665"/>
      <c r="G63" s="665"/>
      <c r="H63" s="665"/>
      <c r="I63" s="665"/>
      <c r="J63" s="113" t="s">
        <v>223</v>
      </c>
      <c r="K63" s="113"/>
      <c r="O63" s="124"/>
      <c r="Q63" s="549"/>
    </row>
    <row r="64" spans="1:19" x14ac:dyDescent="0.25">
      <c r="A64" s="665" t="s">
        <v>1057</v>
      </c>
      <c r="B64" s="665"/>
      <c r="C64" s="665"/>
      <c r="D64" s="665"/>
      <c r="E64" s="665"/>
      <c r="F64" s="665"/>
      <c r="G64" s="665"/>
      <c r="H64" s="665"/>
      <c r="I64" s="665"/>
      <c r="J64" s="113" t="s">
        <v>223</v>
      </c>
      <c r="K64" s="113"/>
      <c r="O64" s="124"/>
      <c r="Q64" s="549"/>
    </row>
    <row r="65" spans="1:19" x14ac:dyDescent="0.25">
      <c r="A65" s="93"/>
      <c r="B65" s="93"/>
      <c r="C65" s="93"/>
      <c r="D65" s="93"/>
      <c r="E65" s="93"/>
      <c r="F65" s="93"/>
      <c r="G65" s="113"/>
      <c r="H65" s="113"/>
      <c r="I65" s="113"/>
      <c r="J65" s="113"/>
      <c r="K65" s="113"/>
      <c r="L65" s="105"/>
      <c r="M65" s="105"/>
      <c r="N65" s="105"/>
      <c r="O65" s="126"/>
      <c r="Q65" s="549"/>
    </row>
    <row r="66" spans="1:19" s="556" customFormat="1" ht="48" customHeight="1" x14ac:dyDescent="0.2">
      <c r="A66" s="581"/>
      <c r="B66" s="582" t="s">
        <v>227</v>
      </c>
      <c r="C66" s="583"/>
      <c r="D66" s="582" t="s">
        <v>9</v>
      </c>
      <c r="E66" s="115"/>
      <c r="F66" s="584" t="s">
        <v>10</v>
      </c>
      <c r="G66" s="115"/>
      <c r="L66" s="585" t="s">
        <v>223</v>
      </c>
      <c r="M66" s="148"/>
      <c r="N66" s="585"/>
      <c r="O66" s="127"/>
      <c r="Q66" s="549" t="s">
        <v>6</v>
      </c>
      <c r="R66" s="558"/>
      <c r="S66" s="147" t="s">
        <v>5</v>
      </c>
    </row>
    <row r="67" spans="1:19" x14ac:dyDescent="0.25">
      <c r="A67" s="551"/>
      <c r="B67" s="570" t="s">
        <v>103</v>
      </c>
      <c r="C67" s="145" t="s">
        <v>193</v>
      </c>
      <c r="D67" s="570" t="s">
        <v>103</v>
      </c>
      <c r="E67" s="145" t="s">
        <v>193</v>
      </c>
      <c r="F67" s="571" t="s">
        <v>103</v>
      </c>
      <c r="G67" s="145" t="s">
        <v>193</v>
      </c>
      <c r="L67" s="572"/>
      <c r="M67" s="121"/>
      <c r="N67" s="572"/>
      <c r="O67" s="124"/>
      <c r="Q67" s="549"/>
    </row>
    <row r="68" spans="1:19" s="556" customFormat="1" ht="18" customHeight="1" x14ac:dyDescent="0.25">
      <c r="A68" s="554" t="s">
        <v>222</v>
      </c>
      <c r="B68" s="146">
        <f>+GETPIVOTDATA(" New All Ranks avg",'Averages Pivot Table'!$A$3,"Category",12,"Category2","Technical")</f>
        <v>44205.837539800697</v>
      </c>
      <c r="C68" s="146"/>
      <c r="D68" s="146">
        <f>+GETPIVOTDATA(" New All Ranks avg",'Averages Pivot Table'!$A$3,"Category",13,"Category2","Technical")</f>
        <v>45578.095484334925</v>
      </c>
      <c r="E68" s="146"/>
      <c r="F68" s="573">
        <f>+GETPIVOTDATA(" New All Ranks avg",'Averages Pivot Table'!$A$3,"Category2","Technical")</f>
        <v>44617.655667565545</v>
      </c>
      <c r="G68" s="146"/>
      <c r="J68" s="146"/>
      <c r="K68" s="146"/>
      <c r="L68" s="146"/>
      <c r="M68" s="122"/>
      <c r="N68" s="122"/>
      <c r="O68" s="127"/>
      <c r="Q68" s="557">
        <f>(F68-S68)/S68</f>
        <v>-1.1806780023714269E-2</v>
      </c>
      <c r="R68" s="558" t="s">
        <v>222</v>
      </c>
      <c r="S68" s="559">
        <f>+GETPIVOTDATA(" Old All Ranks avg",'Averages Pivot Table'!$A$3,"Category2","Technical")</f>
        <v>45150.740528898044</v>
      </c>
    </row>
    <row r="69" spans="1:19" ht="12.95" customHeight="1" x14ac:dyDescent="0.25">
      <c r="A69" s="132"/>
      <c r="B69" s="126"/>
      <c r="C69" s="126"/>
      <c r="D69" s="126"/>
      <c r="E69" s="126"/>
      <c r="F69" s="600"/>
      <c r="G69" s="90"/>
      <c r="J69" s="105"/>
      <c r="O69" s="124"/>
      <c r="Q69" s="562"/>
      <c r="S69" s="212"/>
    </row>
    <row r="70" spans="1:19" ht="12.95" customHeight="1" x14ac:dyDescent="0.25">
      <c r="A70" s="132" t="s">
        <v>205</v>
      </c>
      <c r="B70" s="126">
        <f>+GETPIVOTDATA(" New All Ranks avg",'Averages Pivot Table'!$A$3,"State","AL","Category",12,"Category2","Technical")</f>
        <v>53534.257756666666</v>
      </c>
      <c r="C70" s="118">
        <f>IF(B70&gt;0,(RANK(B70,B$70:B$88)),0)</f>
        <v>2</v>
      </c>
      <c r="D70" s="126">
        <f>+GETPIVOTDATA(" New All Ranks avg",'Averages Pivot Table'!$A$3,"State","AL","Category",13,"Category2","Technical")</f>
        <v>52822.426685393257</v>
      </c>
      <c r="E70" s="118">
        <f>IF(D70&gt;0,(RANK(D70,D$70:D$88)),0)</f>
        <v>1</v>
      </c>
      <c r="F70" s="224">
        <f>+GETPIVOTDATA(" New All Ranks avg",'Averages Pivot Table'!$A$3,"State","AL","Category2","Technical")</f>
        <v>53109.070069798654</v>
      </c>
      <c r="G70" s="118">
        <f>IF(F70&gt;0,(RANK(F70,F$70:F$88)),0)</f>
        <v>1</v>
      </c>
      <c r="J70" s="105"/>
      <c r="O70" s="126"/>
      <c r="Q70" s="562">
        <f>(F70-S70)/S70</f>
        <v>-5.8555491955274968E-3</v>
      </c>
      <c r="R70" s="147" t="s">
        <v>205</v>
      </c>
      <c r="S70" s="212">
        <f>+GETPIVOTDATA(" Old All Ranks avg",'Averages Pivot Table'!$A$3,"State","AL","Category2","Technical")</f>
        <v>53421.884542857144</v>
      </c>
    </row>
    <row r="71" spans="1:19" ht="12.95" customHeight="1" x14ac:dyDescent="0.25">
      <c r="A71" s="132" t="s">
        <v>206</v>
      </c>
      <c r="B71" s="126">
        <f>+GETPIVOTDATA(" New All Ranks avg",'Averages Pivot Table'!$A$3,"State","AR","Category",12,"Category2","Technical")</f>
        <v>0</v>
      </c>
      <c r="C71" s="118">
        <f>IF(B71&gt;0,(RANK(B71,B$70:B$88)),0)</f>
        <v>0</v>
      </c>
      <c r="D71" s="126">
        <f>+GETPIVOTDATA(" New Prof avg",'Averages Pivot Table'!$A$3,"State","AR","Category",13,"Category2","Technical")</f>
        <v>0</v>
      </c>
      <c r="E71" s="118">
        <f>IF(D71&gt;0,(RANK(D71,D$70:D$88)),0)</f>
        <v>0</v>
      </c>
      <c r="F71" s="224">
        <f>+GETPIVOTDATA(" New All Ranks avg",'Averages Pivot Table'!$A$3,"State","AR","Category2","Technical")</f>
        <v>0</v>
      </c>
      <c r="G71" s="118">
        <f>IF(F71&gt;0,(RANK(F71,F$70:F$88)),0)</f>
        <v>0</v>
      </c>
      <c r="J71" s="105"/>
      <c r="O71" s="124"/>
      <c r="Q71" s="562" t="e">
        <f>(F71-S71)/S71</f>
        <v>#DIV/0!</v>
      </c>
      <c r="R71" s="147" t="s">
        <v>206</v>
      </c>
      <c r="S71" s="212">
        <f>+GETPIVOTDATA(" Old All Ranks avg",'Averages Pivot Table'!$A$3,"State","AR","Category2","Technical")</f>
        <v>0</v>
      </c>
    </row>
    <row r="72" spans="1:19" ht="12.95" customHeight="1" x14ac:dyDescent="0.25">
      <c r="A72" s="132" t="s">
        <v>221</v>
      </c>
      <c r="B72" s="126">
        <f>+GETPIVOTDATA(" New All Ranks avg",'Averages Pivot Table'!$A$3,"State","DE","Category",12,"Category2","Technical")</f>
        <v>0</v>
      </c>
      <c r="C72" s="118">
        <f>IF(B72&gt;0,(RANK(B72,B$70:B$88)),0)</f>
        <v>0</v>
      </c>
      <c r="D72" s="126">
        <f>+GETPIVOTDATA(" New All Ranks avg",'Averages Pivot Table'!$A$3,"State","DE","Category",13,"Category2","Technical")</f>
        <v>0</v>
      </c>
      <c r="E72" s="118">
        <f>IF(D72&gt;0,(RANK(D72,D$70:D$88)),0)</f>
        <v>0</v>
      </c>
      <c r="F72" s="224">
        <f>+GETPIVOTDATA(" New All Ranks avg",'Averages Pivot Table'!$A$3,"State","DE","Category2","Technical")</f>
        <v>0</v>
      </c>
      <c r="G72" s="118">
        <f>IF(F72&gt;0,(RANK(F72,F$70:F$88)),0)</f>
        <v>0</v>
      </c>
      <c r="J72" s="105"/>
      <c r="O72" s="124"/>
      <c r="Q72" s="562" t="e">
        <f>(F72-S72)/S72</f>
        <v>#DIV/0!</v>
      </c>
      <c r="R72" s="147" t="s">
        <v>221</v>
      </c>
      <c r="S72" s="212">
        <f>+GETPIVOTDATA(" Old All Ranks avg",'Averages Pivot Table'!$A$3,"State","DE","Category2","Technical")</f>
        <v>0</v>
      </c>
    </row>
    <row r="73" spans="1:19" ht="12.95" customHeight="1" x14ac:dyDescent="0.25">
      <c r="A73" s="132" t="s">
        <v>207</v>
      </c>
      <c r="B73" s="126">
        <f>+GETPIVOTDATA(" New All Ranks avg",'Averages Pivot Table'!$A$3,"State","FL","Category",12,"Category2","Technical")</f>
        <v>0</v>
      </c>
      <c r="C73" s="118">
        <f>IF(B73&gt;0,(RANK(B73,B$70:B$88)),0)</f>
        <v>0</v>
      </c>
      <c r="D73" s="126">
        <f>+GETPIVOTDATA(" New All Ranks avg",'Averages Pivot Table'!$A$3,"State","FL","Category",13,"Category2","Technical")</f>
        <v>0</v>
      </c>
      <c r="E73" s="118">
        <f>IF(D73&gt;0,(RANK(D73,D$70:D$88)),0)</f>
        <v>0</v>
      </c>
      <c r="F73" s="224">
        <f>+GETPIVOTDATA(" New All Ranks avg",'Averages Pivot Table'!$A$3,"State","FL","Category2","Technical")</f>
        <v>0</v>
      </c>
      <c r="G73" s="118">
        <f>IF(F73&gt;0,(RANK(F73,F$70:F$88)),0)</f>
        <v>0</v>
      </c>
      <c r="J73" s="105"/>
      <c r="O73" s="124"/>
      <c r="Q73" s="562" t="e">
        <f>(F73-S73)/S73</f>
        <v>#DIV/0!</v>
      </c>
      <c r="R73" s="147" t="s">
        <v>207</v>
      </c>
      <c r="S73" s="212">
        <f>+GETPIVOTDATA(" Old All Ranks avg",'Averages Pivot Table'!$A$3,"State","FL","Category2","Technical")</f>
        <v>0</v>
      </c>
    </row>
    <row r="74" spans="1:19" ht="12.95" customHeight="1" x14ac:dyDescent="0.25">
      <c r="A74" s="132"/>
      <c r="B74" s="126"/>
      <c r="C74" s="118"/>
      <c r="D74" s="126"/>
      <c r="E74" s="118"/>
      <c r="F74" s="224"/>
      <c r="G74" s="118"/>
      <c r="J74" s="105"/>
      <c r="O74" s="124"/>
      <c r="Q74" s="562"/>
      <c r="S74" s="212"/>
    </row>
    <row r="75" spans="1:19" ht="12.95" customHeight="1" x14ac:dyDescent="0.25">
      <c r="A75" s="132" t="s">
        <v>208</v>
      </c>
      <c r="B75" s="126">
        <f>+GETPIVOTDATA(" New Single Rnk avg",'Averages Pivot Table'!$A$3,"State","GA","Category",12,"Category2","Technical")</f>
        <v>44688.970657167833</v>
      </c>
      <c r="C75" s="118">
        <f>IF(B75&gt;0,(RANK(B75,B$70:B$88)),0)</f>
        <v>3</v>
      </c>
      <c r="D75" s="126">
        <f>+GETPIVOTDATA(" New All Ranks avg",'Averages Pivot Table'!$A$3,"State","GA","Category",13,"Category2","Technical")</f>
        <v>0</v>
      </c>
      <c r="E75" s="118">
        <f>IF(D75&gt;0,(RANK(D75,D$70:D$88)),0)</f>
        <v>0</v>
      </c>
      <c r="F75" s="224">
        <f>+GETPIVOTDATA(" New All Ranks avg",'Averages Pivot Table'!$A$3,"State","GA","Category2","Technical")</f>
        <v>44688.970657167833</v>
      </c>
      <c r="G75" s="118">
        <f>IF(F75&gt;0,(RANK(F75,F$70:F$88)),0)</f>
        <v>3</v>
      </c>
      <c r="J75" s="105"/>
      <c r="O75" s="124"/>
      <c r="Q75" s="562">
        <f>(F75-S75)/S75</f>
        <v>-7.4337614178779984E-3</v>
      </c>
      <c r="R75" s="147" t="s">
        <v>208</v>
      </c>
      <c r="S75" s="212">
        <f>+GETPIVOTDATA(" Old All Ranks avg",'Averages Pivot Table'!$A$3,"State","GA","Category2","Technical")</f>
        <v>45023.665847234435</v>
      </c>
    </row>
    <row r="76" spans="1:19" ht="12.95" customHeight="1" x14ac:dyDescent="0.25">
      <c r="A76" s="132" t="s">
        <v>209</v>
      </c>
      <c r="B76" s="126">
        <f>+GETPIVOTDATA(" New All Ranks avg",'Averages Pivot Table'!$A$3,"State","KY","Category",12,"Category2","Technical")</f>
        <v>44564.229773493978</v>
      </c>
      <c r="C76" s="118">
        <f>IF(B76&gt;0,(RANK(B76,B$70:B$88)),0)</f>
        <v>4</v>
      </c>
      <c r="D76" s="126">
        <f>+GETPIVOTDATA(" New All Ranks avg",'Averages Pivot Table'!$A$3,"State","KY","Category",13,"Category2","Technical")</f>
        <v>0</v>
      </c>
      <c r="E76" s="118">
        <f>IF(D76&gt;0,(RANK(D76,D$70:D$88)),0)</f>
        <v>0</v>
      </c>
      <c r="F76" s="224">
        <f>+GETPIVOTDATA(" New All Ranks avg",'Averages Pivot Table'!$A$3,"State","KY","Category2","Technical")</f>
        <v>44564.229773493978</v>
      </c>
      <c r="G76" s="118">
        <f>IF(F76&gt;0,(RANK(F76,F$70:F$88)),0)</f>
        <v>4</v>
      </c>
      <c r="J76" s="105"/>
      <c r="O76" s="124"/>
      <c r="Q76" s="562">
        <f>(F76-S76)/S76</f>
        <v>1.106613368400686E-2</v>
      </c>
      <c r="R76" s="147" t="s">
        <v>209</v>
      </c>
      <c r="S76" s="212">
        <f>+GETPIVOTDATA(" Old All Ranks avg",'Averages Pivot Table'!$A$3,"State","KY","Category2","Technical")</f>
        <v>44076.473624050632</v>
      </c>
    </row>
    <row r="77" spans="1:19" ht="12.95" customHeight="1" x14ac:dyDescent="0.25">
      <c r="A77" s="132" t="s">
        <v>210</v>
      </c>
      <c r="B77" s="126">
        <f>+GETPIVOTDATA(" New All Ranks avg",'Averages Pivot Table'!$A$3,"State","LA","Category",12,"Category2","Technical")</f>
        <v>37999.944890775994</v>
      </c>
      <c r="C77" s="118">
        <f>IF(B77&gt;0,(RANK(B77,B$70:B$88)),0)</f>
        <v>5</v>
      </c>
      <c r="D77" s="126">
        <f>+GETPIVOTDATA(" New All Ranks avg",'Averages Pivot Table'!$A$3,"State","LA","Category",13,"Category2","Technical")</f>
        <v>0</v>
      </c>
      <c r="E77" s="118">
        <f>IF(D77&gt;0,(RANK(D77,D$70:D$88)),0)</f>
        <v>0</v>
      </c>
      <c r="F77" s="224">
        <f>+GETPIVOTDATA(" New All Ranks avg",'Averages Pivot Table'!$A$3,"State","LA","Category2","Technical")</f>
        <v>37999.944890775994</v>
      </c>
      <c r="G77" s="118">
        <f>IF(F77&gt;0,(RANK(F77,F$70:F$88)),0)</f>
        <v>6</v>
      </c>
      <c r="J77" s="105"/>
      <c r="Q77" s="562">
        <f>(F77-S77)/S77</f>
        <v>-2.7296668327212479E-2</v>
      </c>
      <c r="R77" s="147" t="s">
        <v>210</v>
      </c>
      <c r="S77" s="212">
        <f>+GETPIVOTDATA(" Old All Ranks avg",'Averages Pivot Table'!$A$3,"State","LA","Category2","Technical")</f>
        <v>39066.325418487395</v>
      </c>
    </row>
    <row r="78" spans="1:19" ht="12.95" customHeight="1" x14ac:dyDescent="0.25">
      <c r="A78" s="132" t="s">
        <v>211</v>
      </c>
      <c r="B78" s="126">
        <f>+GETPIVOTDATA(" New All Ranks avg",'Averages Pivot Table'!$A$3,"State","MD","Category",12,"Category2","Technical")</f>
        <v>0</v>
      </c>
      <c r="C78" s="118">
        <f>IF(B78&gt;0,(RANK(B78,B$70:B$88)),0)</f>
        <v>0</v>
      </c>
      <c r="D78" s="126">
        <f>+GETPIVOTDATA(" New All Ranks avg",'Averages Pivot Table'!$A$3,"State","MD","Category",13,"Category2","Technical")</f>
        <v>0</v>
      </c>
      <c r="E78" s="118">
        <f>IF(D78&gt;0,(RANK(D78,D$70:D$88)),0)</f>
        <v>0</v>
      </c>
      <c r="F78" s="224">
        <f>+GETPIVOTDATA(" New All Ranks avg",'Averages Pivot Table'!$A$3,"State","MD","Category2","Technical")</f>
        <v>0</v>
      </c>
      <c r="G78" s="118">
        <f>IF(F78&gt;0,(RANK(F78,F$70:F$88)),0)</f>
        <v>0</v>
      </c>
      <c r="J78" s="105"/>
      <c r="Q78" s="562" t="e">
        <f>(F78-S78)/S78</f>
        <v>#DIV/0!</v>
      </c>
      <c r="R78" s="147" t="s">
        <v>211</v>
      </c>
      <c r="S78" s="212">
        <f>+GETPIVOTDATA(" Old All Ranks avg",'Averages Pivot Table'!$A$3,"State","MD","Category2","Technical")</f>
        <v>0</v>
      </c>
    </row>
    <row r="79" spans="1:19" ht="12.95" customHeight="1" x14ac:dyDescent="0.25">
      <c r="A79" s="132"/>
      <c r="B79" s="126"/>
      <c r="C79" s="118"/>
      <c r="D79" s="126"/>
      <c r="E79" s="118"/>
      <c r="F79" s="224"/>
      <c r="G79" s="118"/>
      <c r="J79" s="105"/>
      <c r="Q79" s="562"/>
      <c r="S79" s="212"/>
    </row>
    <row r="80" spans="1:19" ht="12.95" customHeight="1" x14ac:dyDescent="0.25">
      <c r="A80" s="132" t="s">
        <v>212</v>
      </c>
      <c r="B80" s="126">
        <f>+GETPIVOTDATA(" New All Ranks avg",'Averages Pivot Table'!$A$3,"State","MS","Category",12,"Category2","Technical")</f>
        <v>0</v>
      </c>
      <c r="C80" s="118">
        <f>IF(B80&gt;0,(RANK(B80,B$70:B$88)),0)</f>
        <v>0</v>
      </c>
      <c r="D80" s="126">
        <f>+GETPIVOTDATA(" New All Ranks avg",'Averages Pivot Table'!$A$3,"State","MS","Category",13,"Category2","Technical")</f>
        <v>0</v>
      </c>
      <c r="E80" s="118">
        <f>IF(D80&gt;0,(RANK(D80,D$70:D$88)),0)</f>
        <v>0</v>
      </c>
      <c r="F80" s="224">
        <f>+GETPIVOTDATA(" New All Ranks avg",'Averages Pivot Table'!$A$3,"State","MS","Category2","Technical")</f>
        <v>0</v>
      </c>
      <c r="G80" s="118">
        <f>IF(F80&gt;0,(RANK(F80,F$70:F$88)),0)</f>
        <v>0</v>
      </c>
      <c r="J80" s="105"/>
      <c r="Q80" s="562" t="e">
        <f>(F80-S80)/S80</f>
        <v>#DIV/0!</v>
      </c>
      <c r="R80" s="147" t="s">
        <v>212</v>
      </c>
      <c r="S80" s="212">
        <f>+GETPIVOTDATA(" Old All Ranks avg",'Averages Pivot Table'!$A$3,"State","MS","Category2","Technical")</f>
        <v>0</v>
      </c>
    </row>
    <row r="81" spans="1:19" ht="12.95" customHeight="1" x14ac:dyDescent="0.25">
      <c r="A81" s="132" t="s">
        <v>213</v>
      </c>
      <c r="B81" s="126">
        <f>+GETPIVOTDATA(" New All Ranks avg",'Averages Pivot Table'!$A$3,"State","NC","Category",12,"Category2","Technical")</f>
        <v>0</v>
      </c>
      <c r="C81" s="118">
        <f>IF(B81&gt;0,(RANK(B81,B$70:B$88)),0)</f>
        <v>0</v>
      </c>
      <c r="D81" s="126">
        <f>+GETPIVOTDATA(" New All Ranks avg",'Averages Pivot Table'!$A$3,"State","NC","Category",13,"Category2","Technical")</f>
        <v>0</v>
      </c>
      <c r="E81" s="118">
        <f>IF(D81&gt;0,(RANK(D81,D$70:D$88)),0)</f>
        <v>0</v>
      </c>
      <c r="F81" s="224">
        <f>+GETPIVOTDATA(" New All Ranks avg",'Averages Pivot Table'!$A$3,"State","NC","Category2","Technical")</f>
        <v>0</v>
      </c>
      <c r="G81" s="118">
        <f>IF(F81&gt;0,(RANK(F81,F$70:F$88)),0)</f>
        <v>0</v>
      </c>
      <c r="J81" s="105"/>
      <c r="Q81" s="562" t="e">
        <f>(F81-S81)/S81</f>
        <v>#DIV/0!</v>
      </c>
      <c r="R81" s="147" t="s">
        <v>213</v>
      </c>
      <c r="S81" s="212">
        <f>+GETPIVOTDATA(" Old All Ranks avg",'Averages Pivot Table'!$A$3,"State","NC","Category2","Technical")</f>
        <v>0</v>
      </c>
    </row>
    <row r="82" spans="1:19" ht="12.95" customHeight="1" x14ac:dyDescent="0.25">
      <c r="A82" s="132" t="s">
        <v>214</v>
      </c>
      <c r="B82" s="126">
        <f>+GETPIVOTDATA(" New All Ranks avg",'Averages Pivot Table'!$A$3,"State","OK","Category",12,"Category2","Technical")</f>
        <v>55898.943506976742</v>
      </c>
      <c r="C82" s="118">
        <f>IF(B82&gt;0,(RANK(B82,B$70:B$88)),0)</f>
        <v>1</v>
      </c>
      <c r="D82" s="126">
        <f>+GETPIVOTDATA(" New Single Rnk avg",'Averages Pivot Table'!$A$3,"State","OK","Category",13,"Category2","Technical")</f>
        <v>48464.985827729251</v>
      </c>
      <c r="E82" s="118">
        <f>IF(D82&gt;0,(RANK(D82,D$70:D$88)),0)</f>
        <v>2</v>
      </c>
      <c r="F82" s="224">
        <f>+GETPIVOTDATA(" New All Ranks avg",'Averages Pivot Table'!$A$3,"State","OK","Category2","Technical")</f>
        <v>49878.160806542881</v>
      </c>
      <c r="G82" s="118">
        <f>IF(F82&gt;0,(RANK(F82,F$70:F$88)),0)</f>
        <v>2</v>
      </c>
      <c r="J82" s="105"/>
      <c r="Q82" s="562">
        <f>(F82-S82)/S82</f>
        <v>2.0362407377653446E-2</v>
      </c>
      <c r="R82" s="147" t="s">
        <v>214</v>
      </c>
      <c r="S82" s="212">
        <f>+GETPIVOTDATA(" Old All Ranks avg",'Averages Pivot Table'!$A$3,"State","OK","Category2","Technical")</f>
        <v>48882.789532329494</v>
      </c>
    </row>
    <row r="83" spans="1:19" ht="12.95" customHeight="1" x14ac:dyDescent="0.25">
      <c r="A83" s="132" t="s">
        <v>215</v>
      </c>
      <c r="B83" s="126">
        <f>+GETPIVOTDATA(" New All Ranks avg",'Averages Pivot Table'!$A$3,"State","SC","Category",12,"Category2","Technical")</f>
        <v>0</v>
      </c>
      <c r="C83" s="118">
        <f>IF(B83&gt;0,(RANK(B83,B$70:B$88)),0)</f>
        <v>0</v>
      </c>
      <c r="D83" s="126">
        <f>+GETPIVOTDATA(" New All Ranks avg",'Averages Pivot Table'!$A$3,"State","SC","Category",13,"Category2","Technical")</f>
        <v>0</v>
      </c>
      <c r="E83" s="118">
        <f>IF(D83&gt;0,(RANK(D83,D$70:D$88)),0)</f>
        <v>0</v>
      </c>
      <c r="F83" s="224">
        <f>+GETPIVOTDATA(" New All Ranks avg",'Averages Pivot Table'!$A$3,"State","SC","Category2","Technical")</f>
        <v>0</v>
      </c>
      <c r="G83" s="118">
        <f>IF(F83&gt;0,(RANK(F83,F$70:F$88)),0)</f>
        <v>0</v>
      </c>
      <c r="J83" s="105"/>
      <c r="Q83" s="562" t="e">
        <f>(F83-S83)/S83</f>
        <v>#DIV/0!</v>
      </c>
      <c r="R83" s="147" t="s">
        <v>215</v>
      </c>
      <c r="S83" s="212">
        <f>+GETPIVOTDATA(" Old All Ranks avg",'Averages Pivot Table'!$A$3,"State","SC","Category2","Technical")</f>
        <v>0</v>
      </c>
    </row>
    <row r="84" spans="1:19" ht="12.95" customHeight="1" x14ac:dyDescent="0.25">
      <c r="A84" s="132"/>
      <c r="B84" s="126"/>
      <c r="C84" s="118"/>
      <c r="D84" s="126"/>
      <c r="E84" s="118"/>
      <c r="F84" s="224"/>
      <c r="G84" s="118"/>
      <c r="J84" s="105"/>
      <c r="Q84" s="562"/>
      <c r="S84" s="212"/>
    </row>
    <row r="85" spans="1:19" ht="12.95" customHeight="1" x14ac:dyDescent="0.25">
      <c r="A85" s="132" t="s">
        <v>216</v>
      </c>
      <c r="B85" s="563">
        <f>+GETPIVOTDATA(" New All Ranks avg",'Averages Pivot Table'!$A$3,"State","TN","Category",12,"Category2","Technical")</f>
        <v>0</v>
      </c>
      <c r="C85" s="118">
        <f>IF(B85&gt;0,(RANK(B85,B$70:B$88)),0)</f>
        <v>0</v>
      </c>
      <c r="D85" s="563">
        <f>+GETPIVOTDATA(" New Single Rnk avg",'Averages Pivot Table'!$A$3,"State","TN","Category",13,"Category2","Technical")</f>
        <v>38396.573581620098</v>
      </c>
      <c r="E85" s="118">
        <f>IF(D85&gt;0,(RANK(D85,D$70:D$88)),0)</f>
        <v>3</v>
      </c>
      <c r="F85" s="224">
        <f>+GETPIVOTDATA(" New All Ranks avg",'Averages Pivot Table'!$A$3,"State","TN","Category2","Technical")</f>
        <v>38396.573581620098</v>
      </c>
      <c r="G85" s="118">
        <f>IF(F85&gt;0,(RANK(F85,F$70:F$88)),0)</f>
        <v>5</v>
      </c>
      <c r="J85" s="105"/>
      <c r="Q85" s="562">
        <f>(F85-S85)/S85</f>
        <v>4.0410447301512185E-2</v>
      </c>
      <c r="R85" s="147" t="s">
        <v>216</v>
      </c>
      <c r="S85" s="212">
        <f>+GETPIVOTDATA(" Old All Ranks avg",'Averages Pivot Table'!$A$3,"State","TN","Category2","Technical")</f>
        <v>36905.217244990548</v>
      </c>
    </row>
    <row r="86" spans="1:19" ht="12.95" customHeight="1" x14ac:dyDescent="0.25">
      <c r="A86" s="132" t="s">
        <v>217</v>
      </c>
      <c r="B86" s="563">
        <f>+GETPIVOTDATA(" New All Ranks avg",'Averages Pivot Table'!$A$3,"State","TX","Category",12,"Category2","Technical")</f>
        <v>0</v>
      </c>
      <c r="C86" s="118">
        <f>IF(B86&gt;0,(RANK(B86,B$70:B$88)),0)</f>
        <v>0</v>
      </c>
      <c r="D86" s="563">
        <f>+GETPIVOTDATA(" New All Ranks avg",'Averages Pivot Table'!$A$3,"State","TX","Category",13,"Category2","Technical")</f>
        <v>0</v>
      </c>
      <c r="E86" s="118">
        <f>IF(D86&gt;0,(RANK(D86,D$70:D$88)),0)</f>
        <v>0</v>
      </c>
      <c r="F86" s="224">
        <f>+GETPIVOTDATA(" New All Ranks avg",'Averages Pivot Table'!$A$3,"State","TX","Category2","Technical")</f>
        <v>0</v>
      </c>
      <c r="G86" s="118">
        <f>IF(F86&gt;0,(RANK(F86,F$70:F$88)),0)</f>
        <v>0</v>
      </c>
      <c r="J86" s="105"/>
      <c r="Q86" s="562" t="e">
        <f>(F86-S86)/S86</f>
        <v>#DIV/0!</v>
      </c>
      <c r="R86" s="147" t="s">
        <v>217</v>
      </c>
      <c r="S86" s="212">
        <f>+GETPIVOTDATA(" Old All Ranks avg",'Averages Pivot Table'!$A$3,"State","TX","Category2","Technical")</f>
        <v>0</v>
      </c>
    </row>
    <row r="87" spans="1:19" ht="12.95" customHeight="1" x14ac:dyDescent="0.25">
      <c r="A87" s="132" t="s">
        <v>218</v>
      </c>
      <c r="B87" s="563">
        <f>+GETPIVOTDATA(" New All Ranks avg",'Averages Pivot Table'!$A$3,"State","VA","Category",12,"Category2","Technical")</f>
        <v>0</v>
      </c>
      <c r="C87" s="118">
        <f>IF(B87&gt;0,(RANK(B87,B$70:B$88)),0)</f>
        <v>0</v>
      </c>
      <c r="D87" s="563">
        <f>+GETPIVOTDATA(" New All Ranks avg",'Averages Pivot Table'!$A$3,"State","VA","Category",13,"Category2","Technical")</f>
        <v>0</v>
      </c>
      <c r="E87" s="118">
        <f>IF(D87&gt;0,(RANK(D87,D$70:D$88)),0)</f>
        <v>0</v>
      </c>
      <c r="F87" s="224">
        <f>+GETPIVOTDATA(" New All Ranks avg",'Averages Pivot Table'!$A$3,"State","VA","Category2","Technical")</f>
        <v>0</v>
      </c>
      <c r="G87" s="118">
        <f>IF(F87&gt;0,(RANK(F87,F$70:F$88)),0)</f>
        <v>0</v>
      </c>
      <c r="J87" s="105"/>
      <c r="Q87" s="562" t="e">
        <f>(F87-S87)/S87</f>
        <v>#DIV/0!</v>
      </c>
      <c r="R87" s="147" t="s">
        <v>218</v>
      </c>
      <c r="S87" s="212">
        <f>+GETPIVOTDATA(" Old All Ranks avg",'Averages Pivot Table'!$A$3,"State","VA","Category2","Technical")</f>
        <v>0</v>
      </c>
    </row>
    <row r="88" spans="1:19" ht="12.95" customHeight="1" x14ac:dyDescent="0.25">
      <c r="A88" s="6" t="s">
        <v>219</v>
      </c>
      <c r="B88" s="566">
        <f>+GETPIVOTDATA(" New All Ranks avg",'Averages Pivot Table'!$A$3,"State","WV","Category",12,"Category2","Technical")</f>
        <v>0</v>
      </c>
      <c r="C88" s="119">
        <f>IF(B88&gt;0,(RANK(B88,B$70:B$88)),0)</f>
        <v>0</v>
      </c>
      <c r="D88" s="566">
        <f>+GETPIVOTDATA(" New All Ranks avg",'Averages Pivot Table'!$A$3,"State","WV","Category",13,"Category2","Technical")</f>
        <v>0</v>
      </c>
      <c r="E88" s="119">
        <f>IF(D88&gt;0,(RANK(D88,D$70:D$88)),0)</f>
        <v>0</v>
      </c>
      <c r="F88" s="586">
        <f>+GETPIVOTDATA(" New All Ranks avg",'Averages Pivot Table'!$A$3,"State","WV","Category2","Technical")</f>
        <v>0</v>
      </c>
      <c r="G88" s="119">
        <f>IF(F88&gt;0,(RANK(F88,F$70:F$88)),0)</f>
        <v>0</v>
      </c>
      <c r="J88" s="105"/>
      <c r="Q88" s="562" t="e">
        <f>(F88-S88)/S88</f>
        <v>#DIV/0!</v>
      </c>
      <c r="R88" s="147" t="s">
        <v>219</v>
      </c>
      <c r="S88" s="212">
        <f>+GETPIVOTDATA(" Old All Ranks avg",'Averages Pivot Table'!$A$3,"State","WV","Category2","Technical")</f>
        <v>0</v>
      </c>
    </row>
    <row r="89" spans="1:19" ht="39" customHeight="1" x14ac:dyDescent="0.25">
      <c r="A89" s="668" t="s">
        <v>92</v>
      </c>
      <c r="B89" s="669"/>
      <c r="C89" s="669"/>
      <c r="D89" s="669"/>
      <c r="E89" s="669"/>
      <c r="F89" s="669"/>
      <c r="G89" s="673"/>
      <c r="H89" s="673"/>
      <c r="I89" s="673"/>
      <c r="J89" s="105"/>
    </row>
    <row r="90" spans="1:19" x14ac:dyDescent="0.25">
      <c r="I90" s="157" t="s">
        <v>1083</v>
      </c>
    </row>
    <row r="91" spans="1:19" ht="18" x14ac:dyDescent="0.25">
      <c r="A91" s="671" t="s">
        <v>262</v>
      </c>
      <c r="B91" s="671"/>
      <c r="C91" s="671"/>
      <c r="D91" s="671"/>
      <c r="E91" s="671"/>
      <c r="F91" s="671"/>
      <c r="G91" s="671"/>
      <c r="H91" s="671"/>
      <c r="I91" s="671"/>
      <c r="J91" s="671"/>
      <c r="K91" s="671"/>
      <c r="L91" s="671"/>
      <c r="M91" s="671"/>
      <c r="N91" s="100"/>
      <c r="O91" s="100"/>
    </row>
    <row r="92" spans="1:19" x14ac:dyDescent="0.25">
      <c r="A92" s="588"/>
      <c r="B92" s="93"/>
      <c r="C92" s="93"/>
      <c r="D92" s="93"/>
      <c r="E92" s="93"/>
      <c r="F92" s="93"/>
      <c r="G92" s="93"/>
      <c r="H92" s="93"/>
      <c r="I92" s="93"/>
      <c r="J92" s="93"/>
      <c r="K92" s="93"/>
      <c r="L92" s="93"/>
      <c r="M92" s="93"/>
      <c r="N92" s="93"/>
      <c r="O92" s="93"/>
    </row>
    <row r="93" spans="1:19" x14ac:dyDescent="0.25">
      <c r="A93" s="665" t="s">
        <v>220</v>
      </c>
      <c r="B93" s="665"/>
      <c r="C93" s="665"/>
      <c r="D93" s="665"/>
      <c r="E93" s="665"/>
      <c r="F93" s="665"/>
      <c r="G93" s="665"/>
      <c r="H93" s="665"/>
      <c r="I93" s="665"/>
      <c r="J93" s="665"/>
      <c r="K93" s="665"/>
      <c r="L93" s="665"/>
      <c r="M93" s="665"/>
      <c r="N93" s="128"/>
      <c r="O93" s="128"/>
    </row>
    <row r="94" spans="1:19" x14ac:dyDescent="0.25">
      <c r="A94" s="665" t="s">
        <v>1069</v>
      </c>
      <c r="B94" s="665"/>
      <c r="C94" s="665"/>
      <c r="D94" s="665"/>
      <c r="E94" s="665"/>
      <c r="F94" s="665"/>
      <c r="G94" s="665"/>
      <c r="H94" s="665"/>
      <c r="I94" s="665"/>
      <c r="J94" s="665"/>
      <c r="K94" s="665"/>
      <c r="L94" s="665"/>
      <c r="M94" s="665"/>
      <c r="N94" s="128"/>
      <c r="O94" s="128"/>
    </row>
    <row r="95" spans="1:19" x14ac:dyDescent="0.25">
      <c r="A95" s="132"/>
      <c r="B95" s="132"/>
      <c r="C95" s="132"/>
      <c r="D95" s="132"/>
      <c r="E95" s="132"/>
      <c r="F95" s="132"/>
      <c r="G95" s="132"/>
      <c r="H95" s="132"/>
      <c r="I95" s="132"/>
      <c r="J95" s="132"/>
      <c r="K95" s="132"/>
      <c r="L95" s="132"/>
      <c r="M95" s="132"/>
      <c r="N95" s="132"/>
      <c r="O95" s="132"/>
    </row>
    <row r="96" spans="1:19" ht="31.5" customHeight="1" x14ac:dyDescent="0.25">
      <c r="A96" s="547"/>
      <c r="B96" s="589" t="s">
        <v>99</v>
      </c>
      <c r="C96" s="142"/>
      <c r="D96" s="590" t="s">
        <v>100</v>
      </c>
      <c r="E96" s="591"/>
      <c r="F96" s="590" t="s">
        <v>101</v>
      </c>
      <c r="G96" s="591"/>
      <c r="H96" s="589" t="s">
        <v>102</v>
      </c>
      <c r="I96" s="142"/>
      <c r="J96" s="590" t="s">
        <v>226</v>
      </c>
      <c r="K96" s="591"/>
      <c r="L96" s="142" t="s">
        <v>84</v>
      </c>
      <c r="M96" s="142"/>
      <c r="N96" s="129" t="s">
        <v>223</v>
      </c>
      <c r="O96" s="129"/>
    </row>
    <row r="97" spans="1:19" x14ac:dyDescent="0.25">
      <c r="A97" s="551"/>
      <c r="B97" s="115" t="s">
        <v>103</v>
      </c>
      <c r="C97" s="143" t="s">
        <v>193</v>
      </c>
      <c r="D97" s="115" t="s">
        <v>103</v>
      </c>
      <c r="E97" s="143" t="s">
        <v>193</v>
      </c>
      <c r="F97" s="115" t="s">
        <v>103</v>
      </c>
      <c r="G97" s="143" t="s">
        <v>193</v>
      </c>
      <c r="H97" s="115" t="s">
        <v>103</v>
      </c>
      <c r="I97" s="143" t="s">
        <v>193</v>
      </c>
      <c r="J97" s="115" t="s">
        <v>103</v>
      </c>
      <c r="K97" s="143" t="s">
        <v>193</v>
      </c>
      <c r="L97" s="115" t="s">
        <v>103</v>
      </c>
      <c r="M97" s="143" t="s">
        <v>193</v>
      </c>
    </row>
    <row r="98" spans="1:19" s="556" customFormat="1" ht="18" customHeight="1" x14ac:dyDescent="0.25">
      <c r="A98" s="554" t="s">
        <v>222</v>
      </c>
      <c r="B98" s="146">
        <f>+GETPIVOTDATA(" New Prof avg",'Averages Pivot Table'!$A$3,"Category2","Four-Year")</f>
        <v>105376.38298766952</v>
      </c>
      <c r="C98" s="146"/>
      <c r="D98" s="146">
        <f>+GETPIVOTDATA(" New Asc. avg",'Averages Pivot Table'!$A$3,"Category2","Four-Year")</f>
        <v>74913.709121657594</v>
      </c>
      <c r="E98" s="146"/>
      <c r="F98" s="146">
        <f>+GETPIVOTDATA(" New Ast. avg",'Averages Pivot Table'!$A$3,"Category2","Four-Year")</f>
        <v>63694.346346191429</v>
      </c>
      <c r="G98" s="146"/>
      <c r="H98" s="146">
        <f>+GETPIVOTDATA(" New Inst. avg",'Averages Pivot Table'!$A$3,"Category2","Four-Year")</f>
        <v>45322.203354649166</v>
      </c>
      <c r="I98" s="146"/>
      <c r="J98" s="146">
        <f>+GETPIVOTDATA(" New Undesg. avg",'Averages Pivot Table'!$A$3,"Category2","Four-Year")</f>
        <v>49200.909589217874</v>
      </c>
      <c r="K98" s="146"/>
      <c r="L98" s="146">
        <f>+GETPIVOTDATA(" New All Ranks avg",'Averages Pivot Table'!$A$3,"Category2","Four-Year")</f>
        <v>75046.293281217469</v>
      </c>
      <c r="M98" s="149"/>
      <c r="N98" s="146"/>
      <c r="O98" s="133"/>
      <c r="Q98" s="558"/>
      <c r="R98" s="558"/>
      <c r="S98" s="558"/>
    </row>
    <row r="99" spans="1:19" ht="12.95" customHeight="1" x14ac:dyDescent="0.25">
      <c r="A99" s="132"/>
      <c r="B99" s="123"/>
      <c r="C99" s="150"/>
      <c r="D99" s="123"/>
      <c r="E99" s="150"/>
      <c r="F99" s="123"/>
      <c r="G99" s="150"/>
      <c r="H99" s="123"/>
      <c r="I99" s="150"/>
      <c r="J99" s="123"/>
      <c r="K99" s="150"/>
      <c r="L99" s="123"/>
      <c r="M99" s="150"/>
      <c r="N99" s="123"/>
      <c r="O99" s="134"/>
    </row>
    <row r="100" spans="1:19" ht="12.95" customHeight="1" x14ac:dyDescent="0.25">
      <c r="A100" s="132" t="s">
        <v>205</v>
      </c>
      <c r="B100" s="130">
        <f>+GETPIVOTDATA(" New Prof avg",'Averages Pivot Table'!$A$3,"State","AL","Category2","Four-Year")</f>
        <v>105972.76838959468</v>
      </c>
      <c r="C100" s="118">
        <f t="shared" ref="C100:C118" si="1">IF(B100&gt;0,(RANK(B100,B$100:B$118)),0)</f>
        <v>7</v>
      </c>
      <c r="D100" s="130">
        <f>+GETPIVOTDATA(" New Asc. avg",'Averages Pivot Table'!$A$3,"State","AL","Category2","Four-Year")</f>
        <v>76524.613178927917</v>
      </c>
      <c r="E100" s="118">
        <f t="shared" ref="E100:E118" si="2">IF(D100&gt;0,(RANK(D100,D$100:D$118)),0)</f>
        <v>7</v>
      </c>
      <c r="F100" s="130">
        <f>+GETPIVOTDATA(" New Ast. avg",'Averages Pivot Table'!$A$3,"State","AL","Category2","Four-Year")</f>
        <v>62013.862644759822</v>
      </c>
      <c r="G100" s="118">
        <f t="shared" ref="G100:G118" si="3">IF(F100&gt;0,(RANK(F100,F$100:F$118)),0)</f>
        <v>8</v>
      </c>
      <c r="H100" s="130">
        <f>+GETPIVOTDATA(" New Inst. avg",'Averages Pivot Table'!$A$3,"State","AL","Category2","Four-Year")</f>
        <v>46095.793870787886</v>
      </c>
      <c r="I100" s="118">
        <f t="shared" ref="I100:I118" si="4">IF(H100&gt;0,(RANK(H100,H$100:H$118)),0)</f>
        <v>6</v>
      </c>
      <c r="J100" s="130">
        <f>+GETPIVOTDATA(" New Undesg. avg",'Averages Pivot Table'!$A$3,"State","AL","Category2","Four-Year")</f>
        <v>49449.888631506852</v>
      </c>
      <c r="K100" s="118">
        <f t="shared" ref="K100:K118" si="5">IF(J100&gt;0,(RANK(J100,J$100:J$118)),0)</f>
        <v>8</v>
      </c>
      <c r="L100" s="130">
        <f>+GETPIVOTDATA(" New All Ranks avg",'Averages Pivot Table'!$A$3,"State","AL","Category2","Four-Year")</f>
        <v>75379.263593716067</v>
      </c>
      <c r="M100" s="118">
        <f t="shared" ref="M100:M118" si="6">IF(L100&gt;0,(RANK(L100,L$100:L$118)),0)</f>
        <v>7</v>
      </c>
      <c r="N100" s="130"/>
      <c r="O100" s="135"/>
    </row>
    <row r="101" spans="1:19" ht="12.95" customHeight="1" x14ac:dyDescent="0.25">
      <c r="A101" s="132" t="s">
        <v>206</v>
      </c>
      <c r="B101" s="130">
        <f>+GETPIVOTDATA(" New Prof avg",'Averages Pivot Table'!$A$3,"State","AR","Category2","Four-Year")</f>
        <v>88820.097176299663</v>
      </c>
      <c r="C101" s="118">
        <f t="shared" si="1"/>
        <v>15</v>
      </c>
      <c r="D101" s="130">
        <f>+GETPIVOTDATA(" New Asc. avg",'Averages Pivot Table'!$A$3,"State","AR","Category2","Four-Year")</f>
        <v>65854.107477419631</v>
      </c>
      <c r="E101" s="118">
        <f t="shared" si="2"/>
        <v>16</v>
      </c>
      <c r="F101" s="130">
        <f>+GETPIVOTDATA(" New Ast. avg",'Averages Pivot Table'!$A$3,"State","AR","Category2","Four-Year")</f>
        <v>57371.200480032785</v>
      </c>
      <c r="G101" s="118">
        <f t="shared" si="3"/>
        <v>16</v>
      </c>
      <c r="H101" s="130">
        <f>+GETPIVOTDATA(" New Inst. avg",'Averages Pivot Table'!$A$3,"State","AR","Category2","Four-Year")</f>
        <v>41151.661802084818</v>
      </c>
      <c r="I101" s="118">
        <f t="shared" si="4"/>
        <v>16</v>
      </c>
      <c r="J101" s="130">
        <f>+GETPIVOTDATA(" New Undesg. avg",'Averages Pivot Table'!$A$3,"State","AR","Category2","Four-Year")</f>
        <v>41810.851351373487</v>
      </c>
      <c r="K101" s="118">
        <f t="shared" si="5"/>
        <v>13</v>
      </c>
      <c r="L101" s="130">
        <f>+GETPIVOTDATA(" New All Ranks avg",'Averages Pivot Table'!$A$3,"State","AR","Category2","Four-Year")</f>
        <v>62729.115786174632</v>
      </c>
      <c r="M101" s="118">
        <f t="shared" si="6"/>
        <v>16</v>
      </c>
      <c r="N101" s="130"/>
      <c r="O101" s="135"/>
    </row>
    <row r="102" spans="1:19" ht="12.95" customHeight="1" x14ac:dyDescent="0.25">
      <c r="A102" s="132" t="s">
        <v>221</v>
      </c>
      <c r="B102" s="130">
        <f>+GETPIVOTDATA(" New Prof avg",'Averages Pivot Table'!$A$3,"State","DE","Category2","Four-Year")</f>
        <v>133243.18795345622</v>
      </c>
      <c r="C102" s="118">
        <f t="shared" si="1"/>
        <v>1</v>
      </c>
      <c r="D102" s="130">
        <f>+GETPIVOTDATA(" New Asc. avg",'Averages Pivot Table'!$A$3,"State","DE","Category2","Four-Year")</f>
        <v>87799.283908235288</v>
      </c>
      <c r="E102" s="118">
        <f t="shared" si="2"/>
        <v>1</v>
      </c>
      <c r="F102" s="130">
        <f>+GETPIVOTDATA(" New Ast. avg",'Averages Pivot Table'!$A$3,"State","DE","Category2","Four-Year")</f>
        <v>77458.626476033052</v>
      </c>
      <c r="G102" s="118">
        <f t="shared" si="3"/>
        <v>1</v>
      </c>
      <c r="H102" s="130">
        <f>+GETPIVOTDATA(" New Inst. avg",'Averages Pivot Table'!$A$3,"State","DE","Category2","Four-Year")</f>
        <v>62630.045410526312</v>
      </c>
      <c r="I102" s="118">
        <f t="shared" si="4"/>
        <v>1</v>
      </c>
      <c r="J102" s="130">
        <f>+GETPIVOTDATA(" New Undesg. avg",'Averages Pivot Table'!$A$3,"State","DE","Category2","Four-Year")</f>
        <v>47000</v>
      </c>
      <c r="K102" s="118">
        <f t="shared" si="5"/>
        <v>10</v>
      </c>
      <c r="L102" s="130">
        <f>+GETPIVOTDATA(" New All Ranks avg",'Averages Pivot Table'!$A$3,"State","DE","Category2","Four-Year")</f>
        <v>97528.808535425997</v>
      </c>
      <c r="M102" s="118">
        <f t="shared" si="6"/>
        <v>1</v>
      </c>
      <c r="N102" s="130"/>
      <c r="O102" s="135"/>
    </row>
    <row r="103" spans="1:19" ht="12.95" customHeight="1" x14ac:dyDescent="0.25">
      <c r="A103" s="132" t="s">
        <v>207</v>
      </c>
      <c r="B103" s="130">
        <f>+GETPIVOTDATA(" New Prof avg",'Averages Pivot Table'!$A$3,"State","FL","Category2","Four-Year")</f>
        <v>110011.517023112</v>
      </c>
      <c r="C103" s="118">
        <f t="shared" si="1"/>
        <v>6</v>
      </c>
      <c r="D103" s="130">
        <f>+GETPIVOTDATA(" New Asc. avg",'Averages Pivot Table'!$A$3,"State","FL","Category2","Four-Year")</f>
        <v>77194.469029805958</v>
      </c>
      <c r="E103" s="118">
        <f t="shared" si="2"/>
        <v>6</v>
      </c>
      <c r="F103" s="130">
        <f>+GETPIVOTDATA(" New Ast. avg",'Averages Pivot Table'!$A$3,"State","FL","Category2","Four-Year")</f>
        <v>67120.253921571493</v>
      </c>
      <c r="G103" s="118">
        <f t="shared" si="3"/>
        <v>5</v>
      </c>
      <c r="H103" s="130">
        <f>+GETPIVOTDATA(" New Inst. avg",'Averages Pivot Table'!$A$3,"State","FL","Category2","Four-Year")</f>
        <v>48501.815872768559</v>
      </c>
      <c r="I103" s="118">
        <f t="shared" si="4"/>
        <v>5</v>
      </c>
      <c r="J103" s="130">
        <f>+GETPIVOTDATA(" New Undesg. avg",'Averages Pivot Table'!$A$3,"State","FL","Category2","Four-Year")</f>
        <v>55849.452394117645</v>
      </c>
      <c r="K103" s="118">
        <f t="shared" si="5"/>
        <v>1</v>
      </c>
      <c r="L103" s="130">
        <f>+GETPIVOTDATA(" New All Ranks avg",'Averages Pivot Table'!$A$3,"State","FL","Category2","Four-Year")</f>
        <v>79759.539716048021</v>
      </c>
      <c r="M103" s="118">
        <f t="shared" si="6"/>
        <v>4</v>
      </c>
      <c r="N103" s="130"/>
      <c r="O103" s="135"/>
    </row>
    <row r="104" spans="1:19" ht="12.95" customHeight="1" x14ac:dyDescent="0.25">
      <c r="A104" s="132"/>
      <c r="B104" s="130"/>
      <c r="C104" s="118"/>
      <c r="D104" s="130"/>
      <c r="E104" s="118"/>
      <c r="F104" s="130"/>
      <c r="G104" s="118"/>
      <c r="H104" s="130"/>
      <c r="I104" s="118"/>
      <c r="J104" s="130"/>
      <c r="K104" s="118"/>
      <c r="L104" s="130"/>
      <c r="M104" s="118"/>
      <c r="N104" s="130"/>
      <c r="O104" s="135"/>
    </row>
    <row r="105" spans="1:19" ht="12.95" customHeight="1" x14ac:dyDescent="0.25">
      <c r="A105" s="132" t="s">
        <v>208</v>
      </c>
      <c r="B105" s="130">
        <f>+GETPIVOTDATA(" New Prof avg",'Averages Pivot Table'!$A$3,"State","GA","Category2","Four-Year")</f>
        <v>102298.98566951965</v>
      </c>
      <c r="C105" s="118">
        <f t="shared" si="1"/>
        <v>8</v>
      </c>
      <c r="D105" s="130">
        <f>+GETPIVOTDATA(" New Asc. avg",'Averages Pivot Table'!$A$3,"State","GA","Category2","Four-Year")</f>
        <v>72481.42980355749</v>
      </c>
      <c r="E105" s="118">
        <f t="shared" si="2"/>
        <v>8</v>
      </c>
      <c r="F105" s="130">
        <f>+GETPIVOTDATA(" New Ast. avg",'Averages Pivot Table'!$A$3,"State","GA","Category2","Four-Year")</f>
        <v>61598.41291193926</v>
      </c>
      <c r="G105" s="118">
        <f t="shared" si="3"/>
        <v>9</v>
      </c>
      <c r="H105" s="130">
        <f>+GETPIVOTDATA(" New Inst. avg",'Averages Pivot Table'!$A$3,"State","GA","Category2","Four-Year")</f>
        <v>43579.953581325302</v>
      </c>
      <c r="I105" s="118">
        <f t="shared" si="4"/>
        <v>10</v>
      </c>
      <c r="J105" s="130">
        <f>+GETPIVOTDATA(" New Undesg. avg",'Averages Pivot Table'!$A$3,"State","GA","Category2","Four-Year")</f>
        <v>50194.332619404915</v>
      </c>
      <c r="K105" s="118">
        <f t="shared" si="5"/>
        <v>6</v>
      </c>
      <c r="L105" s="130">
        <f>+GETPIVOTDATA(" New All Ranks avg",'Averages Pivot Table'!$A$3,"State","GA","Category2","Four-Year")</f>
        <v>72517.79191399776</v>
      </c>
      <c r="M105" s="118">
        <f t="shared" si="6"/>
        <v>8</v>
      </c>
      <c r="N105" s="130"/>
      <c r="O105" s="135"/>
    </row>
    <row r="106" spans="1:19" ht="12.95" customHeight="1" x14ac:dyDescent="0.25">
      <c r="A106" s="132" t="s">
        <v>209</v>
      </c>
      <c r="B106" s="130">
        <f>+GETPIVOTDATA(" New Prof avg",'Averages Pivot Table'!$A$3,"State","KY","Category2","Four-Year")</f>
        <v>97072.467241044782</v>
      </c>
      <c r="C106" s="118">
        <f t="shared" si="1"/>
        <v>10</v>
      </c>
      <c r="D106" s="130">
        <f>+GETPIVOTDATA(" New Asc. avg",'Averages Pivot Table'!$A$3,"State","KY","Category2","Four-Year")</f>
        <v>71053.42083037975</v>
      </c>
      <c r="E106" s="118">
        <f t="shared" si="2"/>
        <v>10</v>
      </c>
      <c r="F106" s="130">
        <f>+GETPIVOTDATA(" New Ast. avg",'Averages Pivot Table'!$A$3,"State","KY","Category2","Four-Year")</f>
        <v>60035.875242818431</v>
      </c>
      <c r="G106" s="118">
        <f t="shared" si="3"/>
        <v>10</v>
      </c>
      <c r="H106" s="130">
        <f>+GETPIVOTDATA(" New Inst. avg",'Averages Pivot Table'!$A$3,"State","KY","Category2","Four-Year")</f>
        <v>44793.064272422067</v>
      </c>
      <c r="I106" s="118">
        <f t="shared" si="4"/>
        <v>9</v>
      </c>
      <c r="J106" s="130">
        <f>+GETPIVOTDATA(" New Undesg. avg",'Averages Pivot Table'!$A$3,"State","KY","Category2","Four-Year")</f>
        <v>45562.40651673307</v>
      </c>
      <c r="K106" s="118">
        <f t="shared" si="5"/>
        <v>12</v>
      </c>
      <c r="L106" s="130">
        <f>+GETPIVOTDATA(" New All Ranks avg",'Averages Pivot Table'!$A$3,"State","KY","Category2","Four-Year")</f>
        <v>70056.051629862312</v>
      </c>
      <c r="M106" s="118">
        <f t="shared" si="6"/>
        <v>10</v>
      </c>
      <c r="N106" s="130"/>
      <c r="O106" s="135"/>
    </row>
    <row r="107" spans="1:19" ht="12.95" customHeight="1" x14ac:dyDescent="0.25">
      <c r="A107" s="132" t="s">
        <v>210</v>
      </c>
      <c r="B107" s="130">
        <f>+GETPIVOTDATA(" New Prof avg",'Averages Pivot Table'!$A$3,"State","LA","Category2","Four-Year")</f>
        <v>90582.816887441848</v>
      </c>
      <c r="C107" s="118">
        <f t="shared" si="1"/>
        <v>13</v>
      </c>
      <c r="D107" s="130">
        <f>+GETPIVOTDATA(" New Asc. avg",'Averages Pivot Table'!$A$3,"State","LA","Category2","Four-Year")</f>
        <v>68014.668249918424</v>
      </c>
      <c r="E107" s="118">
        <f t="shared" si="2"/>
        <v>14</v>
      </c>
      <c r="F107" s="130">
        <f>+GETPIVOTDATA(" New Ast. avg",'Averages Pivot Table'!$A$3,"State","LA","Category2","Four-Year")</f>
        <v>58013.329977902882</v>
      </c>
      <c r="G107" s="118">
        <f t="shared" si="3"/>
        <v>14</v>
      </c>
      <c r="H107" s="130">
        <f>+GETPIVOTDATA(" New Inst. avg",'Averages Pivot Table'!$A$3,"State","LA","Category2","Four-Year")</f>
        <v>43076.799460190479</v>
      </c>
      <c r="I107" s="118">
        <f t="shared" si="4"/>
        <v>11</v>
      </c>
      <c r="J107" s="130">
        <f>+GETPIVOTDATA(" New Undesg. avg",'Averages Pivot Table'!$A$3,"State","LA","Category2","Four-Year")</f>
        <v>52988.182133333336</v>
      </c>
      <c r="K107" s="118">
        <f t="shared" si="5"/>
        <v>4</v>
      </c>
      <c r="L107" s="130">
        <f>+GETPIVOTDATA(" New All Ranks avg",'Averages Pivot Table'!$A$3,"State","LA","Category2","Four-Year")</f>
        <v>65592.802745623747</v>
      </c>
      <c r="M107" s="118">
        <f t="shared" si="6"/>
        <v>14</v>
      </c>
      <c r="N107" s="130"/>
      <c r="O107" s="135"/>
    </row>
    <row r="108" spans="1:19" ht="12.95" customHeight="1" x14ac:dyDescent="0.25">
      <c r="A108" s="132" t="s">
        <v>211</v>
      </c>
      <c r="B108" s="130">
        <f>+GETPIVOTDATA(" New Prof avg",'Averages Pivot Table'!$A$3,"State","MD","Category2","Four-Year")</f>
        <v>115025.98856348061</v>
      </c>
      <c r="C108" s="118">
        <f t="shared" si="1"/>
        <v>2</v>
      </c>
      <c r="D108" s="130">
        <f>+GETPIVOTDATA(" New Asc. avg",'Averages Pivot Table'!$A$3,"State","MD","Category2","Four-Year")</f>
        <v>80992.21083370765</v>
      </c>
      <c r="E108" s="118">
        <f t="shared" si="2"/>
        <v>2</v>
      </c>
      <c r="F108" s="130">
        <f>+GETPIVOTDATA(" New Ast. avg",'Averages Pivot Table'!$A$3,"State","MD","Category2","Four-Year")</f>
        <v>68981.597089295057</v>
      </c>
      <c r="G108" s="118">
        <f t="shared" si="3"/>
        <v>2</v>
      </c>
      <c r="H108" s="130">
        <f>+GETPIVOTDATA(" New Inst. avg",'Averages Pivot Table'!$A$3,"State","MD","Category2","Four-Year")</f>
        <v>56305.501617159556</v>
      </c>
      <c r="I108" s="118">
        <f t="shared" si="4"/>
        <v>3</v>
      </c>
      <c r="J108" s="130">
        <f>+GETPIVOTDATA(" New Undesg. avg",'Averages Pivot Table'!$A$3,"State","MD","Category2","Four-Year")</f>
        <v>49483.323560090801</v>
      </c>
      <c r="K108" s="118">
        <f t="shared" si="5"/>
        <v>7</v>
      </c>
      <c r="L108" s="130">
        <f>+GETPIVOTDATA(" New All Ranks avg",'Averages Pivot Table'!$A$3,"State","MD","Category2","Four-Year")</f>
        <v>81222.938638556327</v>
      </c>
      <c r="M108" s="118">
        <f t="shared" si="6"/>
        <v>3</v>
      </c>
      <c r="N108" s="130"/>
      <c r="O108" s="135"/>
    </row>
    <row r="109" spans="1:19" ht="12.95" customHeight="1" x14ac:dyDescent="0.25">
      <c r="A109" s="132"/>
      <c r="B109" s="130"/>
      <c r="C109" s="118"/>
      <c r="D109" s="130"/>
      <c r="E109" s="118"/>
      <c r="F109" s="130"/>
      <c r="G109" s="118"/>
      <c r="H109" s="130"/>
      <c r="I109" s="118"/>
      <c r="J109" s="130"/>
      <c r="K109" s="118"/>
      <c r="L109" s="130"/>
      <c r="M109" s="118"/>
      <c r="N109" s="130"/>
      <c r="O109" s="135"/>
    </row>
    <row r="110" spans="1:19" ht="12.95" customHeight="1" x14ac:dyDescent="0.25">
      <c r="A110" s="132" t="s">
        <v>212</v>
      </c>
      <c r="B110" s="130">
        <f>+GETPIVOTDATA(" New Prof avg",'Averages Pivot Table'!$A$3,"State","MS","Category2","Four-Year")</f>
        <v>89904.184663245498</v>
      </c>
      <c r="C110" s="118">
        <f t="shared" si="1"/>
        <v>14</v>
      </c>
      <c r="D110" s="130">
        <f>+GETPIVOTDATA(" New Asc. avg",'Averages Pivot Table'!$A$3,"State","MS","Category2","Four-Year")</f>
        <v>68873.857111290316</v>
      </c>
      <c r="E110" s="118">
        <f t="shared" si="2"/>
        <v>13</v>
      </c>
      <c r="F110" s="130">
        <f>+GETPIVOTDATA(" New Ast. avg",'Averages Pivot Table'!$A$3,"State","MS","Category2","Four-Year")</f>
        <v>59567.703652052049</v>
      </c>
      <c r="G110" s="118">
        <f t="shared" si="3"/>
        <v>11</v>
      </c>
      <c r="H110" s="130">
        <f>+GETPIVOTDATA(" New Inst. avg",'Averages Pivot Table'!$A$3,"State","MS","Category2","Four-Year")</f>
        <v>43060.10558445441</v>
      </c>
      <c r="I110" s="118">
        <f t="shared" si="4"/>
        <v>12</v>
      </c>
      <c r="J110" s="130">
        <f>+GETPIVOTDATA(" New Undesg. avg",'Averages Pivot Table'!$A$3,"State","MS","Category2","Four-Year")</f>
        <v>34779.234799999998</v>
      </c>
      <c r="K110" s="118">
        <f t="shared" si="5"/>
        <v>15</v>
      </c>
      <c r="L110" s="130">
        <f>+GETPIVOTDATA(" New All Ranks avg",'Averages Pivot Table'!$A$3,"State","MS","Category2","Four-Year")</f>
        <v>64657.137035562198</v>
      </c>
      <c r="M110" s="118">
        <f t="shared" si="6"/>
        <v>15</v>
      </c>
      <c r="N110" s="130"/>
      <c r="O110" s="135"/>
    </row>
    <row r="111" spans="1:19" ht="12.95" customHeight="1" x14ac:dyDescent="0.25">
      <c r="A111" s="132" t="s">
        <v>213</v>
      </c>
      <c r="B111" s="130">
        <f>+GETPIVOTDATA(" New Prof avg",'Averages Pivot Table'!$A$3,"State","NC","Category2","Four-Year")</f>
        <v>110964.80949870402</v>
      </c>
      <c r="C111" s="118">
        <f t="shared" si="1"/>
        <v>5</v>
      </c>
      <c r="D111" s="130">
        <f>+GETPIVOTDATA(" New Asc. avg",'Averages Pivot Table'!$A$3,"State","NC","Category2","Four-Year")</f>
        <v>78101.274033936963</v>
      </c>
      <c r="E111" s="118">
        <f t="shared" si="2"/>
        <v>4</v>
      </c>
      <c r="F111" s="130">
        <f>+GETPIVOTDATA(" New Ast. avg",'Averages Pivot Table'!$A$3,"State","NC","Category2","Four-Year")</f>
        <v>67403.004364335386</v>
      </c>
      <c r="G111" s="118">
        <f t="shared" si="3"/>
        <v>4</v>
      </c>
      <c r="H111" s="130">
        <f>+GETPIVOTDATA(" New Inst. avg",'Averages Pivot Table'!$A$3,"State","NC","Category2","Four-Year")</f>
        <v>58274.928426436782</v>
      </c>
      <c r="I111" s="118">
        <f t="shared" si="4"/>
        <v>2</v>
      </c>
      <c r="J111" s="130">
        <f>+GETPIVOTDATA(" New Undesg. avg",'Averages Pivot Table'!$A$3,"State","NC","Category2","Four-Year")</f>
        <v>53554.716358798687</v>
      </c>
      <c r="K111" s="118">
        <f t="shared" si="5"/>
        <v>2</v>
      </c>
      <c r="L111" s="130">
        <f>+GETPIVOTDATA(" New All Ranks avg",'Averages Pivot Table'!$A$3,"State","NC","Category2","Four-Year")</f>
        <v>79226.203274355343</v>
      </c>
      <c r="M111" s="118">
        <f t="shared" si="6"/>
        <v>5</v>
      </c>
      <c r="N111" s="130"/>
      <c r="O111" s="135"/>
    </row>
    <row r="112" spans="1:19" ht="12.95" customHeight="1" x14ac:dyDescent="0.25">
      <c r="A112" s="132" t="s">
        <v>214</v>
      </c>
      <c r="B112" s="130">
        <f>+GETPIVOTDATA(" New Prof avg",'Averages Pivot Table'!$A$3,"State","OK","Category2","Four-Year")</f>
        <v>95993.892991274595</v>
      </c>
      <c r="C112" s="118">
        <f t="shared" si="1"/>
        <v>11</v>
      </c>
      <c r="D112" s="130">
        <f>+GETPIVOTDATA(" New Asc. avg",'Averages Pivot Table'!$A$3,"State","OK","Category2","Four-Year")</f>
        <v>67452.748790358979</v>
      </c>
      <c r="E112" s="118">
        <f t="shared" si="2"/>
        <v>15</v>
      </c>
      <c r="F112" s="130">
        <f>+GETPIVOTDATA(" New Ast. avg",'Averages Pivot Table'!$A$3,"State","OK","Category2","Four-Year")</f>
        <v>58526.492159493675</v>
      </c>
      <c r="G112" s="118">
        <f t="shared" si="3"/>
        <v>13</v>
      </c>
      <c r="H112" s="130">
        <f>+GETPIVOTDATA(" New Inst. avg",'Averages Pivot Table'!$A$3,"State","OK","Category2","Four-Year")</f>
        <v>41876.907310714283</v>
      </c>
      <c r="I112" s="118">
        <f t="shared" si="4"/>
        <v>14</v>
      </c>
      <c r="J112" s="130">
        <f>+GETPIVOTDATA(" New Undesg. avg",'Averages Pivot Table'!$A$3,"State","OK","Category2","Four-Year")</f>
        <v>0</v>
      </c>
      <c r="K112" s="118">
        <f t="shared" si="5"/>
        <v>0</v>
      </c>
      <c r="L112" s="130">
        <f>+GETPIVOTDATA(" New All Ranks avg",'Averages Pivot Table'!$A$3,"State","OK","Category2","Four-Year")</f>
        <v>68501.009799443738</v>
      </c>
      <c r="M112" s="118">
        <f t="shared" si="6"/>
        <v>12</v>
      </c>
      <c r="N112" s="130"/>
      <c r="O112" s="135"/>
    </row>
    <row r="113" spans="1:19" ht="12.95" customHeight="1" x14ac:dyDescent="0.25">
      <c r="A113" s="132" t="s">
        <v>215</v>
      </c>
      <c r="B113" s="130">
        <f>+GETPIVOTDATA(" New Prof avg",'Averages Pivot Table'!$A$3,"State","SC","Category2","Four-Year")</f>
        <v>97788.156203820603</v>
      </c>
      <c r="C113" s="118">
        <f t="shared" si="1"/>
        <v>9</v>
      </c>
      <c r="D113" s="130">
        <f>+GETPIVOTDATA(" New Asc. avg",'Averages Pivot Table'!$A$3,"State","SC","Category2","Four-Year")</f>
        <v>71835.544972661868</v>
      </c>
      <c r="E113" s="118">
        <f t="shared" si="2"/>
        <v>9</v>
      </c>
      <c r="F113" s="130">
        <f>+GETPIVOTDATA(" New Ast. avg",'Averages Pivot Table'!$A$3,"State","SC","Category2","Four-Year")</f>
        <v>62533.336461726503</v>
      </c>
      <c r="G113" s="118">
        <f t="shared" si="3"/>
        <v>7</v>
      </c>
      <c r="H113" s="130">
        <f>+GETPIVOTDATA(" New Inst. avg",'Averages Pivot Table'!$A$3,"State","SC","Category2","Four-Year")</f>
        <v>45469.708577730191</v>
      </c>
      <c r="I113" s="118">
        <f t="shared" si="4"/>
        <v>7</v>
      </c>
      <c r="J113" s="130">
        <f>+GETPIVOTDATA(" New Undesg. avg",'Averages Pivot Table'!$A$3,"State","SC","Category2","Four-Year")</f>
        <v>46263.336978683386</v>
      </c>
      <c r="K113" s="118">
        <f t="shared" si="5"/>
        <v>11</v>
      </c>
      <c r="L113" s="130">
        <f>+GETPIVOTDATA(" New All Ranks avg",'Averages Pivot Table'!$A$3,"State","SC","Category2","Four-Year")</f>
        <v>71527.846738593405</v>
      </c>
      <c r="M113" s="118">
        <f t="shared" si="6"/>
        <v>9</v>
      </c>
      <c r="N113" s="130"/>
      <c r="O113" s="135"/>
    </row>
    <row r="114" spans="1:19" ht="12.95" customHeight="1" x14ac:dyDescent="0.25">
      <c r="A114" s="132"/>
      <c r="B114" s="130"/>
      <c r="C114" s="118"/>
      <c r="D114" s="130"/>
      <c r="E114" s="118"/>
      <c r="F114" s="130"/>
      <c r="G114" s="118"/>
      <c r="H114" s="130"/>
      <c r="I114" s="118"/>
      <c r="J114" s="130"/>
      <c r="K114" s="118"/>
      <c r="L114" s="130"/>
      <c r="M114" s="118"/>
      <c r="N114" s="130"/>
      <c r="O114" s="135"/>
    </row>
    <row r="115" spans="1:19" ht="12.95" customHeight="1" x14ac:dyDescent="0.25">
      <c r="A115" s="132" t="s">
        <v>216</v>
      </c>
      <c r="B115" s="592">
        <f>+GETPIVOTDATA(" New Prof avg",'Averages Pivot Table'!$A$3,"State","TN","Category2","Four-Year")</f>
        <v>93143.377582813366</v>
      </c>
      <c r="C115" s="118">
        <f t="shared" si="1"/>
        <v>12</v>
      </c>
      <c r="D115" s="592">
        <f>+GETPIVOTDATA(" New Asc. avg",'Averages Pivot Table'!$A$3,"State","TN","Category2","Four-Year")</f>
        <v>70277.052957475084</v>
      </c>
      <c r="E115" s="118">
        <f t="shared" si="2"/>
        <v>11</v>
      </c>
      <c r="F115" s="592">
        <f>+GETPIVOTDATA(" New Ast. avg",'Averages Pivot Table'!$A$3,"State","TN","Category2","Four-Year")</f>
        <v>58649.741222537108</v>
      </c>
      <c r="G115" s="118">
        <f t="shared" si="3"/>
        <v>12</v>
      </c>
      <c r="H115" s="592">
        <f>+GETPIVOTDATA(" New Inst. avg",'Averages Pivot Table'!$A$3,"State","TN","Category2","Four-Year")</f>
        <v>42175.079982553194</v>
      </c>
      <c r="I115" s="118">
        <f t="shared" si="4"/>
        <v>13</v>
      </c>
      <c r="J115" s="592">
        <f>+GETPIVOTDATA(" New Undesg. avg",'Averages Pivot Table'!$A$3,"State","TN","Category2","Four-Year")</f>
        <v>40839.197313172546</v>
      </c>
      <c r="K115" s="118">
        <f t="shared" si="5"/>
        <v>14</v>
      </c>
      <c r="L115" s="592">
        <f>+GETPIVOTDATA(" New All Ranks avg",'Averages Pivot Table'!$A$3,"State","TN","Category2","Four-Year")</f>
        <v>69499.132230843214</v>
      </c>
      <c r="M115" s="118">
        <f t="shared" si="6"/>
        <v>11</v>
      </c>
      <c r="N115" s="130"/>
      <c r="O115" s="135"/>
    </row>
    <row r="116" spans="1:19" ht="12.95" customHeight="1" x14ac:dyDescent="0.25">
      <c r="A116" s="132" t="s">
        <v>217</v>
      </c>
      <c r="B116" s="592">
        <f>+GETPIVOTDATA(" New Prof avg",'Averages Pivot Table'!$A$3,"State","TX","Category2","Four-Year")</f>
        <v>112759.28730482994</v>
      </c>
      <c r="C116" s="118">
        <f t="shared" si="1"/>
        <v>4</v>
      </c>
      <c r="D116" s="592">
        <f>+GETPIVOTDATA(" New Asc. avg",'Averages Pivot Table'!$A$3,"State","TX","Category2","Four-Year")</f>
        <v>77271.453837628651</v>
      </c>
      <c r="E116" s="118">
        <f t="shared" si="2"/>
        <v>5</v>
      </c>
      <c r="F116" s="592">
        <f>+GETPIVOTDATA(" New Ast. avg",'Averages Pivot Table'!$A$3,"State","TX","Category2","Four-Year")</f>
        <v>67574.946626970224</v>
      </c>
      <c r="G116" s="118">
        <f t="shared" si="3"/>
        <v>3</v>
      </c>
      <c r="H116" s="592">
        <f>+GETPIVOTDATA(" New Inst. avg",'Averages Pivot Table'!$A$3,"State","TX","Category2","Four-Year")</f>
        <v>44915.404920314548</v>
      </c>
      <c r="I116" s="118">
        <f t="shared" si="4"/>
        <v>8</v>
      </c>
      <c r="J116" s="592">
        <f>+GETPIVOTDATA(" New Undesg. avg",'Averages Pivot Table'!$A$3,"State","TX","Category2","Four-Year")</f>
        <v>48364.487976141616</v>
      </c>
      <c r="K116" s="118">
        <f t="shared" si="5"/>
        <v>9</v>
      </c>
      <c r="L116" s="592">
        <f>+GETPIVOTDATA(" New All Ranks avg",'Averages Pivot Table'!$A$3,"State","TX","Category2","Four-Year")</f>
        <v>77716.512572093867</v>
      </c>
      <c r="M116" s="118">
        <f t="shared" si="6"/>
        <v>6</v>
      </c>
      <c r="N116" s="130"/>
      <c r="O116" s="135"/>
    </row>
    <row r="117" spans="1:19" ht="12.95" customHeight="1" x14ac:dyDescent="0.25">
      <c r="A117" s="132" t="s">
        <v>218</v>
      </c>
      <c r="B117" s="592">
        <f>+GETPIVOTDATA(" New Prof avg",'Averages Pivot Table'!$A$3,"State","VA","Category2","Four-Year")</f>
        <v>114769.43169085457</v>
      </c>
      <c r="C117" s="118">
        <f t="shared" si="1"/>
        <v>3</v>
      </c>
      <c r="D117" s="592">
        <f>+GETPIVOTDATA(" New Asc. avg",'Averages Pivot Table'!$A$3,"State","VA","Category2","Four-Year")</f>
        <v>79337.969533511452</v>
      </c>
      <c r="E117" s="118">
        <f t="shared" si="2"/>
        <v>3</v>
      </c>
      <c r="F117" s="592">
        <f>+GETPIVOTDATA(" New Ast. avg",'Averages Pivot Table'!$A$3,"State","VA","Category2","Four-Year")</f>
        <v>66330.986903267418</v>
      </c>
      <c r="G117" s="118">
        <f t="shared" si="3"/>
        <v>6</v>
      </c>
      <c r="H117" s="592">
        <f>+GETPIVOTDATA(" New Inst. avg",'Averages Pivot Table'!$A$3,"State","VA","Category2","Four-Year")</f>
        <v>49937.731073371426</v>
      </c>
      <c r="I117" s="118">
        <f t="shared" si="4"/>
        <v>4</v>
      </c>
      <c r="J117" s="592">
        <f>+GETPIVOTDATA(" New Undesg. avg",'Averages Pivot Table'!$A$3,"State","VA","Category2","Four-Year")</f>
        <v>53193.267628013033</v>
      </c>
      <c r="K117" s="118">
        <f t="shared" si="5"/>
        <v>3</v>
      </c>
      <c r="L117" s="592">
        <f>+GETPIVOTDATA(" New All Ranks avg",'Averages Pivot Table'!$A$3,"State","VA","Category2","Four-Year")</f>
        <v>82808.327343906305</v>
      </c>
      <c r="M117" s="118">
        <f t="shared" si="6"/>
        <v>2</v>
      </c>
      <c r="N117" s="130"/>
      <c r="O117" s="135"/>
    </row>
    <row r="118" spans="1:19" ht="12.95" customHeight="1" x14ac:dyDescent="0.25">
      <c r="A118" s="6" t="s">
        <v>219</v>
      </c>
      <c r="B118" s="593">
        <f>+GETPIVOTDATA(" New Prof avg",'Averages Pivot Table'!$A$3,"State","WV","Category2","Four-Year")</f>
        <v>87397.556397198874</v>
      </c>
      <c r="C118" s="119">
        <f t="shared" si="1"/>
        <v>16</v>
      </c>
      <c r="D118" s="593">
        <f>+GETPIVOTDATA(" New Asc. avg",'Averages Pivot Table'!$A$3,"State","WV","Category2","Four-Year")</f>
        <v>68879.565849504943</v>
      </c>
      <c r="E118" s="119">
        <f t="shared" si="2"/>
        <v>12</v>
      </c>
      <c r="F118" s="593">
        <f>+GETPIVOTDATA(" New Ast. avg",'Averages Pivot Table'!$A$3,"State","WV","Category2","Four-Year")</f>
        <v>57462.798280600749</v>
      </c>
      <c r="G118" s="119">
        <f t="shared" si="3"/>
        <v>15</v>
      </c>
      <c r="H118" s="593">
        <f>+GETPIVOTDATA(" New Inst. avg",'Averages Pivot Table'!$A$3,"State","WV","Category2","Four-Year")</f>
        <v>41243.839300483087</v>
      </c>
      <c r="I118" s="119">
        <f t="shared" si="4"/>
        <v>15</v>
      </c>
      <c r="J118" s="593">
        <f>+GETPIVOTDATA(" New Undesg. avg",'Averages Pivot Table'!$A$3,"State","WV","Category2","Four-Year")</f>
        <v>50332.744075409842</v>
      </c>
      <c r="K118" s="119">
        <f t="shared" si="5"/>
        <v>5</v>
      </c>
      <c r="L118" s="593">
        <f>+GETPIVOTDATA(" New All Ranks avg",'Averages Pivot Table'!$A$3,"State","WV","Category2","Four-Year")</f>
        <v>67726.610859824039</v>
      </c>
      <c r="M118" s="119">
        <f t="shared" si="6"/>
        <v>13</v>
      </c>
      <c r="N118" s="130"/>
      <c r="O118" s="130"/>
    </row>
    <row r="119" spans="1:19" ht="30" customHeight="1" x14ac:dyDescent="0.25">
      <c r="A119" s="668" t="s">
        <v>91</v>
      </c>
      <c r="B119" s="673"/>
      <c r="C119" s="673"/>
      <c r="D119" s="673"/>
      <c r="E119" s="673"/>
      <c r="F119" s="673"/>
      <c r="G119" s="673"/>
      <c r="H119" s="673"/>
      <c r="I119" s="673"/>
      <c r="J119" s="673"/>
      <c r="K119" s="673"/>
      <c r="L119" s="673"/>
      <c r="M119" s="673"/>
      <c r="N119" s="132"/>
      <c r="O119" s="132"/>
    </row>
    <row r="120" spans="1:19" x14ac:dyDescent="0.25">
      <c r="M120" s="157" t="s">
        <v>1088</v>
      </c>
      <c r="O120" s="131"/>
    </row>
    <row r="121" spans="1:19" ht="18" x14ac:dyDescent="0.25">
      <c r="A121" s="544" t="s">
        <v>263</v>
      </c>
      <c r="B121" s="544"/>
      <c r="C121" s="544"/>
      <c r="D121" s="544"/>
      <c r="E121" s="544"/>
      <c r="F121" s="544"/>
      <c r="G121" s="544"/>
      <c r="H121" s="544"/>
      <c r="I121" s="544"/>
      <c r="J121" s="544"/>
      <c r="K121" s="544"/>
      <c r="L121" s="544"/>
      <c r="M121" s="544"/>
      <c r="N121" s="100"/>
      <c r="O121" s="100"/>
    </row>
    <row r="122" spans="1:19" x14ac:dyDescent="0.25">
      <c r="A122" s="588"/>
      <c r="B122" s="93"/>
      <c r="C122" s="93"/>
      <c r="D122" s="93"/>
      <c r="E122" s="93"/>
      <c r="F122" s="93"/>
      <c r="G122" s="93"/>
      <c r="H122" s="93"/>
      <c r="I122" s="93"/>
      <c r="J122" s="93"/>
      <c r="K122" s="93"/>
      <c r="L122" s="93"/>
      <c r="M122" s="93"/>
      <c r="N122" s="93"/>
      <c r="O122" s="93"/>
    </row>
    <row r="123" spans="1:19" x14ac:dyDescent="0.25">
      <c r="A123" s="665" t="s">
        <v>220</v>
      </c>
      <c r="B123" s="665"/>
      <c r="C123" s="665"/>
      <c r="D123" s="665"/>
      <c r="E123" s="665"/>
      <c r="F123" s="665"/>
      <c r="G123" s="665"/>
      <c r="H123" s="665"/>
      <c r="I123" s="665"/>
      <c r="J123" s="665"/>
      <c r="K123" s="665"/>
      <c r="L123" s="665"/>
      <c r="M123" s="665"/>
      <c r="N123" s="128"/>
      <c r="O123" s="128"/>
    </row>
    <row r="124" spans="1:19" x14ac:dyDescent="0.25">
      <c r="A124" s="665" t="s">
        <v>1071</v>
      </c>
      <c r="B124" s="665"/>
      <c r="C124" s="665"/>
      <c r="D124" s="665"/>
      <c r="E124" s="665"/>
      <c r="F124" s="665"/>
      <c r="G124" s="665"/>
      <c r="H124" s="665"/>
      <c r="I124" s="665"/>
      <c r="J124" s="665"/>
      <c r="K124" s="665"/>
      <c r="L124" s="665"/>
      <c r="M124" s="665"/>
      <c r="N124" s="128"/>
      <c r="O124" s="128"/>
    </row>
    <row r="125" spans="1:19" x14ac:dyDescent="0.25">
      <c r="A125" s="132"/>
      <c r="B125" s="132"/>
      <c r="C125" s="132"/>
      <c r="D125" s="132"/>
      <c r="E125" s="132"/>
      <c r="F125" s="132"/>
      <c r="G125" s="132"/>
      <c r="H125" s="132"/>
      <c r="I125" s="132"/>
      <c r="J125" s="132"/>
      <c r="K125" s="132"/>
      <c r="L125" s="132"/>
      <c r="M125" s="132"/>
      <c r="N125" s="132"/>
      <c r="O125" s="132"/>
    </row>
    <row r="126" spans="1:19" ht="31.5" customHeight="1" x14ac:dyDescent="0.25">
      <c r="A126" s="547"/>
      <c r="B126" s="589" t="s">
        <v>99</v>
      </c>
      <c r="C126" s="142"/>
      <c r="D126" s="590" t="s">
        <v>100</v>
      </c>
      <c r="E126" s="591"/>
      <c r="F126" s="590" t="s">
        <v>101</v>
      </c>
      <c r="G126" s="591"/>
      <c r="H126" s="589" t="s">
        <v>102</v>
      </c>
      <c r="I126" s="142"/>
      <c r="J126" s="590" t="s">
        <v>226</v>
      </c>
      <c r="K126" s="591"/>
      <c r="L126" s="142" t="s">
        <v>84</v>
      </c>
      <c r="M126" s="142"/>
      <c r="N126" s="129" t="s">
        <v>223</v>
      </c>
      <c r="O126" s="129"/>
    </row>
    <row r="127" spans="1:19" x14ac:dyDescent="0.25">
      <c r="A127" s="551"/>
      <c r="B127" s="115" t="s">
        <v>103</v>
      </c>
      <c r="C127" s="143" t="s">
        <v>193</v>
      </c>
      <c r="D127" s="115" t="s">
        <v>103</v>
      </c>
      <c r="E127" s="143" t="s">
        <v>193</v>
      </c>
      <c r="F127" s="115" t="s">
        <v>103</v>
      </c>
      <c r="G127" s="143" t="s">
        <v>193</v>
      </c>
      <c r="H127" s="115" t="s">
        <v>103</v>
      </c>
      <c r="I127" s="143" t="s">
        <v>193</v>
      </c>
      <c r="J127" s="115" t="s">
        <v>103</v>
      </c>
      <c r="K127" s="143" t="s">
        <v>193</v>
      </c>
      <c r="L127" s="115" t="s">
        <v>103</v>
      </c>
      <c r="M127" s="143" t="s">
        <v>193</v>
      </c>
    </row>
    <row r="128" spans="1:19" s="556" customFormat="1" ht="18" customHeight="1" x14ac:dyDescent="0.25">
      <c r="A128" s="554" t="s">
        <v>222</v>
      </c>
      <c r="B128" s="146">
        <f>+GETPIVOTDATA(" New Prof avg",'Averages Pivot Table'!$A$3,"Category",1,"Category2","Four-Year")</f>
        <v>119877.00637343113</v>
      </c>
      <c r="C128" s="146"/>
      <c r="D128" s="146">
        <f>+GETPIVOTDATA(" New Asc. avg",'Averages Pivot Table'!$A$3,"Category",1,"Category2","Four-Year")</f>
        <v>82057.452621598015</v>
      </c>
      <c r="E128" s="146"/>
      <c r="F128" s="146">
        <f>+GETPIVOTDATA(" New Ast. avg",'Averages Pivot Table'!$A$3,"Category",1,"Category2","Four-Year")</f>
        <v>71402.615661085569</v>
      </c>
      <c r="G128" s="146"/>
      <c r="H128" s="146">
        <f>+GETPIVOTDATA(" New Inst. avg",'Averages Pivot Table'!$A$3,"Category",1,"Category2","Four-Year")</f>
        <v>47291.321416134851</v>
      </c>
      <c r="I128" s="146"/>
      <c r="J128" s="146">
        <f>+GETPIVOTDATA(" New Undesg. avg",'Averages Pivot Table'!$A$3,"Category",1,"Category2","Four-Year")</f>
        <v>53514.024730565696</v>
      </c>
      <c r="K128" s="146"/>
      <c r="L128" s="146">
        <f>+GETPIVOTDATA(" New All Ranks avg",'Averages Pivot Table'!$A$3,"Category",1,"Category2","Four-Year")</f>
        <v>86699.35395035884</v>
      </c>
      <c r="M128" s="149"/>
      <c r="N128" s="146"/>
      <c r="O128" s="133"/>
      <c r="Q128" s="558"/>
      <c r="R128" s="558"/>
      <c r="S128" s="558"/>
    </row>
    <row r="129" spans="1:15" ht="12.95" customHeight="1" x14ac:dyDescent="0.25">
      <c r="A129" s="132"/>
      <c r="B129" s="123"/>
      <c r="C129" s="150"/>
      <c r="D129" s="123"/>
      <c r="E129" s="150"/>
      <c r="F129" s="123"/>
      <c r="G129" s="150"/>
      <c r="H129" s="123"/>
      <c r="I129" s="150"/>
      <c r="J129" s="123"/>
      <c r="K129" s="150"/>
      <c r="L129" s="123"/>
      <c r="M129" s="150"/>
      <c r="N129" s="123"/>
      <c r="O129" s="134"/>
    </row>
    <row r="130" spans="1:15" ht="12.95" customHeight="1" x14ac:dyDescent="0.25">
      <c r="A130" s="132" t="s">
        <v>205</v>
      </c>
      <c r="B130" s="130">
        <f>+GETPIVOTDATA(" New Prof avg",'Averages Pivot Table'!$A$3,"State","AL","Category",1,"Category2","Four-Year")</f>
        <v>119098.44834182548</v>
      </c>
      <c r="C130" s="118">
        <f>IF(B130&gt;0,(RANK(B130,B$130:B$148)),0)</f>
        <v>6</v>
      </c>
      <c r="D130" s="130">
        <f>+GETPIVOTDATA(" New Asc. avg",'Averages Pivot Table'!$A$3,"State","AL","Category",1,"Category2","Four-Year")</f>
        <v>82589.617035010946</v>
      </c>
      <c r="E130" s="118">
        <f>IF(D130&gt;0,(RANK(D130,D$130:D$148)),0)</f>
        <v>6</v>
      </c>
      <c r="F130" s="130">
        <f>+GETPIVOTDATA(" New Ast. avg",'Averages Pivot Table'!$A$3,"State","AL","Category",1,"Category2","Four-Year")</f>
        <v>67317.26566854566</v>
      </c>
      <c r="G130" s="118">
        <f t="shared" ref="G130:G148" si="7">IF(F130&gt;0,(RANK(F130,F$130:F$148)),0)</f>
        <v>12</v>
      </c>
      <c r="H130" s="130">
        <f>+GETPIVOTDATA(" New Inst. avg",'Averages Pivot Table'!$A$3,"State","AL","Category",1,"Category2","Four-Year")</f>
        <v>45847.154641134744</v>
      </c>
      <c r="I130" s="118">
        <f t="shared" ref="I130:I148" si="8">IF(H130&gt;0,(RANK(H130,H$130:H$148)),0)</f>
        <v>8</v>
      </c>
      <c r="J130" s="130">
        <f>+GETPIVOTDATA(" New Undesg. avg",'Averages Pivot Table'!$A$3,"State","AL","Category",1,"Category2","Four-Year")</f>
        <v>64732.516752000003</v>
      </c>
      <c r="K130" s="118">
        <f t="shared" ref="K130:K148" si="9">IF(J130&gt;0,(RANK(J130,J$130:J$148)),0)</f>
        <v>1</v>
      </c>
      <c r="L130" s="130">
        <f>+GETPIVOTDATA(" New All Ranks avg",'Averages Pivot Table'!$A$3,"State","AL","Category",1,"Category2","Four-Year")</f>
        <v>84704.293575723961</v>
      </c>
      <c r="M130" s="118">
        <f t="shared" ref="M130:M148" si="10">IF(L130&gt;0,(RANK(L130,L$130:L$148)),0)</f>
        <v>6</v>
      </c>
      <c r="N130" s="130"/>
      <c r="O130" s="135"/>
    </row>
    <row r="131" spans="1:15" ht="12.95" customHeight="1" x14ac:dyDescent="0.25">
      <c r="A131" s="132" t="s">
        <v>206</v>
      </c>
      <c r="B131" s="130">
        <f>+GETPIVOTDATA(" New Prof avg",'Averages Pivot Table'!$A$3,"State","AR","Category",1,"Category2","Four-Year")</f>
        <v>107392.77342225895</v>
      </c>
      <c r="C131" s="118">
        <f t="shared" ref="C131:E148" si="11">IF(B131&gt;0,(RANK(B131,B$130:B$148)),0)</f>
        <v>14</v>
      </c>
      <c r="D131" s="130">
        <f>+GETPIVOTDATA(" New Asc. avg",'Averages Pivot Table'!$A$3,"State","AR","Category",1,"Category2","Four-Year")</f>
        <v>75285.429904336459</v>
      </c>
      <c r="E131" s="118">
        <f t="shared" si="11"/>
        <v>14</v>
      </c>
      <c r="F131" s="130">
        <f>+GETPIVOTDATA(" New Ast. avg",'Averages Pivot Table'!$A$3,"State","AR","Category",1,"Category2","Four-Year")</f>
        <v>75060.629452371271</v>
      </c>
      <c r="G131" s="118">
        <f t="shared" si="7"/>
        <v>4</v>
      </c>
      <c r="H131" s="130">
        <f>+GETPIVOTDATA(" New Inst. avg",'Averages Pivot Table'!$A$3,"State","AR","Category",1,"Category2","Four-Year")</f>
        <v>43282.166256179778</v>
      </c>
      <c r="I131" s="118">
        <f t="shared" si="8"/>
        <v>14</v>
      </c>
      <c r="J131" s="130">
        <f>+GETPIVOTDATA(" New Undesg. avg",'Averages Pivot Table'!$A$3,"State","AR","Category",1,"Category2","Four-Year")</f>
        <v>46442.943563890411</v>
      </c>
      <c r="K131" s="118">
        <f t="shared" si="9"/>
        <v>11</v>
      </c>
      <c r="L131" s="130">
        <f>+GETPIVOTDATA(" New All Ranks avg",'Averages Pivot Table'!$A$3,"State","AR","Category",1,"Category2","Four-Year")</f>
        <v>79119.94406444022</v>
      </c>
      <c r="M131" s="118">
        <f t="shared" si="10"/>
        <v>15</v>
      </c>
      <c r="N131" s="130"/>
      <c r="O131" s="135"/>
    </row>
    <row r="132" spans="1:15" ht="12.95" customHeight="1" x14ac:dyDescent="0.25">
      <c r="A132" s="132" t="s">
        <v>221</v>
      </c>
      <c r="B132" s="130">
        <f>+GETPIVOTDATA(" New Prof avg",'Averages Pivot Table'!$A$3,"State","DE","Category",1,"Category2","Four-Year")</f>
        <v>138499.36230481011</v>
      </c>
      <c r="C132" s="118">
        <f t="shared" si="11"/>
        <v>1</v>
      </c>
      <c r="D132" s="130">
        <f>+GETPIVOTDATA(" New Asc. avg",'Averages Pivot Table'!$A$3,"State","DE","Category",1,"Category2","Four-Year")</f>
        <v>94490.913574850303</v>
      </c>
      <c r="E132" s="118">
        <f t="shared" si="11"/>
        <v>2</v>
      </c>
      <c r="F132" s="130">
        <f>+GETPIVOTDATA(" New Ast. avg",'Averages Pivot Table'!$A$3,"State","DE","Category",1,"Category2","Four-Year")</f>
        <v>81494.630850000001</v>
      </c>
      <c r="G132" s="118">
        <f t="shared" si="7"/>
        <v>2</v>
      </c>
      <c r="H132" s="130">
        <f>+GETPIVOTDATA(" New Inst. avg",'Averages Pivot Table'!$A$3,"State","DE","Category",1,"Category2","Four-Year")</f>
        <v>64440.168399999995</v>
      </c>
      <c r="I132" s="118">
        <f t="shared" si="8"/>
        <v>1</v>
      </c>
      <c r="J132" s="130">
        <f>+GETPIVOTDATA(" New Undesg. avg",'Averages Pivot Table'!$A$3,"State","DE","Category",1,"Category2","Four-Year")</f>
        <v>0</v>
      </c>
      <c r="K132" s="118">
        <f t="shared" si="9"/>
        <v>0</v>
      </c>
      <c r="L132" s="130">
        <f>+GETPIVOTDATA(" New All Ranks avg",'Averages Pivot Table'!$A$3,"State","DE","Category",1,"Category2","Four-Year")</f>
        <v>103703.35957223696</v>
      </c>
      <c r="M132" s="118">
        <f t="shared" si="10"/>
        <v>2</v>
      </c>
      <c r="N132" s="130"/>
      <c r="O132" s="135"/>
    </row>
    <row r="133" spans="1:15" ht="12.95" customHeight="1" x14ac:dyDescent="0.25">
      <c r="A133" s="132" t="s">
        <v>207</v>
      </c>
      <c r="B133" s="130">
        <f>+GETPIVOTDATA(" New Prof avg",'Averages Pivot Table'!$A$3,"State","FL","Category",1,"Category2","Four-Year")</f>
        <v>115314.97207998147</v>
      </c>
      <c r="C133" s="118">
        <f t="shared" si="11"/>
        <v>7</v>
      </c>
      <c r="D133" s="130">
        <f>+GETPIVOTDATA(" New Asc. avg",'Averages Pivot Table'!$A$3,"State","FL","Category",1,"Category2","Four-Year")</f>
        <v>79726.595865504816</v>
      </c>
      <c r="E133" s="118">
        <f t="shared" si="11"/>
        <v>9</v>
      </c>
      <c r="F133" s="130">
        <f>+GETPIVOTDATA(" New Ast. avg",'Averages Pivot Table'!$A$3,"State","FL","Category",1,"Category2","Four-Year")</f>
        <v>70250.113207504604</v>
      </c>
      <c r="G133" s="118">
        <f t="shared" si="7"/>
        <v>9</v>
      </c>
      <c r="H133" s="130">
        <f>+GETPIVOTDATA(" New Inst. avg",'Averages Pivot Table'!$A$3,"State","FL","Category",1,"Category2","Four-Year")</f>
        <v>49392.514852269567</v>
      </c>
      <c r="I133" s="118">
        <f t="shared" si="8"/>
        <v>7</v>
      </c>
      <c r="J133" s="130">
        <f>+GETPIVOTDATA(" New Undesg. avg",'Averages Pivot Table'!$A$3,"State","FL","Category",1,"Category2","Four-Year")</f>
        <v>56330.810296491232</v>
      </c>
      <c r="K133" s="118">
        <f t="shared" si="9"/>
        <v>5</v>
      </c>
      <c r="L133" s="130">
        <f>+GETPIVOTDATA(" New All Ranks avg",'Averages Pivot Table'!$A$3,"State","FL","Category",1,"Category2","Four-Year")</f>
        <v>84280.965103844472</v>
      </c>
      <c r="M133" s="118">
        <f t="shared" si="10"/>
        <v>7</v>
      </c>
      <c r="N133" s="130"/>
      <c r="O133" s="135"/>
    </row>
    <row r="134" spans="1:15" ht="12.95" customHeight="1" x14ac:dyDescent="0.25">
      <c r="A134" s="132"/>
      <c r="B134" s="130"/>
      <c r="C134" s="118">
        <f t="shared" si="11"/>
        <v>0</v>
      </c>
      <c r="D134" s="130"/>
      <c r="E134" s="118">
        <f t="shared" si="11"/>
        <v>0</v>
      </c>
      <c r="F134" s="130"/>
      <c r="G134" s="118">
        <f t="shared" si="7"/>
        <v>0</v>
      </c>
      <c r="H134" s="130"/>
      <c r="I134" s="118">
        <f t="shared" si="8"/>
        <v>0</v>
      </c>
      <c r="J134" s="130"/>
      <c r="K134" s="118">
        <f t="shared" si="9"/>
        <v>0</v>
      </c>
      <c r="L134" s="130"/>
      <c r="M134" s="118">
        <f t="shared" si="10"/>
        <v>0</v>
      </c>
      <c r="N134" s="130"/>
      <c r="O134" s="135"/>
    </row>
    <row r="135" spans="1:15" ht="12.95" customHeight="1" x14ac:dyDescent="0.25">
      <c r="A135" s="132" t="s">
        <v>208</v>
      </c>
      <c r="B135" s="130">
        <f>+GETPIVOTDATA(" New Prof avg",'Averages Pivot Table'!$A$3,"State","GA","Category",1,"Category2","Four-Year")</f>
        <v>110687.1774558598</v>
      </c>
      <c r="C135" s="118">
        <f t="shared" si="11"/>
        <v>11</v>
      </c>
      <c r="D135" s="130">
        <f>+GETPIVOTDATA(" New Asc. avg",'Averages Pivot Table'!$A$3,"State","GA","Category",1,"Category2","Four-Year")</f>
        <v>78719.641196172248</v>
      </c>
      <c r="E135" s="118">
        <f t="shared" si="11"/>
        <v>12</v>
      </c>
      <c r="F135" s="130">
        <f>+GETPIVOTDATA(" New Ast. avg",'Averages Pivot Table'!$A$3,"State","GA","Category",1,"Category2","Four-Year")</f>
        <v>72696.47593032787</v>
      </c>
      <c r="G135" s="118">
        <f t="shared" si="7"/>
        <v>7</v>
      </c>
      <c r="H135" s="130">
        <f>+GETPIVOTDATA(" New Inst. avg",'Averages Pivot Table'!$A$3,"State","GA","Category",1,"Category2","Four-Year")</f>
        <v>53057.727207619049</v>
      </c>
      <c r="I135" s="118">
        <f t="shared" si="8"/>
        <v>4</v>
      </c>
      <c r="J135" s="130">
        <f>+GETPIVOTDATA(" New Undesg. avg",'Averages Pivot Table'!$A$3,"State","GA","Category",1,"Category2","Four-Year")</f>
        <v>51683.89883489933</v>
      </c>
      <c r="K135" s="118">
        <f t="shared" si="9"/>
        <v>9</v>
      </c>
      <c r="L135" s="130">
        <f>+GETPIVOTDATA(" New All Ranks avg",'Averages Pivot Table'!$A$3,"State","GA","Category",1,"Category2","Four-Year")</f>
        <v>83583.112568585304</v>
      </c>
      <c r="M135" s="118">
        <f t="shared" si="10"/>
        <v>8</v>
      </c>
      <c r="N135" s="130"/>
      <c r="O135" s="135"/>
    </row>
    <row r="136" spans="1:15" ht="12.95" customHeight="1" x14ac:dyDescent="0.25">
      <c r="A136" s="132" t="s">
        <v>209</v>
      </c>
      <c r="B136" s="130">
        <f>+GETPIVOTDATA(" New Prof avg",'Averages Pivot Table'!$A$3,"State","KY","Category",1,"Category2","Four-Year")</f>
        <v>106855.40418501293</v>
      </c>
      <c r="C136" s="118">
        <f t="shared" si="11"/>
        <v>15</v>
      </c>
      <c r="D136" s="130">
        <f>+GETPIVOTDATA(" New Asc. avg",'Averages Pivot Table'!$A$3,"State","KY","Category",1,"Category2","Four-Year")</f>
        <v>78228.740860098522</v>
      </c>
      <c r="E136" s="118">
        <f t="shared" si="11"/>
        <v>13</v>
      </c>
      <c r="F136" s="130">
        <f>+GETPIVOTDATA(" New Ast. avg",'Averages Pivot Table'!$A$3,"State","KY","Category",1,"Category2","Four-Year")</f>
        <v>66575.857431932774</v>
      </c>
      <c r="G136" s="118">
        <f t="shared" si="7"/>
        <v>13</v>
      </c>
      <c r="H136" s="130">
        <f>+GETPIVOTDATA(" New Inst. avg",'Averages Pivot Table'!$A$3,"State","KY","Category",1,"Category2","Four-Year")</f>
        <v>51386.941247058821</v>
      </c>
      <c r="I136" s="118">
        <f t="shared" si="8"/>
        <v>5</v>
      </c>
      <c r="J136" s="130">
        <f>+GETPIVOTDATA(" New Undesg. avg",'Averages Pivot Table'!$A$3,"State","KY","Category",1,"Category2","Four-Year")</f>
        <v>44669.691423204422</v>
      </c>
      <c r="K136" s="118">
        <f t="shared" si="9"/>
        <v>12</v>
      </c>
      <c r="L136" s="130">
        <f>+GETPIVOTDATA(" New All Ranks avg",'Averages Pivot Table'!$A$3,"State","KY","Category",1,"Category2","Four-Year")</f>
        <v>81064.44199460416</v>
      </c>
      <c r="M136" s="118">
        <f t="shared" si="10"/>
        <v>11</v>
      </c>
      <c r="N136" s="130"/>
      <c r="O136" s="135"/>
    </row>
    <row r="137" spans="1:15" ht="12.95" customHeight="1" x14ac:dyDescent="0.25">
      <c r="A137" s="132" t="s">
        <v>210</v>
      </c>
      <c r="B137" s="130">
        <f>+GETPIVOTDATA(" New Prof avg",'Averages Pivot Table'!$A$3,"State","LA","Category",1,"Category2","Four-Year")</f>
        <v>109545.88376470588</v>
      </c>
      <c r="C137" s="118">
        <f t="shared" si="11"/>
        <v>12</v>
      </c>
      <c r="D137" s="130">
        <f>+GETPIVOTDATA(" New Asc. avg",'Averages Pivot Table'!$A$3,"State","LA","Category",1,"Category2","Four-Year")</f>
        <v>78856.801085234896</v>
      </c>
      <c r="E137" s="118">
        <f t="shared" si="11"/>
        <v>11</v>
      </c>
      <c r="F137" s="130">
        <f>+GETPIVOTDATA(" New Ast. avg",'Averages Pivot Table'!$A$3,"State","LA","Category",1,"Category2","Four-Year")</f>
        <v>69201.331504761911</v>
      </c>
      <c r="G137" s="118">
        <f t="shared" si="7"/>
        <v>10</v>
      </c>
      <c r="H137" s="130">
        <f>+GETPIVOTDATA(" New Inst. avg",'Averages Pivot Table'!$A$3,"State","LA","Category",1,"Category2","Four-Year")</f>
        <v>44098.75939259259</v>
      </c>
      <c r="I137" s="118">
        <f t="shared" si="8"/>
        <v>12</v>
      </c>
      <c r="J137" s="130">
        <f>+GETPIVOTDATA(" New Undesg. avg",'Averages Pivot Table'!$A$3,"State","LA","Category",1,"Category2","Four-Year")</f>
        <v>60988.702821052633</v>
      </c>
      <c r="K137" s="118">
        <f t="shared" si="9"/>
        <v>3</v>
      </c>
      <c r="L137" s="130">
        <f>+GETPIVOTDATA(" New All Ranks avg",'Averages Pivot Table'!$A$3,"State","LA","Category",1,"Category2","Four-Year")</f>
        <v>81583.390838250416</v>
      </c>
      <c r="M137" s="118">
        <f t="shared" si="10"/>
        <v>10</v>
      </c>
      <c r="N137" s="130"/>
      <c r="O137" s="135"/>
    </row>
    <row r="138" spans="1:15" ht="12.95" customHeight="1" x14ac:dyDescent="0.25">
      <c r="A138" s="132" t="s">
        <v>211</v>
      </c>
      <c r="B138" s="130">
        <f>+GETPIVOTDATA(" New Prof avg",'Averages Pivot Table'!$A$3,"State","MD","Category",1,"Category2","Four-Year")</f>
        <v>136359.43085451689</v>
      </c>
      <c r="C138" s="118">
        <f t="shared" si="11"/>
        <v>2</v>
      </c>
      <c r="D138" s="130">
        <f>+GETPIVOTDATA(" New Asc. avg",'Averages Pivot Table'!$A$3,"State","MD","Category",1,"Category2","Four-Year")</f>
        <v>95723.469797335682</v>
      </c>
      <c r="E138" s="118">
        <f t="shared" si="11"/>
        <v>1</v>
      </c>
      <c r="F138" s="130">
        <f>+GETPIVOTDATA(" New Ast. avg",'Averages Pivot Table'!$A$3,"State","MD","Category",1,"Category2","Four-Year")</f>
        <v>83874.672253797471</v>
      </c>
      <c r="G138" s="118">
        <f t="shared" si="7"/>
        <v>1</v>
      </c>
      <c r="H138" s="130">
        <f>+GETPIVOTDATA(" New Inst. avg",'Averages Pivot Table'!$A$3,"State","MD","Category",1,"Category2","Four-Year")</f>
        <v>60098.437980300012</v>
      </c>
      <c r="I138" s="118">
        <f t="shared" si="8"/>
        <v>3</v>
      </c>
      <c r="J138" s="130">
        <f>+GETPIVOTDATA(" New Undesg. avg",'Averages Pivot Table'!$A$3,"State","MD","Category",1,"Category2","Four-Year")</f>
        <v>61578.683409091536</v>
      </c>
      <c r="K138" s="118">
        <f t="shared" si="9"/>
        <v>2</v>
      </c>
      <c r="L138" s="130">
        <f>+GETPIVOTDATA(" New All Ranks avg",'Averages Pivot Table'!$A$3,"State","MD","Category",1,"Category2","Four-Year")</f>
        <v>103906.00070144964</v>
      </c>
      <c r="M138" s="118">
        <f t="shared" si="10"/>
        <v>1</v>
      </c>
      <c r="N138" s="130"/>
      <c r="O138" s="135"/>
    </row>
    <row r="139" spans="1:15" ht="12.95" customHeight="1" x14ac:dyDescent="0.25">
      <c r="A139" s="132"/>
      <c r="B139" s="130"/>
      <c r="C139" s="118">
        <f t="shared" si="11"/>
        <v>0</v>
      </c>
      <c r="D139" s="130"/>
      <c r="E139" s="118">
        <f t="shared" si="11"/>
        <v>0</v>
      </c>
      <c r="F139" s="130"/>
      <c r="G139" s="118">
        <f t="shared" si="7"/>
        <v>0</v>
      </c>
      <c r="H139" s="130"/>
      <c r="I139" s="118">
        <f t="shared" si="8"/>
        <v>0</v>
      </c>
      <c r="J139" s="130"/>
      <c r="K139" s="118">
        <f t="shared" si="9"/>
        <v>0</v>
      </c>
      <c r="L139" s="130"/>
      <c r="M139" s="118">
        <f t="shared" si="10"/>
        <v>0</v>
      </c>
      <c r="N139" s="130"/>
      <c r="O139" s="135"/>
    </row>
    <row r="140" spans="1:15" ht="12.95" customHeight="1" x14ac:dyDescent="0.25">
      <c r="A140" s="132" t="s">
        <v>212</v>
      </c>
      <c r="B140" s="130">
        <f>+GETPIVOTDATA(" New Prof avg",'Averages Pivot Table'!$A$3,"State","MS","Category",1,"Category2","Four-Year")</f>
        <v>93000.655335195523</v>
      </c>
      <c r="C140" s="118">
        <f t="shared" si="11"/>
        <v>16</v>
      </c>
      <c r="D140" s="130">
        <f>+GETPIVOTDATA(" New Asc. avg",'Averages Pivot Table'!$A$3,"State","MS","Category",1,"Category2","Four-Year")</f>
        <v>69279.185369306942</v>
      </c>
      <c r="E140" s="118">
        <f t="shared" si="11"/>
        <v>16</v>
      </c>
      <c r="F140" s="130">
        <f>+GETPIVOTDATA(" New Ast. avg",'Averages Pivot Table'!$A$3,"State","MS","Category",1,"Category2","Four-Year")</f>
        <v>61201.809667510548</v>
      </c>
      <c r="G140" s="118">
        <f t="shared" si="7"/>
        <v>16</v>
      </c>
      <c r="H140" s="130">
        <f>+GETPIVOTDATA(" New Inst. avg",'Averages Pivot Table'!$A$3,"State","MS","Category",1,"Category2","Four-Year")</f>
        <v>44457.144155160146</v>
      </c>
      <c r="I140" s="118">
        <f t="shared" si="8"/>
        <v>11</v>
      </c>
      <c r="J140" s="130">
        <f>+GETPIVOTDATA(" New Undesg. avg",'Averages Pivot Table'!$A$3,"State","MS","Category",1,"Category2","Four-Year")</f>
        <v>32069.71263870968</v>
      </c>
      <c r="K140" s="118">
        <f t="shared" si="9"/>
        <v>14</v>
      </c>
      <c r="L140" s="130">
        <f>+GETPIVOTDATA(" New All Ranks avg",'Averages Pivot Table'!$A$3,"State","MS","Category",1,"Category2","Four-Year")</f>
        <v>66354.314738948699</v>
      </c>
      <c r="M140" s="118">
        <f t="shared" si="10"/>
        <v>16</v>
      </c>
      <c r="N140" s="130"/>
      <c r="O140" s="135"/>
    </row>
    <row r="141" spans="1:15" ht="12.95" customHeight="1" x14ac:dyDescent="0.25">
      <c r="A141" s="132" t="s">
        <v>213</v>
      </c>
      <c r="B141" s="130">
        <f>+GETPIVOTDATA(" New Prof avg",'Averages Pivot Table'!$A$3,"State","NC","Category",1,"Category2","Four-Year")</f>
        <v>127133.87102506812</v>
      </c>
      <c r="C141" s="118">
        <f t="shared" si="11"/>
        <v>5</v>
      </c>
      <c r="D141" s="130">
        <f>+GETPIVOTDATA(" New Asc. avg",'Averages Pivot Table'!$A$3,"State","NC","Category",1,"Category2","Four-Year")</f>
        <v>85553.95953886793</v>
      </c>
      <c r="E141" s="118">
        <f t="shared" si="11"/>
        <v>4</v>
      </c>
      <c r="F141" s="130">
        <f>+GETPIVOTDATA(" New Ast. avg",'Averages Pivot Table'!$A$3,"State","NC","Category",1,"Category2","Four-Year")</f>
        <v>73782.979379010867</v>
      </c>
      <c r="G141" s="118">
        <f t="shared" si="7"/>
        <v>5</v>
      </c>
      <c r="H141" s="130">
        <f>+GETPIVOTDATA(" New Inst. avg",'Averages Pivot Table'!$A$3,"State","NC","Category",1,"Category2","Four-Year")</f>
        <v>60877.826981818187</v>
      </c>
      <c r="I141" s="118">
        <f t="shared" si="8"/>
        <v>2</v>
      </c>
      <c r="J141" s="130">
        <f>+GETPIVOTDATA(" New Undesg. avg",'Averages Pivot Table'!$A$3,"State","NC","Category",1,"Category2","Four-Year")</f>
        <v>59133.344506335408</v>
      </c>
      <c r="K141" s="118">
        <f t="shared" si="9"/>
        <v>4</v>
      </c>
      <c r="L141" s="130">
        <f>+GETPIVOTDATA(" New All Ranks avg",'Averages Pivot Table'!$A$3,"State","NC","Category",1,"Category2","Four-Year")</f>
        <v>92267.286799810783</v>
      </c>
      <c r="M141" s="118">
        <f t="shared" si="10"/>
        <v>4</v>
      </c>
      <c r="N141" s="130"/>
      <c r="O141" s="135"/>
    </row>
    <row r="142" spans="1:15" ht="12.95" customHeight="1" x14ac:dyDescent="0.25">
      <c r="A142" s="132" t="s">
        <v>214</v>
      </c>
      <c r="B142" s="130">
        <f>+GETPIVOTDATA(" New Prof avg",'Averages Pivot Table'!$A$3,"State","OK","Category",1,"Category2","Four-Year")</f>
        <v>111357.72922559777</v>
      </c>
      <c r="C142" s="118">
        <f t="shared" si="11"/>
        <v>10</v>
      </c>
      <c r="D142" s="130">
        <f>+GETPIVOTDATA(" New Asc. avg",'Averages Pivot Table'!$A$3,"State","OK","Category",1,"Category2","Four-Year")</f>
        <v>73214.287544347826</v>
      </c>
      <c r="E142" s="118">
        <f t="shared" si="11"/>
        <v>15</v>
      </c>
      <c r="F142" s="130">
        <f>+GETPIVOTDATA(" New Ast. avg",'Averages Pivot Table'!$A$3,"State","OK","Category",1,"Category2","Four-Year")</f>
        <v>65673.806916049391</v>
      </c>
      <c r="G142" s="118">
        <f t="shared" si="7"/>
        <v>14</v>
      </c>
      <c r="H142" s="130">
        <f>+GETPIVOTDATA(" New Inst. avg",'Averages Pivot Table'!$A$3,"State","OK","Category",1,"Category2","Four-Year")</f>
        <v>42052.19593055555</v>
      </c>
      <c r="I142" s="118">
        <f t="shared" si="8"/>
        <v>16</v>
      </c>
      <c r="J142" s="130">
        <f>+GETPIVOTDATA(" New Undesg. avg",'Averages Pivot Table'!$A$3,"State","OK","Category",1,"Category2","Four-Year")</f>
        <v>0</v>
      </c>
      <c r="K142" s="118">
        <f t="shared" si="9"/>
        <v>0</v>
      </c>
      <c r="L142" s="130">
        <f>+GETPIVOTDATA(" New All Ranks avg",'Averages Pivot Table'!$A$3,"State","OK","Category",1,"Category2","Four-Year")</f>
        <v>80243.720100291262</v>
      </c>
      <c r="M142" s="118">
        <f t="shared" si="10"/>
        <v>13</v>
      </c>
      <c r="N142" s="130"/>
      <c r="O142" s="135"/>
    </row>
    <row r="143" spans="1:15" ht="12.95" customHeight="1" x14ac:dyDescent="0.25">
      <c r="A143" s="132" t="s">
        <v>215</v>
      </c>
      <c r="B143" s="130">
        <f>+GETPIVOTDATA(" New Prof avg",'Averages Pivot Table'!$A$3,"State","SC","Category",1,"Category2","Four-Year")</f>
        <v>112266.73737935105</v>
      </c>
      <c r="C143" s="118">
        <f t="shared" si="11"/>
        <v>8</v>
      </c>
      <c r="D143" s="130">
        <f>+GETPIVOTDATA(" New Asc. avg",'Averages Pivot Table'!$A$3,"State","SC","Category",1,"Category2","Four-Year")</f>
        <v>79888.800409570948</v>
      </c>
      <c r="E143" s="118">
        <f t="shared" si="11"/>
        <v>8</v>
      </c>
      <c r="F143" s="130">
        <f>+GETPIVOTDATA(" New Ast. avg",'Averages Pivot Table'!$A$3,"State","SC","Category",1,"Category2","Four-Year")</f>
        <v>71297.231686062718</v>
      </c>
      <c r="G143" s="118">
        <f t="shared" si="7"/>
        <v>8</v>
      </c>
      <c r="H143" s="130">
        <f>+GETPIVOTDATA(" New Inst. avg",'Averages Pivot Table'!$A$3,"State","SC","Category",1,"Category2","Four-Year")</f>
        <v>45445.622308280261</v>
      </c>
      <c r="I143" s="118">
        <f t="shared" si="8"/>
        <v>10</v>
      </c>
      <c r="J143" s="130">
        <f>+GETPIVOTDATA(" New Undesg. avg",'Averages Pivot Table'!$A$3,"State","SC","Category",1,"Category2","Four-Year")</f>
        <v>48402.784864035093</v>
      </c>
      <c r="K143" s="118">
        <f t="shared" si="9"/>
        <v>10</v>
      </c>
      <c r="L143" s="130">
        <f>+GETPIVOTDATA(" New All Ranks avg",'Averages Pivot Table'!$A$3,"State","SC","Category",1,"Category2","Four-Year")</f>
        <v>81865.746603031657</v>
      </c>
      <c r="M143" s="118">
        <f t="shared" si="10"/>
        <v>9</v>
      </c>
      <c r="N143" s="130"/>
      <c r="O143" s="135"/>
    </row>
    <row r="144" spans="1:15" ht="12.95" customHeight="1" x14ac:dyDescent="0.25">
      <c r="A144" s="132"/>
      <c r="B144" s="130"/>
      <c r="C144" s="118">
        <f t="shared" si="11"/>
        <v>0</v>
      </c>
      <c r="D144" s="130"/>
      <c r="E144" s="118">
        <f t="shared" si="11"/>
        <v>0</v>
      </c>
      <c r="F144" s="130"/>
      <c r="G144" s="118">
        <f t="shared" si="7"/>
        <v>0</v>
      </c>
      <c r="H144" s="130"/>
      <c r="I144" s="118">
        <f t="shared" si="8"/>
        <v>0</v>
      </c>
      <c r="J144" s="130"/>
      <c r="K144" s="118">
        <f t="shared" si="9"/>
        <v>0</v>
      </c>
      <c r="L144" s="130"/>
      <c r="M144" s="118">
        <f t="shared" si="10"/>
        <v>0</v>
      </c>
      <c r="N144" s="130"/>
      <c r="O144" s="135"/>
    </row>
    <row r="145" spans="1:19" ht="12.95" customHeight="1" x14ac:dyDescent="0.25">
      <c r="A145" s="132" t="s">
        <v>216</v>
      </c>
      <c r="B145" s="592">
        <f>+GETPIVOTDATA(" New Prof avg",'Averages Pivot Table'!$A$3,"State","TN","Category",1,"Category2","Four-Year")</f>
        <v>111604.11204646464</v>
      </c>
      <c r="C145" s="118">
        <f t="shared" si="11"/>
        <v>9</v>
      </c>
      <c r="D145" s="592">
        <f>+GETPIVOTDATA(" New Asc. avg",'Averages Pivot Table'!$A$3,"State","TN","Category",1,"Category2","Four-Year")</f>
        <v>80193.873473511892</v>
      </c>
      <c r="E145" s="118">
        <f t="shared" si="11"/>
        <v>7</v>
      </c>
      <c r="F145" s="592">
        <f>+GETPIVOTDATA(" New Ast. avg",'Averages Pivot Table'!$A$3,"State","TN","Category",1,"Category2","Four-Year")</f>
        <v>68042.037561921097</v>
      </c>
      <c r="G145" s="118">
        <f t="shared" si="7"/>
        <v>11</v>
      </c>
      <c r="H145" s="592">
        <f>+GETPIVOTDATA(" New Inst. avg",'Averages Pivot Table'!$A$3,"State","TN","Category",1,"Category2","Four-Year")</f>
        <v>45553.229996491231</v>
      </c>
      <c r="I145" s="118">
        <f t="shared" si="8"/>
        <v>9</v>
      </c>
      <c r="J145" s="592">
        <f>+GETPIVOTDATA(" New Undesg. avg",'Averages Pivot Table'!$A$3,"State","TN","Category",1,"Category2","Four-Year")</f>
        <v>42520.002471672349</v>
      </c>
      <c r="K145" s="118">
        <f t="shared" si="9"/>
        <v>13</v>
      </c>
      <c r="L145" s="592">
        <f>+GETPIVOTDATA(" New All Ranks avg",'Averages Pivot Table'!$A$3,"State","TN","Category",1,"Category2","Four-Year")</f>
        <v>80524.576131899652</v>
      </c>
      <c r="M145" s="118">
        <f t="shared" si="10"/>
        <v>12</v>
      </c>
      <c r="N145" s="130"/>
      <c r="O145" s="135"/>
    </row>
    <row r="146" spans="1:19" ht="12.95" customHeight="1" x14ac:dyDescent="0.25">
      <c r="A146" s="132" t="s">
        <v>217</v>
      </c>
      <c r="B146" s="592">
        <f>+GETPIVOTDATA(" New Prof avg",'Averages Pivot Table'!$A$3,"State","TX","Category",1,"Category2","Four-Year")</f>
        <v>127811.111784875</v>
      </c>
      <c r="C146" s="118">
        <f t="shared" si="11"/>
        <v>4</v>
      </c>
      <c r="D146" s="592">
        <f>+GETPIVOTDATA(" New Asc. avg",'Averages Pivot Table'!$A$3,"State","TX","Category",1,"Category2","Four-Year")</f>
        <v>84514.93294431438</v>
      </c>
      <c r="E146" s="118">
        <f t="shared" si="11"/>
        <v>5</v>
      </c>
      <c r="F146" s="592">
        <f>+GETPIVOTDATA(" New Ast. avg",'Averages Pivot Table'!$A$3,"State","TX","Category",1,"Category2","Four-Year")</f>
        <v>76152.094146173593</v>
      </c>
      <c r="G146" s="118">
        <f t="shared" si="7"/>
        <v>3</v>
      </c>
      <c r="H146" s="592">
        <f>+GETPIVOTDATA(" New Inst. avg",'Averages Pivot Table'!$A$3,"State","TX","Category",1,"Category2","Four-Year")</f>
        <v>43855.794932679739</v>
      </c>
      <c r="I146" s="118">
        <f t="shared" si="8"/>
        <v>13</v>
      </c>
      <c r="J146" s="592">
        <f>+GETPIVOTDATA(" New Undesg. avg",'Averages Pivot Table'!$A$3,"State","TX","Category",1,"Category2","Four-Year")</f>
        <v>54028.73784606978</v>
      </c>
      <c r="K146" s="118">
        <f t="shared" si="9"/>
        <v>7</v>
      </c>
      <c r="L146" s="592">
        <f>+GETPIVOTDATA(" New All Ranks avg",'Averages Pivot Table'!$A$3,"State","TX","Category",1,"Category2","Four-Year")</f>
        <v>90197.027768754284</v>
      </c>
      <c r="M146" s="118">
        <f t="shared" si="10"/>
        <v>5</v>
      </c>
      <c r="N146" s="130"/>
      <c r="O146" s="135"/>
    </row>
    <row r="147" spans="1:19" ht="12.95" customHeight="1" x14ac:dyDescent="0.25">
      <c r="A147" s="132" t="s">
        <v>218</v>
      </c>
      <c r="B147" s="592">
        <f>+GETPIVOTDATA(" New Prof avg",'Averages Pivot Table'!$A$3,"State","VA","Category",1,"Category2","Four-Year")</f>
        <v>128681.48684847304</v>
      </c>
      <c r="C147" s="118">
        <f t="shared" si="11"/>
        <v>3</v>
      </c>
      <c r="D147" s="592">
        <f>+GETPIVOTDATA(" New Asc. avg",'Averages Pivot Table'!$A$3,"State","VA","Category",1,"Category2","Four-Year")</f>
        <v>86108.45432008995</v>
      </c>
      <c r="E147" s="118">
        <f t="shared" si="11"/>
        <v>3</v>
      </c>
      <c r="F147" s="592">
        <f>+GETPIVOTDATA(" New Ast. avg",'Averages Pivot Table'!$A$3,"State","VA","Category",1,"Category2","Four-Year")</f>
        <v>72696.859991756617</v>
      </c>
      <c r="G147" s="118">
        <f t="shared" si="7"/>
        <v>6</v>
      </c>
      <c r="H147" s="592">
        <f>+GETPIVOTDATA(" New Inst. avg",'Averages Pivot Table'!$A$3,"State","VA","Category",1,"Category2","Four-Year")</f>
        <v>50139.254377483448</v>
      </c>
      <c r="I147" s="118">
        <f t="shared" si="8"/>
        <v>6</v>
      </c>
      <c r="J147" s="592">
        <f>+GETPIVOTDATA(" New Undesg. avg",'Averages Pivot Table'!$A$3,"State","VA","Category",1,"Category2","Four-Year")</f>
        <v>52403.422524369751</v>
      </c>
      <c r="K147" s="118">
        <f t="shared" si="9"/>
        <v>8</v>
      </c>
      <c r="L147" s="592">
        <f>+GETPIVOTDATA(" New All Ranks avg",'Averages Pivot Table'!$A$3,"State","VA","Category",1,"Category2","Four-Year")</f>
        <v>93547.305062545143</v>
      </c>
      <c r="M147" s="118">
        <f t="shared" si="10"/>
        <v>3</v>
      </c>
      <c r="N147" s="130"/>
      <c r="O147" s="135"/>
    </row>
    <row r="148" spans="1:19" ht="12.95" customHeight="1" x14ac:dyDescent="0.25">
      <c r="A148" s="6" t="s">
        <v>219</v>
      </c>
      <c r="B148" s="593">
        <f>+GETPIVOTDATA(" New Prof avg",'Averages Pivot Table'!$A$3,"State","WV","Category",1,"Category2","Four-Year")</f>
        <v>107787.63762808219</v>
      </c>
      <c r="C148" s="119">
        <f t="shared" si="11"/>
        <v>13</v>
      </c>
      <c r="D148" s="593">
        <f>+GETPIVOTDATA(" New Asc. avg",'Averages Pivot Table'!$A$3,"State","WV","Category",1,"Category2","Four-Year")</f>
        <v>79308.306935877859</v>
      </c>
      <c r="E148" s="119">
        <f t="shared" si="11"/>
        <v>10</v>
      </c>
      <c r="F148" s="593">
        <f>+GETPIVOTDATA(" New Ast. avg",'Averages Pivot Table'!$A$3,"State","WV","Category",1,"Category2","Four-Year")</f>
        <v>64117.587578333332</v>
      </c>
      <c r="G148" s="119">
        <f t="shared" si="7"/>
        <v>15</v>
      </c>
      <c r="H148" s="593">
        <f>+GETPIVOTDATA(" New Inst. avg",'Averages Pivot Table'!$A$3,"State","WV","Category",1,"Category2","Four-Year")</f>
        <v>42168.490415686276</v>
      </c>
      <c r="I148" s="119">
        <f t="shared" si="8"/>
        <v>15</v>
      </c>
      <c r="J148" s="593">
        <f>+GETPIVOTDATA(" New Undesg. avg",'Averages Pivot Table'!$A$3,"State","WV","Category",1,"Category2","Four-Year")</f>
        <v>54684.353824000005</v>
      </c>
      <c r="K148" s="119">
        <f t="shared" si="9"/>
        <v>6</v>
      </c>
      <c r="L148" s="593">
        <f>+GETPIVOTDATA(" New All Ranks avg",'Averages Pivot Table'!$A$3,"State","WV","Category",1,"Category2","Four-Year")</f>
        <v>79649.292918787862</v>
      </c>
      <c r="M148" s="119">
        <f t="shared" si="10"/>
        <v>14</v>
      </c>
      <c r="N148" s="130"/>
      <c r="O148" s="130"/>
    </row>
    <row r="149" spans="1:19" ht="30" customHeight="1" x14ac:dyDescent="0.25">
      <c r="A149" s="668" t="s">
        <v>91</v>
      </c>
      <c r="B149" s="673"/>
      <c r="C149" s="673"/>
      <c r="D149" s="673"/>
      <c r="E149" s="673"/>
      <c r="F149" s="673"/>
      <c r="G149" s="673"/>
      <c r="H149" s="673"/>
      <c r="I149" s="673"/>
      <c r="J149" s="673"/>
      <c r="K149" s="673"/>
      <c r="L149" s="673"/>
      <c r="M149" s="673"/>
      <c r="N149" s="132"/>
      <c r="O149" s="132"/>
    </row>
    <row r="150" spans="1:19" x14ac:dyDescent="0.25">
      <c r="M150" s="157" t="s">
        <v>1083</v>
      </c>
      <c r="O150" s="131"/>
    </row>
    <row r="151" spans="1:19" ht="18" x14ac:dyDescent="0.25">
      <c r="A151" s="544" t="s">
        <v>264</v>
      </c>
      <c r="B151" s="544"/>
      <c r="C151" s="544"/>
      <c r="D151" s="544"/>
      <c r="E151" s="544"/>
      <c r="F151" s="544"/>
      <c r="G151" s="544"/>
      <c r="H151" s="544"/>
      <c r="I151" s="544"/>
      <c r="J151" s="544"/>
      <c r="K151" s="544"/>
      <c r="L151" s="544"/>
      <c r="M151" s="544"/>
      <c r="N151" s="100"/>
      <c r="O151" s="100"/>
    </row>
    <row r="152" spans="1:19" x14ac:dyDescent="0.25">
      <c r="A152" s="132"/>
      <c r="B152" s="93"/>
      <c r="C152" s="93"/>
      <c r="D152" s="93"/>
      <c r="E152" s="93"/>
      <c r="F152" s="93"/>
      <c r="G152" s="93"/>
      <c r="H152" s="93"/>
      <c r="I152" s="93"/>
      <c r="J152" s="93"/>
      <c r="K152" s="93"/>
      <c r="L152" s="93"/>
      <c r="M152" s="93"/>
      <c r="N152" s="93"/>
      <c r="O152" s="93"/>
    </row>
    <row r="153" spans="1:19" x14ac:dyDescent="0.25">
      <c r="A153" s="665" t="s">
        <v>220</v>
      </c>
      <c r="B153" s="665"/>
      <c r="C153" s="665"/>
      <c r="D153" s="665"/>
      <c r="E153" s="665"/>
      <c r="F153" s="665"/>
      <c r="G153" s="665"/>
      <c r="H153" s="665"/>
      <c r="I153" s="665"/>
      <c r="J153" s="665"/>
      <c r="K153" s="665"/>
      <c r="L153" s="665"/>
      <c r="M153" s="665"/>
      <c r="N153" s="128"/>
      <c r="O153" s="128"/>
    </row>
    <row r="154" spans="1:19" x14ac:dyDescent="0.25">
      <c r="A154" s="665" t="s">
        <v>1067</v>
      </c>
      <c r="B154" s="665"/>
      <c r="C154" s="665"/>
      <c r="D154" s="665"/>
      <c r="E154" s="665"/>
      <c r="F154" s="665"/>
      <c r="G154" s="665"/>
      <c r="H154" s="665"/>
      <c r="I154" s="665"/>
      <c r="J154" s="665"/>
      <c r="K154" s="665"/>
      <c r="L154" s="665"/>
      <c r="M154" s="665"/>
      <c r="N154" s="128"/>
      <c r="O154" s="128"/>
    </row>
    <row r="155" spans="1:19" x14ac:dyDescent="0.25">
      <c r="A155" s="132"/>
      <c r="B155" s="132"/>
      <c r="C155" s="132"/>
      <c r="D155" s="132"/>
      <c r="E155" s="132"/>
      <c r="F155" s="132"/>
      <c r="G155" s="132"/>
      <c r="H155" s="132"/>
      <c r="I155" s="132"/>
      <c r="J155" s="132"/>
      <c r="K155" s="132"/>
      <c r="L155" s="132"/>
      <c r="M155" s="132"/>
      <c r="N155" s="132"/>
      <c r="O155" s="132"/>
    </row>
    <row r="156" spans="1:19" ht="30.75" customHeight="1" x14ac:dyDescent="0.25">
      <c r="A156" s="547"/>
      <c r="B156" s="589" t="s">
        <v>99</v>
      </c>
      <c r="C156" s="142"/>
      <c r="D156" s="590" t="s">
        <v>100</v>
      </c>
      <c r="E156" s="591"/>
      <c r="F156" s="590" t="s">
        <v>101</v>
      </c>
      <c r="G156" s="591"/>
      <c r="H156" s="589" t="s">
        <v>102</v>
      </c>
      <c r="I156" s="142"/>
      <c r="J156" s="590" t="s">
        <v>226</v>
      </c>
      <c r="K156" s="591"/>
      <c r="L156" s="142" t="s">
        <v>84</v>
      </c>
      <c r="M156" s="142"/>
      <c r="N156" s="129" t="s">
        <v>223</v>
      </c>
      <c r="O156" s="129"/>
    </row>
    <row r="157" spans="1:19" x14ac:dyDescent="0.25">
      <c r="A157" s="551"/>
      <c r="B157" s="115" t="s">
        <v>103</v>
      </c>
      <c r="C157" s="143" t="s">
        <v>193</v>
      </c>
      <c r="D157" s="115" t="s">
        <v>103</v>
      </c>
      <c r="E157" s="143" t="s">
        <v>193</v>
      </c>
      <c r="F157" s="115" t="s">
        <v>103</v>
      </c>
      <c r="G157" s="143" t="s">
        <v>193</v>
      </c>
      <c r="H157" s="115" t="s">
        <v>103</v>
      </c>
      <c r="I157" s="143" t="s">
        <v>193</v>
      </c>
      <c r="J157" s="115" t="s">
        <v>103</v>
      </c>
      <c r="K157" s="143" t="s">
        <v>193</v>
      </c>
      <c r="L157" s="115" t="s">
        <v>103</v>
      </c>
      <c r="M157" s="143" t="s">
        <v>193</v>
      </c>
    </row>
    <row r="158" spans="1:19" s="556" customFormat="1" ht="18" customHeight="1" x14ac:dyDescent="0.25">
      <c r="A158" s="554" t="s">
        <v>222</v>
      </c>
      <c r="B158" s="146">
        <f>+GETPIVOTDATA(" New Prof avg",'Averages Pivot Table'!$A$3,"Category",2,"Category2","Four-Year")</f>
        <v>109519.634238659</v>
      </c>
      <c r="C158" s="146"/>
      <c r="D158" s="146">
        <f>+GETPIVOTDATA(" New Asc. avg",'Averages Pivot Table'!$A$3,"Category",2,"Category2","Four-Year")</f>
        <v>77660.744045842541</v>
      </c>
      <c r="E158" s="146"/>
      <c r="F158" s="146">
        <f>+GETPIVOTDATA(" New Ast. avg",'Averages Pivot Table'!$A$3,"Category",2,"Category2","Four-Year")</f>
        <v>66083.798306091034</v>
      </c>
      <c r="G158" s="146"/>
      <c r="H158" s="146">
        <f>+GETPIVOTDATA(" New Inst. avg",'Averages Pivot Table'!$A$3,"Category",2,"Category2","Four-Year")</f>
        <v>44516.956195719846</v>
      </c>
      <c r="I158" s="146"/>
      <c r="J158" s="146">
        <f>+GETPIVOTDATA(" New Undesg. avg",'Averages Pivot Table'!$A$3,"Category",2,"Category2","Four-Year")</f>
        <v>47368.499564088001</v>
      </c>
      <c r="K158" s="146"/>
      <c r="L158" s="146">
        <f>+GETPIVOTDATA(" New All Ranks avg",'Averages Pivot Table'!$A$3,"Category",2,"Category2","Four-Year")</f>
        <v>75443.145352128224</v>
      </c>
      <c r="M158" s="149"/>
      <c r="N158" s="146"/>
      <c r="O158" s="133"/>
      <c r="Q158" s="558"/>
      <c r="R158" s="558"/>
      <c r="S158" s="558"/>
    </row>
    <row r="159" spans="1:19" ht="12.95" customHeight="1" x14ac:dyDescent="0.25">
      <c r="A159" s="132"/>
      <c r="B159" s="123"/>
      <c r="C159" s="150"/>
      <c r="D159" s="123"/>
      <c r="E159" s="150"/>
      <c r="F159" s="123"/>
      <c r="G159" s="150"/>
      <c r="H159" s="123"/>
      <c r="I159" s="150"/>
      <c r="J159" s="123"/>
      <c r="K159" s="150"/>
      <c r="L159" s="123"/>
      <c r="M159" s="150"/>
      <c r="N159" s="123"/>
      <c r="O159" s="134"/>
    </row>
    <row r="160" spans="1:19" ht="12.95" customHeight="1" x14ac:dyDescent="0.25">
      <c r="A160" s="132" t="s">
        <v>205</v>
      </c>
      <c r="B160" s="126">
        <f>+GETPIVOTDATA(" New Prof avg",'Averages Pivot Table'!$A$3,"State","AL","Category",2,"Category2","Four-Year")</f>
        <v>114576.35967848101</v>
      </c>
      <c r="C160" s="118">
        <f>IF(B160&gt;0,(RANK(B160,B$160:B$178)),0)</f>
        <v>3</v>
      </c>
      <c r="D160" s="126">
        <f>+GETPIVOTDATA(" New Asc. avg",'Averages Pivot Table'!$A$3,"State","AL","Category",2,"Category2","Four-Year")</f>
        <v>81057.685899999997</v>
      </c>
      <c r="E160" s="118">
        <f>IF(D160&gt;0,(RANK(D160,D$160:D$178)),0)</f>
        <v>3</v>
      </c>
      <c r="F160" s="126">
        <f>+GETPIVOTDATA(" New Ast. avg",'Averages Pivot Table'!$A$3,"State","AL","Category",2,"Category2","Four-Year")</f>
        <v>68094.104758620684</v>
      </c>
      <c r="G160" s="118">
        <f t="shared" ref="G160:G178" si="12">IF(F160&gt;0,(RANK(F160,F$160:F$178)),0)</f>
        <v>4</v>
      </c>
      <c r="H160" s="126">
        <f>+GETPIVOTDATA(" New Inst. avg",'Averages Pivot Table'!$A$3,"State","AL","Category",2,"Category2","Four-Year")</f>
        <v>51734</v>
      </c>
      <c r="I160" s="118">
        <f t="shared" ref="I160:I178" si="13">IF(H160&gt;0,(RANK(H160,H$160:H$178)),0)</f>
        <v>1</v>
      </c>
      <c r="J160" s="126">
        <f>+GETPIVOTDATA(" New Undesg. avg",'Averages Pivot Table'!$A$3,"State","AL","Category",2,"Category2","Four-Year")</f>
        <v>47283.475740000002</v>
      </c>
      <c r="K160" s="118">
        <f t="shared" ref="K160:K178" si="14">IF(J160&gt;0,(RANK(J160,J$160:J$178)),0)</f>
        <v>6</v>
      </c>
      <c r="L160" s="126">
        <f>+GETPIVOTDATA(" New All Ranks avg",'Averages Pivot Table'!$A$3,"State","AL","Category",2,"Category2","Four-Year")</f>
        <v>80268.939691503256</v>
      </c>
      <c r="M160" s="118">
        <f t="shared" ref="M160:M178" si="15">IF(L160&gt;0,(RANK(L160,L$160:L$178)),0)</f>
        <v>2</v>
      </c>
      <c r="N160" s="126"/>
      <c r="O160" s="129"/>
    </row>
    <row r="161" spans="1:15" ht="12.95" customHeight="1" x14ac:dyDescent="0.25">
      <c r="A161" s="132" t="s">
        <v>206</v>
      </c>
      <c r="B161" s="126">
        <f>+GETPIVOTDATA(" New Prof avg",'Averages Pivot Table'!$A$3,"State","AR","Category",2,"Category2","Four-Year")</f>
        <v>0</v>
      </c>
      <c r="C161" s="118">
        <f t="shared" ref="C161:E178" si="16">IF(B161&gt;0,(RANK(B161,B$160:B$178)),0)</f>
        <v>0</v>
      </c>
      <c r="D161" s="126">
        <f>+GETPIVOTDATA(" New Asc. avg",'Averages Pivot Table'!$A$3,"State","AR","Category",2,"Category2","Four-Year")</f>
        <v>0</v>
      </c>
      <c r="E161" s="118">
        <f t="shared" si="16"/>
        <v>0</v>
      </c>
      <c r="F161" s="126">
        <f>+GETPIVOTDATA(" New Ast. avg",'Averages Pivot Table'!$A$3,"State","AR","Category",2,"Category2","Four-Year")</f>
        <v>0</v>
      </c>
      <c r="G161" s="118">
        <f t="shared" si="12"/>
        <v>0</v>
      </c>
      <c r="H161" s="126">
        <f>+GETPIVOTDATA(" New Inst. avg",'Averages Pivot Table'!$A$3,"State","AR","Category",2,"Category2","Four-Year")</f>
        <v>0</v>
      </c>
      <c r="I161" s="118">
        <f t="shared" si="13"/>
        <v>0</v>
      </c>
      <c r="J161" s="126">
        <f>+GETPIVOTDATA(" New Undesg. avg",'Averages Pivot Table'!$A$3,"State","AR","Category",2,"Category2","Four-Year")</f>
        <v>0</v>
      </c>
      <c r="K161" s="118">
        <f t="shared" si="14"/>
        <v>0</v>
      </c>
      <c r="L161" s="126">
        <f>+GETPIVOTDATA(" New All Ranks avg",'Averages Pivot Table'!$A$3,"State","AR","Category",2,"Category2","Four-Year")</f>
        <v>0</v>
      </c>
      <c r="M161" s="118">
        <f t="shared" si="15"/>
        <v>0</v>
      </c>
      <c r="N161" s="126"/>
      <c r="O161" s="129"/>
    </row>
    <row r="162" spans="1:15" ht="12.95" customHeight="1" x14ac:dyDescent="0.25">
      <c r="A162" s="132" t="s">
        <v>221</v>
      </c>
      <c r="B162" s="126">
        <f>+GETPIVOTDATA(" New Prof avg",'Averages Pivot Table'!$A$3,"State","DE","Category",2,"Category2","Four-Year")</f>
        <v>0</v>
      </c>
      <c r="C162" s="118">
        <f t="shared" si="16"/>
        <v>0</v>
      </c>
      <c r="D162" s="126">
        <f>+GETPIVOTDATA(" New Asc. avg",'Averages Pivot Table'!$A$3,"State","DE","Category",2,"Category2","Four-Year")</f>
        <v>0</v>
      </c>
      <c r="E162" s="118">
        <f t="shared" si="16"/>
        <v>0</v>
      </c>
      <c r="F162" s="126">
        <f>+GETPIVOTDATA(" New Ast. avg",'Averages Pivot Table'!$A$3,"State","DE","Category",2,"Category2","Four-Year")</f>
        <v>0</v>
      </c>
      <c r="G162" s="118">
        <f t="shared" si="12"/>
        <v>0</v>
      </c>
      <c r="H162" s="126">
        <f>+GETPIVOTDATA(" New Inst. avg",'Averages Pivot Table'!$A$3,"State","DE","Category",2,"Category2","Four-Year")</f>
        <v>0</v>
      </c>
      <c r="I162" s="118">
        <f t="shared" si="13"/>
        <v>0</v>
      </c>
      <c r="J162" s="126">
        <f>+GETPIVOTDATA(" New Undesg. avg",'Averages Pivot Table'!$A$3,"State","DE","Category",2,"Category2","Four-Year")</f>
        <v>0</v>
      </c>
      <c r="K162" s="118">
        <f t="shared" si="14"/>
        <v>0</v>
      </c>
      <c r="L162" s="126">
        <f>+GETPIVOTDATA(" New All Ranks avg",'Averages Pivot Table'!$A$3,"State","DE","Category",2,"Category2","Four-Year")</f>
        <v>0</v>
      </c>
      <c r="M162" s="118">
        <f t="shared" si="15"/>
        <v>0</v>
      </c>
      <c r="N162" s="126"/>
      <c r="O162" s="129"/>
    </row>
    <row r="163" spans="1:15" ht="12.95" customHeight="1" x14ac:dyDescent="0.25">
      <c r="A163" s="132" t="s">
        <v>207</v>
      </c>
      <c r="B163" s="126">
        <f>+GETPIVOTDATA(" New Prof avg",'Averages Pivot Table'!$A$3,"State","FL","Category",2,"Category2","Four-Year")</f>
        <v>95926.061966326524</v>
      </c>
      <c r="C163" s="118">
        <f t="shared" si="16"/>
        <v>8</v>
      </c>
      <c r="D163" s="126">
        <f>+GETPIVOTDATA(" New Asc. avg",'Averages Pivot Table'!$A$3,"State","FL","Category",2,"Category2","Four-Year")</f>
        <v>72236.816506550225</v>
      </c>
      <c r="E163" s="118">
        <f t="shared" si="16"/>
        <v>8</v>
      </c>
      <c r="F163" s="126">
        <f>+GETPIVOTDATA(" New Ast. avg",'Averages Pivot Table'!$A$3,"State","FL","Category",2,"Category2","Four-Year")</f>
        <v>64990.171856756766</v>
      </c>
      <c r="G163" s="118">
        <f t="shared" si="12"/>
        <v>6</v>
      </c>
      <c r="H163" s="126">
        <f>+GETPIVOTDATA(" New Inst. avg",'Averages Pivot Table'!$A$3,"State","FL","Category",2,"Category2","Four-Year")</f>
        <v>47884.192481914892</v>
      </c>
      <c r="I163" s="118">
        <f t="shared" si="13"/>
        <v>5</v>
      </c>
      <c r="J163" s="126">
        <f>+GETPIVOTDATA(" New Undesg. avg",'Averages Pivot Table'!$A$3,"State","FL","Category",2,"Category2","Four-Year")</f>
        <v>54706.488400000002</v>
      </c>
      <c r="K163" s="118">
        <f t="shared" si="14"/>
        <v>4</v>
      </c>
      <c r="L163" s="126">
        <f>+GETPIVOTDATA(" New All Ranks avg",'Averages Pivot Table'!$A$3,"State","FL","Category",2,"Category2","Four-Year")</f>
        <v>70891.363825721783</v>
      </c>
      <c r="M163" s="118">
        <f t="shared" si="15"/>
        <v>6</v>
      </c>
      <c r="N163" s="126"/>
      <c r="O163" s="129"/>
    </row>
    <row r="164" spans="1:15" ht="12.95" customHeight="1" x14ac:dyDescent="0.25">
      <c r="A164" s="132"/>
      <c r="B164" s="126"/>
      <c r="C164" s="118">
        <f t="shared" si="16"/>
        <v>0</v>
      </c>
      <c r="D164" s="126"/>
      <c r="E164" s="118">
        <f t="shared" si="16"/>
        <v>0</v>
      </c>
      <c r="F164" s="126"/>
      <c r="G164" s="118">
        <f t="shared" si="12"/>
        <v>0</v>
      </c>
      <c r="H164" s="126"/>
      <c r="I164" s="118">
        <f t="shared" si="13"/>
        <v>0</v>
      </c>
      <c r="J164" s="126"/>
      <c r="K164" s="118">
        <f t="shared" si="14"/>
        <v>0</v>
      </c>
      <c r="L164" s="126"/>
      <c r="M164" s="118">
        <f t="shared" si="15"/>
        <v>0</v>
      </c>
      <c r="N164" s="126"/>
      <c r="O164" s="129"/>
    </row>
    <row r="165" spans="1:15" ht="12.95" customHeight="1" x14ac:dyDescent="0.25">
      <c r="A165" s="132" t="s">
        <v>4</v>
      </c>
      <c r="B165" s="126">
        <f>+GETPIVOTDATA(" New Prof avg",'Averages Pivot Table'!$A$3,"State","GA","Category",2,"Category2","Four-Year")</f>
        <v>140732.47676450841</v>
      </c>
      <c r="C165" s="118">
        <f t="shared" si="16"/>
        <v>1</v>
      </c>
      <c r="D165" s="126">
        <f>+GETPIVOTDATA(" New Asc. avg",'Averages Pivot Table'!$A$3,"State","GA","Category",2,"Category2","Four-Year")</f>
        <v>94950.598954330708</v>
      </c>
      <c r="E165" s="118">
        <f t="shared" si="16"/>
        <v>1</v>
      </c>
      <c r="F165" s="126">
        <f>+GETPIVOTDATA(" New Ast. avg",'Averages Pivot Table'!$A$3,"State","GA","Category",2,"Category2","Four-Year")</f>
        <v>86689</v>
      </c>
      <c r="G165" s="118">
        <f t="shared" si="12"/>
        <v>1</v>
      </c>
      <c r="H165" s="126">
        <f>+GETPIVOTDATA(" New Inst. avg",'Averages Pivot Table'!$A$3,"State","GA","Category",2,"Category2","Four-Year")</f>
        <v>34803</v>
      </c>
      <c r="I165" s="118">
        <f t="shared" si="13"/>
        <v>9</v>
      </c>
      <c r="J165" s="126">
        <f>+GETPIVOTDATA(" New Undesg. avg",'Averages Pivot Table'!$A$3,"State","GA","Category",2,"Category2","Four-Year")</f>
        <v>66738.961818390802</v>
      </c>
      <c r="K165" s="118">
        <f t="shared" si="14"/>
        <v>1</v>
      </c>
      <c r="L165" s="126">
        <f>+GETPIVOTDATA(" New All Ranks avg",'Averages Pivot Table'!$A$3,"State","GA","Category",2,"Category2","Four-Year")</f>
        <v>106692.94224066148</v>
      </c>
      <c r="M165" s="118">
        <f t="shared" si="15"/>
        <v>1</v>
      </c>
      <c r="N165" s="126"/>
      <c r="O165" s="129"/>
    </row>
    <row r="166" spans="1:15" ht="12.95" customHeight="1" x14ac:dyDescent="0.25">
      <c r="A166" s="132" t="s">
        <v>209</v>
      </c>
      <c r="B166" s="126">
        <f>+GETPIVOTDATA(" New Prof avg",'Averages Pivot Table'!$A$3,"State","KY","Category",2,"Category2","Four-Year")</f>
        <v>0</v>
      </c>
      <c r="C166" s="118">
        <f t="shared" si="16"/>
        <v>0</v>
      </c>
      <c r="D166" s="126">
        <f>+GETPIVOTDATA(" New Asc. avg",'Averages Pivot Table'!$A$3,"State","KY","Category",2,"Category2","Four-Year")</f>
        <v>0</v>
      </c>
      <c r="E166" s="118">
        <f t="shared" si="16"/>
        <v>0</v>
      </c>
      <c r="F166" s="126">
        <f>+GETPIVOTDATA(" New Ast. avg",'Averages Pivot Table'!$A$3,"State","KY","Category",2,"Category2","Four-Year")</f>
        <v>0</v>
      </c>
      <c r="G166" s="118">
        <f t="shared" si="12"/>
        <v>0</v>
      </c>
      <c r="H166" s="126">
        <f>+GETPIVOTDATA(" New Inst. avg",'Averages Pivot Table'!$A$3,"State","KY","Category",2,"Category2","Four-Year")</f>
        <v>0</v>
      </c>
      <c r="I166" s="118">
        <f t="shared" si="13"/>
        <v>0</v>
      </c>
      <c r="J166" s="126">
        <f>+GETPIVOTDATA(" New Undesg. avg",'Averages Pivot Table'!$A$3,"State","KY","Category",2,"Category2","Four-Year")</f>
        <v>0</v>
      </c>
      <c r="K166" s="118">
        <f t="shared" si="14"/>
        <v>0</v>
      </c>
      <c r="L166" s="126">
        <f>+GETPIVOTDATA(" New All Ranks avg",'Averages Pivot Table'!$A$3,"State","KY","Category",2,"Category2","Four-Year")</f>
        <v>0</v>
      </c>
      <c r="M166" s="118">
        <f t="shared" si="15"/>
        <v>0</v>
      </c>
      <c r="N166" s="126"/>
      <c r="O166" s="129"/>
    </row>
    <row r="167" spans="1:15" ht="12.95" customHeight="1" x14ac:dyDescent="0.25">
      <c r="A167" s="132" t="s">
        <v>210</v>
      </c>
      <c r="B167" s="126">
        <f>+GETPIVOTDATA(" New Prof avg",'Averages Pivot Table'!$A$3,"State","LA","Category",2,"Category2","Four-Year")</f>
        <v>92190.136563953492</v>
      </c>
      <c r="C167" s="118">
        <f t="shared" si="16"/>
        <v>9</v>
      </c>
      <c r="D167" s="126">
        <f>+GETPIVOTDATA(" New Asc. avg",'Averages Pivot Table'!$A$3,"State","LA","Category",2,"Category2","Four-Year")</f>
        <v>69635.856395705516</v>
      </c>
      <c r="E167" s="118">
        <f t="shared" si="16"/>
        <v>9</v>
      </c>
      <c r="F167" s="126">
        <f>+GETPIVOTDATA(" New Ast. avg",'Averages Pivot Table'!$A$3,"State","LA","Category",2,"Category2","Four-Year")</f>
        <v>59942.395000579716</v>
      </c>
      <c r="G167" s="118">
        <f t="shared" si="12"/>
        <v>9</v>
      </c>
      <c r="H167" s="126">
        <f>+GETPIVOTDATA(" New Inst. avg",'Averages Pivot Table'!$A$3,"State","LA","Category",2,"Category2","Four-Year")</f>
        <v>42297.024710638296</v>
      </c>
      <c r="I167" s="118">
        <f t="shared" si="13"/>
        <v>7</v>
      </c>
      <c r="J167" s="126">
        <f>+GETPIVOTDATA(" New Undesg. avg",'Averages Pivot Table'!$A$3,"State","LA","Category",2,"Category2","Four-Year")</f>
        <v>62277</v>
      </c>
      <c r="K167" s="118">
        <f t="shared" si="14"/>
        <v>3</v>
      </c>
      <c r="L167" s="126">
        <f>+GETPIVOTDATA(" New All Ranks avg",'Averages Pivot Table'!$A$3,"State","LA","Category",2,"Category2","Four-Year")</f>
        <v>67036.569235795891</v>
      </c>
      <c r="M167" s="118">
        <f t="shared" si="15"/>
        <v>9</v>
      </c>
      <c r="N167" s="126"/>
      <c r="O167" s="129"/>
    </row>
    <row r="168" spans="1:15" ht="12.95" customHeight="1" x14ac:dyDescent="0.25">
      <c r="A168" s="132" t="s">
        <v>211</v>
      </c>
      <c r="B168" s="126">
        <f>+GETPIVOTDATA(" New Prof avg",'Averages Pivot Table'!$A$3,"State","MD","Category",2,"Category2","Four-Year")</f>
        <v>110045.92914797232</v>
      </c>
      <c r="C168" s="118">
        <f t="shared" si="16"/>
        <v>5</v>
      </c>
      <c r="D168" s="126">
        <f>+GETPIVOTDATA(" New Asc. avg",'Averages Pivot Table'!$A$3,"State","MD","Category",2,"Category2","Four-Year")</f>
        <v>77899.76492970137</v>
      </c>
      <c r="E168" s="118">
        <f t="shared" si="16"/>
        <v>5</v>
      </c>
      <c r="F168" s="126">
        <f>+GETPIVOTDATA(" New Ast. avg",'Averages Pivot Table'!$A$3,"State","MD","Category",2,"Category2","Four-Year")</f>
        <v>67645.408977323605</v>
      </c>
      <c r="G168" s="118">
        <f t="shared" si="12"/>
        <v>5</v>
      </c>
      <c r="H168" s="126">
        <f>+GETPIVOTDATA(" New Inst. avg",'Averages Pivot Table'!$A$3,"State","MD","Category",2,"Category2","Four-Year")</f>
        <v>50727.554774999997</v>
      </c>
      <c r="I168" s="118">
        <f t="shared" si="13"/>
        <v>2</v>
      </c>
      <c r="J168" s="126">
        <f>+GETPIVOTDATA(" New Undesg. avg",'Averages Pivot Table'!$A$3,"State","MD","Category",2,"Category2","Four-Year")</f>
        <v>47115.962562499997</v>
      </c>
      <c r="K168" s="118">
        <f t="shared" si="14"/>
        <v>8</v>
      </c>
      <c r="L168" s="126">
        <f>+GETPIVOTDATA(" New All Ranks avg",'Averages Pivot Table'!$A$3,"State","MD","Category",2,"Category2","Four-Year")</f>
        <v>73767.233333715034</v>
      </c>
      <c r="M168" s="118">
        <f t="shared" si="15"/>
        <v>5</v>
      </c>
      <c r="N168" s="126"/>
      <c r="O168" s="129"/>
    </row>
    <row r="169" spans="1:15" ht="12.95" customHeight="1" x14ac:dyDescent="0.25">
      <c r="A169" s="132"/>
      <c r="B169" s="126"/>
      <c r="C169" s="118">
        <f t="shared" si="16"/>
        <v>0</v>
      </c>
      <c r="D169" s="126"/>
      <c r="E169" s="118">
        <f t="shared" si="16"/>
        <v>0</v>
      </c>
      <c r="F169" s="126"/>
      <c r="G169" s="118">
        <f t="shared" si="12"/>
        <v>0</v>
      </c>
      <c r="H169" s="126"/>
      <c r="I169" s="118">
        <f t="shared" si="13"/>
        <v>0</v>
      </c>
      <c r="J169" s="126"/>
      <c r="K169" s="118">
        <f t="shared" si="14"/>
        <v>0</v>
      </c>
      <c r="L169" s="126"/>
      <c r="M169" s="118">
        <f t="shared" si="15"/>
        <v>0</v>
      </c>
      <c r="N169" s="126"/>
      <c r="O169" s="129"/>
    </row>
    <row r="170" spans="1:15" ht="12.95" customHeight="1" x14ac:dyDescent="0.25">
      <c r="A170" s="132" t="s">
        <v>212</v>
      </c>
      <c r="B170" s="126">
        <f>+GETPIVOTDATA(" New Prof avg",'Averages Pivot Table'!$A$3,"State","MS","Category",2,"Category2","Four-Year")</f>
        <v>97484.796528744948</v>
      </c>
      <c r="C170" s="118">
        <f t="shared" si="16"/>
        <v>7</v>
      </c>
      <c r="D170" s="126">
        <f>+GETPIVOTDATA(" New Asc. avg",'Averages Pivot Table'!$A$3,"State","MS","Category",2,"Category2","Four-Year")</f>
        <v>73873.650170212772</v>
      </c>
      <c r="E170" s="118">
        <f t="shared" si="16"/>
        <v>7</v>
      </c>
      <c r="F170" s="126">
        <f>+GETPIVOTDATA(" New Ast. avg",'Averages Pivot Table'!$A$3,"State","MS","Category",2,"Category2","Four-Year")</f>
        <v>62436.364134925374</v>
      </c>
      <c r="G170" s="118">
        <f t="shared" si="12"/>
        <v>8</v>
      </c>
      <c r="H170" s="126">
        <f>+GETPIVOTDATA(" New Inst. avg",'Averages Pivot Table'!$A$3,"State","MS","Category",2,"Category2","Four-Year")</f>
        <v>40186.209558139533</v>
      </c>
      <c r="I170" s="118">
        <f t="shared" si="13"/>
        <v>8</v>
      </c>
      <c r="J170" s="126">
        <f>+GETPIVOTDATA(" New Undesg. avg",'Averages Pivot Table'!$A$3,"State","MS","Category",2,"Category2","Four-Year")</f>
        <v>45278.633175000003</v>
      </c>
      <c r="K170" s="118">
        <f t="shared" si="14"/>
        <v>9</v>
      </c>
      <c r="L170" s="126">
        <f>+GETPIVOTDATA(" New All Ranks avg",'Averages Pivot Table'!$A$3,"State","MS","Category",2,"Category2","Four-Year")</f>
        <v>68882.531365674251</v>
      </c>
      <c r="M170" s="118">
        <f t="shared" si="15"/>
        <v>8</v>
      </c>
      <c r="N170" s="126"/>
      <c r="O170" s="129"/>
    </row>
    <row r="171" spans="1:15" ht="12.95" customHeight="1" x14ac:dyDescent="0.25">
      <c r="A171" s="132" t="s">
        <v>213</v>
      </c>
      <c r="B171" s="126">
        <f>+GETPIVOTDATA(" New Prof avg",'Averages Pivot Table'!$A$3,"State","NC","Category",2,"Category2","Four-Year")</f>
        <v>112589.60851588786</v>
      </c>
      <c r="C171" s="118">
        <f t="shared" si="16"/>
        <v>4</v>
      </c>
      <c r="D171" s="126">
        <f>+GETPIVOTDATA(" New Asc. avg",'Averages Pivot Table'!$A$3,"State","NC","Category",2,"Category2","Four-Year")</f>
        <v>79418.773342105269</v>
      </c>
      <c r="E171" s="118">
        <f t="shared" si="16"/>
        <v>4</v>
      </c>
      <c r="F171" s="126">
        <f>+GETPIVOTDATA(" New Ast. avg",'Averages Pivot Table'!$A$3,"State","NC","Category",2,"Category2","Four-Year")</f>
        <v>69883</v>
      </c>
      <c r="G171" s="118">
        <f t="shared" si="12"/>
        <v>2</v>
      </c>
      <c r="H171" s="126">
        <f>+GETPIVOTDATA(" New Inst. avg",'Averages Pivot Table'!$A$3,"State","NC","Category",2,"Category2","Four-Year")</f>
        <v>0</v>
      </c>
      <c r="I171" s="118">
        <f t="shared" si="13"/>
        <v>0</v>
      </c>
      <c r="J171" s="126">
        <f>+GETPIVOTDATA(" New Undesg. avg",'Averages Pivot Table'!$A$3,"State","NC","Category",2,"Category2","Four-Year")</f>
        <v>50000.028245188281</v>
      </c>
      <c r="K171" s="118">
        <f t="shared" si="14"/>
        <v>5</v>
      </c>
      <c r="L171" s="126">
        <f>+GETPIVOTDATA(" New All Ranks avg",'Averages Pivot Table'!$A$3,"State","NC","Category",2,"Category2","Four-Year")</f>
        <v>77386.665364572589</v>
      </c>
      <c r="M171" s="118">
        <f t="shared" si="15"/>
        <v>4</v>
      </c>
      <c r="N171" s="126"/>
      <c r="O171" s="129"/>
    </row>
    <row r="172" spans="1:15" ht="12.95" customHeight="1" x14ac:dyDescent="0.25">
      <c r="A172" s="132" t="s">
        <v>214</v>
      </c>
      <c r="B172" s="126">
        <f>+GETPIVOTDATA(" New Prof avg",'Averages Pivot Table'!$A$3,"State","OK","Category",2,"Category2","Four-Year")</f>
        <v>0</v>
      </c>
      <c r="C172" s="118">
        <f t="shared" si="16"/>
        <v>0</v>
      </c>
      <c r="D172" s="126">
        <f>+GETPIVOTDATA(" New Asc. avg",'Averages Pivot Table'!$A$3,"State","OK","Category",2,"Category2","Four-Year")</f>
        <v>0</v>
      </c>
      <c r="E172" s="118">
        <f t="shared" si="16"/>
        <v>0</v>
      </c>
      <c r="F172" s="126">
        <f>+GETPIVOTDATA(" New Ast. avg",'Averages Pivot Table'!$A$3,"State","OK","Category",2,"Category2","Four-Year")</f>
        <v>0</v>
      </c>
      <c r="G172" s="118">
        <f t="shared" si="12"/>
        <v>0</v>
      </c>
      <c r="H172" s="126">
        <f>+GETPIVOTDATA(" New Inst. avg",'Averages Pivot Table'!$A$3,"State","OK","Category",2,"Category2","Four-Year")</f>
        <v>0</v>
      </c>
      <c r="I172" s="118">
        <f t="shared" si="13"/>
        <v>0</v>
      </c>
      <c r="J172" s="126">
        <f>+GETPIVOTDATA(" New Undesg. avg",'Averages Pivot Table'!$A$3,"State","OK","Category",2,"Category2","Four-Year")</f>
        <v>0</v>
      </c>
      <c r="K172" s="118">
        <f t="shared" si="14"/>
        <v>0</v>
      </c>
      <c r="L172" s="126">
        <f>+GETPIVOTDATA(" New All Ranks avg",'Averages Pivot Table'!$A$3,"State","OK","Category",2,"Category2","Four-Year")</f>
        <v>0</v>
      </c>
      <c r="M172" s="118">
        <f t="shared" si="15"/>
        <v>0</v>
      </c>
      <c r="N172" s="126"/>
      <c r="O172" s="129"/>
    </row>
    <row r="173" spans="1:15" ht="12.95" customHeight="1" x14ac:dyDescent="0.25">
      <c r="A173" s="132" t="s">
        <v>215</v>
      </c>
      <c r="B173" s="126">
        <f>+GETPIVOTDATA(" New Prof avg",'Averages Pivot Table'!$A$3,"State","SC","Category",2,"Category2","Four-Year")</f>
        <v>0</v>
      </c>
      <c r="C173" s="118">
        <f t="shared" si="16"/>
        <v>0</v>
      </c>
      <c r="D173" s="126">
        <f>+GETPIVOTDATA(" New Asc. avg",'Averages Pivot Table'!$A$3,"State","SC","Category",2,"Category2","Four-Year")</f>
        <v>0</v>
      </c>
      <c r="E173" s="118">
        <f t="shared" si="16"/>
        <v>0</v>
      </c>
      <c r="F173" s="126">
        <f>+GETPIVOTDATA(" New Ast. avg",'Averages Pivot Table'!$A$3,"State","SC","Category",2,"Category2","Four-Year")</f>
        <v>0</v>
      </c>
      <c r="G173" s="118">
        <f t="shared" si="12"/>
        <v>0</v>
      </c>
      <c r="H173" s="126">
        <f>+GETPIVOTDATA(" New Inst. avg",'Averages Pivot Table'!$A$3,"State","SC","Category",2,"Category2","Four-Year")</f>
        <v>0</v>
      </c>
      <c r="I173" s="118">
        <f t="shared" si="13"/>
        <v>0</v>
      </c>
      <c r="J173" s="126">
        <f>+GETPIVOTDATA(" New Undesg. avg",'Averages Pivot Table'!$A$3,"State","SC","Category",2,"Category2","Four-Year")</f>
        <v>0</v>
      </c>
      <c r="K173" s="118">
        <f t="shared" si="14"/>
        <v>0</v>
      </c>
      <c r="L173" s="126">
        <f>+GETPIVOTDATA(" New All Ranks avg",'Averages Pivot Table'!$A$3,"State","SC","Category",2,"Category2","Four-Year")</f>
        <v>0</v>
      </c>
      <c r="M173" s="118">
        <f t="shared" si="15"/>
        <v>0</v>
      </c>
      <c r="N173" s="126"/>
      <c r="O173" s="129"/>
    </row>
    <row r="174" spans="1:15" ht="12.95" customHeight="1" x14ac:dyDescent="0.25">
      <c r="A174" s="132"/>
      <c r="B174" s="126"/>
      <c r="C174" s="118">
        <f t="shared" si="16"/>
        <v>0</v>
      </c>
      <c r="D174" s="126"/>
      <c r="E174" s="118">
        <f t="shared" si="16"/>
        <v>0</v>
      </c>
      <c r="F174" s="126"/>
      <c r="G174" s="118">
        <f t="shared" si="12"/>
        <v>0</v>
      </c>
      <c r="H174" s="126"/>
      <c r="I174" s="118">
        <f t="shared" si="13"/>
        <v>0</v>
      </c>
      <c r="J174" s="126"/>
      <c r="K174" s="118">
        <f t="shared" si="14"/>
        <v>0</v>
      </c>
      <c r="L174" s="126"/>
      <c r="M174" s="118">
        <f t="shared" si="15"/>
        <v>0</v>
      </c>
      <c r="N174" s="126"/>
      <c r="O174" s="129"/>
    </row>
    <row r="175" spans="1:15" ht="12.95" customHeight="1" x14ac:dyDescent="0.25">
      <c r="A175" s="132" t="s">
        <v>216</v>
      </c>
      <c r="B175" s="563">
        <f>+GETPIVOTDATA(" New Prof avg",'Averages Pivot Table'!$A$3,"State","TN","Category",2,"Category2","Four-Year")</f>
        <v>74978.627092156865</v>
      </c>
      <c r="C175" s="118">
        <f t="shared" si="16"/>
        <v>10</v>
      </c>
      <c r="D175" s="563">
        <f>+GETPIVOTDATA(" New Asc. avg",'Averages Pivot Table'!$A$3,"State","TN","Category",2,"Category2","Four-Year")</f>
        <v>60167.576050000003</v>
      </c>
      <c r="E175" s="118">
        <f t="shared" si="16"/>
        <v>10</v>
      </c>
      <c r="F175" s="563">
        <f>+GETPIVOTDATA(" New Ast. avg",'Averages Pivot Table'!$A$3,"State","TN","Category",2,"Category2","Four-Year")</f>
        <v>47554.644252380953</v>
      </c>
      <c r="G175" s="118">
        <f t="shared" si="12"/>
        <v>10</v>
      </c>
      <c r="H175" s="563">
        <f>+GETPIVOTDATA(" New Inst. avg",'Averages Pivot Table'!$A$3,"State","TN","Category",2,"Category2","Four-Year")</f>
        <v>43969.019833333332</v>
      </c>
      <c r="I175" s="118">
        <f t="shared" si="13"/>
        <v>6</v>
      </c>
      <c r="J175" s="563">
        <f>+GETPIVOTDATA(" New Undesg. avg",'Averages Pivot Table'!$A$3,"State","TN","Category",2,"Category2","Four-Year")</f>
        <v>47267.399872131158</v>
      </c>
      <c r="K175" s="118">
        <f t="shared" si="14"/>
        <v>7</v>
      </c>
      <c r="L175" s="563">
        <f>+GETPIVOTDATA(" New All Ranks avg",'Averages Pivot Table'!$A$3,"State","TN","Category",2,"Category2","Four-Year")</f>
        <v>57626.099739088735</v>
      </c>
      <c r="M175" s="118">
        <f t="shared" si="15"/>
        <v>10</v>
      </c>
      <c r="N175" s="126"/>
      <c r="O175" s="129"/>
    </row>
    <row r="176" spans="1:15" ht="12.95" customHeight="1" x14ac:dyDescent="0.25">
      <c r="A176" s="132" t="s">
        <v>217</v>
      </c>
      <c r="B176" s="563">
        <f>+GETPIVOTDATA(" New Prof avg",'Averages Pivot Table'!$A$3,"State","TX","Category",2,"Category2","Four-Year")</f>
        <v>106080.31958762887</v>
      </c>
      <c r="C176" s="118">
        <f t="shared" si="16"/>
        <v>6</v>
      </c>
      <c r="D176" s="563">
        <f>+GETPIVOTDATA(" New Asc. avg",'Averages Pivot Table'!$A$3,"State","TX","Category",2,"Category2","Four-Year")</f>
        <v>77108.149068322979</v>
      </c>
      <c r="E176" s="118">
        <f t="shared" si="16"/>
        <v>6</v>
      </c>
      <c r="F176" s="563">
        <f>+GETPIVOTDATA(" New Ast. avg",'Averages Pivot Table'!$A$3,"State","TX","Category",2,"Category2","Four-Year")</f>
        <v>68196.899999999994</v>
      </c>
      <c r="G176" s="118">
        <f t="shared" si="12"/>
        <v>3</v>
      </c>
      <c r="H176" s="563">
        <f>+GETPIVOTDATA(" New Inst. avg",'Averages Pivot Table'!$A$3,"State","TX","Category",2,"Category2","Four-Year")</f>
        <v>49985.727272727272</v>
      </c>
      <c r="I176" s="118">
        <f t="shared" si="13"/>
        <v>3</v>
      </c>
      <c r="J176" s="563">
        <f>+GETPIVOTDATA(" New Undesg. avg",'Averages Pivot Table'!$A$3,"State","TX","Category",2,"Category2","Four-Year")</f>
        <v>43495.595900439235</v>
      </c>
      <c r="K176" s="118">
        <f t="shared" si="14"/>
        <v>10</v>
      </c>
      <c r="L176" s="563">
        <f>+GETPIVOTDATA(" New All Ranks avg",'Averages Pivot Table'!$A$3,"State","TX","Category",2,"Category2","Four-Year")</f>
        <v>69184.923785166247</v>
      </c>
      <c r="M176" s="118">
        <f t="shared" si="15"/>
        <v>7</v>
      </c>
      <c r="N176" s="126"/>
      <c r="O176" s="129"/>
    </row>
    <row r="177" spans="1:19" ht="12.95" customHeight="1" x14ac:dyDescent="0.25">
      <c r="A177" s="132" t="s">
        <v>218</v>
      </c>
      <c r="B177" s="563">
        <f>+GETPIVOTDATA(" New Prof avg",'Averages Pivot Table'!$A$3,"State","VA","Category",2,"Category2","Four-Year")</f>
        <v>114799.93620092592</v>
      </c>
      <c r="C177" s="118">
        <f t="shared" si="16"/>
        <v>2</v>
      </c>
      <c r="D177" s="563">
        <f>+GETPIVOTDATA(" New Asc. avg",'Averages Pivot Table'!$A$3,"State","VA","Category",2,"Category2","Four-Year")</f>
        <v>81802.43498078431</v>
      </c>
      <c r="E177" s="118">
        <f t="shared" si="16"/>
        <v>2</v>
      </c>
      <c r="F177" s="563">
        <f>+GETPIVOTDATA(" New Ast. avg",'Averages Pivot Table'!$A$3,"State","VA","Category",2,"Category2","Four-Year")</f>
        <v>64437.561542962962</v>
      </c>
      <c r="G177" s="118">
        <f t="shared" si="12"/>
        <v>7</v>
      </c>
      <c r="H177" s="563">
        <f>+GETPIVOTDATA(" New Inst. avg",'Averages Pivot Table'!$A$3,"State","VA","Category",2,"Category2","Four-Year")</f>
        <v>49036.259774693877</v>
      </c>
      <c r="I177" s="118">
        <f t="shared" si="13"/>
        <v>4</v>
      </c>
      <c r="J177" s="563">
        <f>+GETPIVOTDATA(" New Undesg. avg",'Averages Pivot Table'!$A$3,"State","VA","Category",2,"Category2","Four-Year")</f>
        <v>66649.399999999994</v>
      </c>
      <c r="K177" s="118">
        <f t="shared" si="14"/>
        <v>2</v>
      </c>
      <c r="L177" s="563">
        <f>+GETPIVOTDATA(" New All Ranks avg",'Averages Pivot Table'!$A$3,"State","VA","Category",2,"Category2","Four-Year")</f>
        <v>79901.827954519293</v>
      </c>
      <c r="M177" s="118">
        <f t="shared" si="15"/>
        <v>3</v>
      </c>
      <c r="N177" s="126"/>
      <c r="O177" s="129"/>
    </row>
    <row r="178" spans="1:19" ht="12.95" customHeight="1" x14ac:dyDescent="0.25">
      <c r="A178" s="6" t="s">
        <v>219</v>
      </c>
      <c r="B178" s="566">
        <f>+GETPIVOTDATA(" New Prof avg",'Averages Pivot Table'!$A$3,"State","WV","Category",2,"Category2","Four-Year")</f>
        <v>0</v>
      </c>
      <c r="C178" s="119">
        <f t="shared" si="16"/>
        <v>0</v>
      </c>
      <c r="D178" s="566">
        <f>+GETPIVOTDATA(" New Asc. avg",'Averages Pivot Table'!$A$3,"State","WV","Category",2,"Category2","Four-Year")</f>
        <v>0</v>
      </c>
      <c r="E178" s="119">
        <f t="shared" si="16"/>
        <v>0</v>
      </c>
      <c r="F178" s="566">
        <f>+GETPIVOTDATA(" New Ast. avg",'Averages Pivot Table'!$A$3,"State","WV","Category",2,"Category2","Four-Year")</f>
        <v>0</v>
      </c>
      <c r="G178" s="119">
        <f t="shared" si="12"/>
        <v>0</v>
      </c>
      <c r="H178" s="566">
        <f>+GETPIVOTDATA(" New Inst. avg",'Averages Pivot Table'!$A$3,"State","WV","Category",2,"Category2","Four-Year")</f>
        <v>0</v>
      </c>
      <c r="I178" s="119">
        <f t="shared" si="13"/>
        <v>0</v>
      </c>
      <c r="J178" s="566">
        <f>+GETPIVOTDATA(" New Undesg. avg",'Averages Pivot Table'!$A$3,"State","WV","Category",2,"Category2","Four-Year")</f>
        <v>0</v>
      </c>
      <c r="K178" s="119">
        <f t="shared" si="14"/>
        <v>0</v>
      </c>
      <c r="L178" s="566">
        <f>+GETPIVOTDATA(" New All Ranks avg",'Averages Pivot Table'!$A$3,"State","WV","Category",2,"Category2","Four-Year")</f>
        <v>0</v>
      </c>
      <c r="M178" s="119">
        <f t="shared" si="15"/>
        <v>0</v>
      </c>
      <c r="N178" s="126"/>
      <c r="O178" s="126"/>
    </row>
    <row r="179" spans="1:19" ht="30" customHeight="1" x14ac:dyDescent="0.25">
      <c r="A179" s="668" t="s">
        <v>91</v>
      </c>
      <c r="B179" s="673"/>
      <c r="C179" s="673"/>
      <c r="D179" s="673"/>
      <c r="E179" s="673"/>
      <c r="F179" s="673"/>
      <c r="G179" s="673"/>
      <c r="H179" s="673"/>
      <c r="I179" s="673"/>
      <c r="J179" s="673"/>
      <c r="K179" s="673"/>
      <c r="L179" s="673"/>
      <c r="M179" s="673"/>
      <c r="N179" s="132"/>
      <c r="O179" s="132"/>
    </row>
    <row r="180" spans="1:19" x14ac:dyDescent="0.25">
      <c r="M180" s="157" t="s">
        <v>1083</v>
      </c>
      <c r="O180" s="131"/>
    </row>
    <row r="181" spans="1:19" ht="18" x14ac:dyDescent="0.25">
      <c r="A181" s="544" t="s">
        <v>265</v>
      </c>
      <c r="B181" s="544"/>
      <c r="C181" s="544"/>
      <c r="D181" s="544"/>
      <c r="E181" s="544"/>
      <c r="F181" s="544"/>
      <c r="G181" s="544"/>
      <c r="H181" s="544"/>
      <c r="I181" s="544"/>
      <c r="J181" s="544"/>
      <c r="K181" s="544"/>
      <c r="L181" s="544"/>
      <c r="M181" s="544"/>
      <c r="N181" s="100"/>
      <c r="O181" s="100"/>
    </row>
    <row r="182" spans="1:19" x14ac:dyDescent="0.25">
      <c r="A182" s="132"/>
      <c r="B182" s="93"/>
      <c r="C182" s="93"/>
      <c r="D182" s="93"/>
      <c r="E182" s="93"/>
      <c r="F182" s="93"/>
      <c r="G182" s="93"/>
      <c r="H182" s="93"/>
      <c r="I182" s="93"/>
      <c r="J182" s="93"/>
      <c r="K182" s="93"/>
      <c r="L182" s="93"/>
      <c r="M182" s="93"/>
      <c r="N182" s="93"/>
      <c r="O182" s="93"/>
    </row>
    <row r="183" spans="1:19" x14ac:dyDescent="0.25">
      <c r="A183" s="665" t="s">
        <v>220</v>
      </c>
      <c r="B183" s="665"/>
      <c r="C183" s="665"/>
      <c r="D183" s="665"/>
      <c r="E183" s="665"/>
      <c r="F183" s="665"/>
      <c r="G183" s="665"/>
      <c r="H183" s="665"/>
      <c r="I183" s="665"/>
      <c r="J183" s="665"/>
      <c r="K183" s="665"/>
      <c r="L183" s="665"/>
      <c r="M183" s="665"/>
      <c r="N183" s="128"/>
      <c r="O183" s="128"/>
    </row>
    <row r="184" spans="1:19" x14ac:dyDescent="0.25">
      <c r="A184" s="665" t="s">
        <v>1066</v>
      </c>
      <c r="B184" s="665"/>
      <c r="C184" s="665"/>
      <c r="D184" s="665"/>
      <c r="E184" s="665"/>
      <c r="F184" s="665"/>
      <c r="G184" s="665"/>
      <c r="H184" s="665"/>
      <c r="I184" s="665"/>
      <c r="J184" s="665"/>
      <c r="K184" s="665"/>
      <c r="L184" s="665"/>
      <c r="M184" s="665"/>
      <c r="N184" s="128"/>
      <c r="O184" s="128"/>
    </row>
    <row r="185" spans="1:19" x14ac:dyDescent="0.25">
      <c r="A185" s="93"/>
      <c r="B185" s="93"/>
      <c r="C185" s="93"/>
      <c r="D185" s="93"/>
      <c r="E185" s="93"/>
      <c r="F185" s="93"/>
      <c r="G185" s="93"/>
      <c r="H185" s="93"/>
      <c r="I185" s="93"/>
      <c r="J185" s="93"/>
      <c r="K185" s="93"/>
      <c r="L185" s="93"/>
      <c r="M185" s="93"/>
      <c r="N185" s="136"/>
      <c r="O185" s="136"/>
    </row>
    <row r="186" spans="1:19" ht="31.5" customHeight="1" x14ac:dyDescent="0.25">
      <c r="A186" s="547"/>
      <c r="B186" s="589" t="s">
        <v>99</v>
      </c>
      <c r="C186" s="142"/>
      <c r="D186" s="590" t="s">
        <v>100</v>
      </c>
      <c r="E186" s="591"/>
      <c r="F186" s="590" t="s">
        <v>101</v>
      </c>
      <c r="G186" s="591"/>
      <c r="H186" s="589" t="s">
        <v>102</v>
      </c>
      <c r="I186" s="142"/>
      <c r="J186" s="590" t="s">
        <v>226</v>
      </c>
      <c r="K186" s="591"/>
      <c r="L186" s="142" t="s">
        <v>84</v>
      </c>
      <c r="M186" s="142"/>
      <c r="N186" s="129" t="s">
        <v>223</v>
      </c>
      <c r="O186" s="129"/>
    </row>
    <row r="187" spans="1:19" x14ac:dyDescent="0.25">
      <c r="A187" s="551"/>
      <c r="B187" s="115" t="s">
        <v>103</v>
      </c>
      <c r="C187" s="143" t="s">
        <v>193</v>
      </c>
      <c r="D187" s="115" t="s">
        <v>103</v>
      </c>
      <c r="E187" s="143" t="s">
        <v>193</v>
      </c>
      <c r="F187" s="115" t="s">
        <v>103</v>
      </c>
      <c r="G187" s="143" t="s">
        <v>193</v>
      </c>
      <c r="H187" s="115" t="s">
        <v>103</v>
      </c>
      <c r="I187" s="143" t="s">
        <v>193</v>
      </c>
      <c r="J187" s="115" t="s">
        <v>103</v>
      </c>
      <c r="K187" s="143" t="s">
        <v>193</v>
      </c>
      <c r="L187" s="115" t="s">
        <v>103</v>
      </c>
      <c r="M187" s="143" t="s">
        <v>193</v>
      </c>
      <c r="N187" s="120" t="s">
        <v>223</v>
      </c>
      <c r="O187" s="137"/>
    </row>
    <row r="188" spans="1:19" s="556" customFormat="1" ht="18" customHeight="1" x14ac:dyDescent="0.25">
      <c r="A188" s="554" t="s">
        <v>222</v>
      </c>
      <c r="B188" s="146">
        <f>+GETPIVOTDATA(" New Prof avg",'Averages Pivot Table'!$A$3,"Category",3,"Category2","Four-Year")</f>
        <v>84177.449757173206</v>
      </c>
      <c r="C188" s="146"/>
      <c r="D188" s="146">
        <f>+GETPIVOTDATA(" New Asc. avg",'Averages Pivot Table'!$A$3,"Category",3,"Category2","Four-Year")</f>
        <v>67603.786249167941</v>
      </c>
      <c r="E188" s="146"/>
      <c r="F188" s="146">
        <f>+GETPIVOTDATA(" New Ast. avg",'Averages Pivot Table'!$A$3,"Category",3,"Category2","Four-Year")</f>
        <v>58165.609938606809</v>
      </c>
      <c r="G188" s="146"/>
      <c r="H188" s="146">
        <f>+GETPIVOTDATA(" New Inst. avg",'Averages Pivot Table'!$A$3,"Category",3,"Category2","Four-Year")</f>
        <v>43920.213581830678</v>
      </c>
      <c r="I188" s="146"/>
      <c r="J188" s="146">
        <f>+GETPIVOTDATA(" New Undesg. avg",'Averages Pivot Table'!$A$3,"Category",3,"Category2","Four-Year")</f>
        <v>44668.755802643682</v>
      </c>
      <c r="K188" s="146"/>
      <c r="L188" s="146">
        <f>+GETPIVOTDATA(" New All Ranks avg",'Averages Pivot Table'!$A$3,"Category",3,"Category2","Four-Year")</f>
        <v>64005.908259329583</v>
      </c>
      <c r="M188" s="149"/>
      <c r="N188" s="144"/>
      <c r="O188" s="138"/>
      <c r="Q188" s="558"/>
      <c r="R188" s="558"/>
      <c r="S188" s="558"/>
    </row>
    <row r="189" spans="1:19" ht="12.95" customHeight="1" x14ac:dyDescent="0.25">
      <c r="A189" s="132"/>
      <c r="B189" s="123"/>
      <c r="C189" s="150"/>
      <c r="D189" s="123"/>
      <c r="E189" s="150"/>
      <c r="F189" s="123"/>
      <c r="G189" s="150"/>
      <c r="H189" s="123"/>
      <c r="I189" s="150"/>
      <c r="J189" s="123"/>
      <c r="K189" s="150"/>
      <c r="L189" s="123"/>
      <c r="M189" s="150"/>
      <c r="N189" s="594"/>
      <c r="O189" s="139"/>
    </row>
    <row r="190" spans="1:19" ht="12.95" customHeight="1" x14ac:dyDescent="0.25">
      <c r="A190" s="132" t="s">
        <v>205</v>
      </c>
      <c r="B190" s="126">
        <f>+GETPIVOTDATA(" New Prof avg",'Averages Pivot Table'!$A$3,"State","AL","Category",3,"Category2","Four-Year")</f>
        <v>82983.058536305733</v>
      </c>
      <c r="C190" s="118">
        <f t="shared" ref="C190:C208" si="17">IF(B190&gt;0,(RANK(B190,B$190:B$208)),0)</f>
        <v>6</v>
      </c>
      <c r="D190" s="126">
        <f>+GETPIVOTDATA(" New Asc. avg",'Averages Pivot Table'!$A$3,"State","AL","Category",3,"Category2","Four-Year")</f>
        <v>67047.943364480874</v>
      </c>
      <c r="E190" s="118">
        <f>IF(D190&gt;0,(RANK(D190,D$190:D$208)),0)</f>
        <v>6</v>
      </c>
      <c r="F190" s="126">
        <f>+GETPIVOTDATA(" New Ast. avg",'Averages Pivot Table'!$A$3,"State","AL","Category",3,"Category2","Four-Year")</f>
        <v>57098.780457373738</v>
      </c>
      <c r="G190" s="118">
        <f>IF(F190&gt;0,(RANK(F190,F$190:F$208)),0)</f>
        <v>8</v>
      </c>
      <c r="H190" s="126">
        <f>+GETPIVOTDATA(" New Inst. avg",'Averages Pivot Table'!$A$3,"State","AL","Category",3,"Category2","Four-Year")</f>
        <v>46794.463101098903</v>
      </c>
      <c r="I190" s="118">
        <f t="shared" ref="I190:I208" si="18">IF(H190&gt;0,(RANK(H190,H$190:H$208)),0)</f>
        <v>6</v>
      </c>
      <c r="J190" s="126">
        <f>+GETPIVOTDATA(" New Undesg. avg",'Averages Pivot Table'!$A$3,"State","AL","Category",3,"Category2","Four-Year")</f>
        <v>43444.352064788734</v>
      </c>
      <c r="K190" s="118">
        <f t="shared" ref="K190:K208" si="19">IF(J190&gt;0,(RANK(J190,J$190:J$208)),0)</f>
        <v>5</v>
      </c>
      <c r="L190" s="126">
        <f>+GETPIVOTDATA(" New All Ranks avg",'Averages Pivot Table'!$A$3,"State","AL","Category",3,"Category2","Four-Year")</f>
        <v>62356.524951547071</v>
      </c>
      <c r="M190" s="118">
        <f t="shared" ref="M190:M208" si="20">IF(L190&gt;0,(RANK(L190,L$190:L$208)),0)</f>
        <v>7</v>
      </c>
      <c r="N190" s="563"/>
      <c r="O190" s="118"/>
    </row>
    <row r="191" spans="1:19" ht="12.95" customHeight="1" x14ac:dyDescent="0.25">
      <c r="A191" s="132" t="s">
        <v>206</v>
      </c>
      <c r="B191" s="126">
        <f>+GETPIVOTDATA(" New Prof avg",'Averages Pivot Table'!$A$3,"State","AR","Category",3,"Category2","Four-Year")</f>
        <v>81384.938824451034</v>
      </c>
      <c r="C191" s="118">
        <f t="shared" si="17"/>
        <v>8</v>
      </c>
      <c r="D191" s="126">
        <f>+GETPIVOTDATA(" New Asc. avg",'Averages Pivot Table'!$A$3,"State","AR","Category",3,"Category2","Four-Year")</f>
        <v>64809.639012962769</v>
      </c>
      <c r="E191" s="118">
        <f t="shared" ref="E191:G208" si="21">IF(D191&gt;0,(RANK(D191,D$190:D$208)),0)</f>
        <v>9</v>
      </c>
      <c r="F191" s="126">
        <f>+GETPIVOTDATA(" New Ast. avg",'Averages Pivot Table'!$A$3,"State","AR","Category",3,"Category2","Four-Year")</f>
        <v>56760.281226106541</v>
      </c>
      <c r="G191" s="118">
        <f t="shared" si="21"/>
        <v>9</v>
      </c>
      <c r="H191" s="126">
        <f>+GETPIVOTDATA(" New Inst. avg",'Averages Pivot Table'!$A$3,"State","AR","Category",3,"Category2","Four-Year")</f>
        <v>39764.495720726671</v>
      </c>
      <c r="I191" s="118">
        <f t="shared" si="18"/>
        <v>12</v>
      </c>
      <c r="J191" s="126">
        <f>+GETPIVOTDATA(" New Undesg. avg",'Averages Pivot Table'!$A$3,"State","AR","Category",3,"Category2","Four-Year")</f>
        <v>40967.515067634144</v>
      </c>
      <c r="K191" s="118">
        <f t="shared" si="19"/>
        <v>8</v>
      </c>
      <c r="L191" s="126">
        <f>+GETPIVOTDATA(" New All Ranks avg",'Averages Pivot Table'!$A$3,"State","AR","Category",3,"Category2","Four-Year")</f>
        <v>60030.391081472146</v>
      </c>
      <c r="M191" s="118">
        <f t="shared" si="20"/>
        <v>12</v>
      </c>
      <c r="N191" s="563"/>
      <c r="O191" s="118"/>
    </row>
    <row r="192" spans="1:19" ht="12.95" customHeight="1" x14ac:dyDescent="0.25">
      <c r="A192" s="132" t="s">
        <v>221</v>
      </c>
      <c r="B192" s="126">
        <f>+GETPIVOTDATA(" New Prof avg",'Averages Pivot Table'!$A$3,"State","DE","Category",3,"Category2","Four-Year")</f>
        <v>0</v>
      </c>
      <c r="C192" s="118">
        <f t="shared" si="17"/>
        <v>0</v>
      </c>
      <c r="D192" s="126">
        <f>+GETPIVOTDATA(" New Asc. avg",'Averages Pivot Table'!$A$3,"State","DE","Category",3,"Category2","Four-Year")</f>
        <v>0</v>
      </c>
      <c r="E192" s="118">
        <f t="shared" si="21"/>
        <v>0</v>
      </c>
      <c r="F192" s="126">
        <f>+GETPIVOTDATA(" New Ast. avg",'Averages Pivot Table'!$A$3,"State","DE","Category",3,"Category2","Four-Year")</f>
        <v>0</v>
      </c>
      <c r="G192" s="118">
        <f t="shared" si="21"/>
        <v>0</v>
      </c>
      <c r="H192" s="126">
        <f>+GETPIVOTDATA(" New Inst. avg",'Averages Pivot Table'!$A$3,"State","DE","Category",3,"Category2","Four-Year")</f>
        <v>0</v>
      </c>
      <c r="I192" s="118">
        <f t="shared" si="18"/>
        <v>0</v>
      </c>
      <c r="J192" s="126">
        <f>+GETPIVOTDATA(" New Undesg. avg",'Averages Pivot Table'!$A$3,"State","DE","Category",3,"Category2","Four-Year")</f>
        <v>0</v>
      </c>
      <c r="K192" s="118">
        <f t="shared" si="19"/>
        <v>0</v>
      </c>
      <c r="L192" s="126">
        <f>+GETPIVOTDATA(" New All Ranks avg",'Averages Pivot Table'!$A$3,"State","DE","Category",3,"Category2","Four-Year")</f>
        <v>0</v>
      </c>
      <c r="M192" s="118">
        <f t="shared" si="20"/>
        <v>0</v>
      </c>
      <c r="N192" s="563"/>
      <c r="O192" s="118"/>
    </row>
    <row r="193" spans="1:15" ht="12.95" customHeight="1" x14ac:dyDescent="0.25">
      <c r="A193" s="132" t="s">
        <v>207</v>
      </c>
      <c r="B193" s="126">
        <f>+GETPIVOTDATA(" New Prof avg",'Averages Pivot Table'!$A$3,"State","FL","Category",3,"Category2","Four-Year")</f>
        <v>91215.494530872485</v>
      </c>
      <c r="C193" s="118">
        <f t="shared" si="17"/>
        <v>2</v>
      </c>
      <c r="D193" s="126">
        <f>+GETPIVOTDATA(" New Asc. avg",'Averages Pivot Table'!$A$3,"State","FL","Category",3,"Category2","Four-Year")</f>
        <v>70503.123205925935</v>
      </c>
      <c r="E193" s="118">
        <f t="shared" si="21"/>
        <v>3</v>
      </c>
      <c r="F193" s="126">
        <f>+GETPIVOTDATA(" New Ast. avg",'Averages Pivot Table'!$A$3,"State","FL","Category",3,"Category2","Four-Year")</f>
        <v>58639.988605820108</v>
      </c>
      <c r="G193" s="118">
        <f t="shared" si="21"/>
        <v>5</v>
      </c>
      <c r="H193" s="126">
        <f>+GETPIVOTDATA(" New Inst. avg",'Averages Pivot Table'!$A$3,"State","FL","Category",3,"Category2","Four-Year")</f>
        <v>48131.630537777775</v>
      </c>
      <c r="I193" s="118">
        <f t="shared" si="18"/>
        <v>4</v>
      </c>
      <c r="J193" s="126">
        <f>+GETPIVOTDATA(" New Undesg. avg",'Averages Pivot Table'!$A$3,"State","FL","Category",3,"Category2","Four-Year")</f>
        <v>43782.048199999997</v>
      </c>
      <c r="K193" s="118">
        <f t="shared" si="19"/>
        <v>4</v>
      </c>
      <c r="L193" s="126">
        <f>+GETPIVOTDATA(" New All Ranks avg",'Averages Pivot Table'!$A$3,"State","FL","Category",3,"Category2","Four-Year")</f>
        <v>68472.149521417334</v>
      </c>
      <c r="M193" s="118">
        <f t="shared" si="20"/>
        <v>2</v>
      </c>
      <c r="N193" s="563"/>
      <c r="O193" s="118"/>
    </row>
    <row r="194" spans="1:15" ht="12.95" customHeight="1" x14ac:dyDescent="0.25">
      <c r="A194" s="132"/>
      <c r="B194" s="126"/>
      <c r="C194" s="118">
        <f t="shared" si="17"/>
        <v>0</v>
      </c>
      <c r="D194" s="126"/>
      <c r="E194" s="118">
        <f t="shared" si="21"/>
        <v>0</v>
      </c>
      <c r="F194" s="126"/>
      <c r="G194" s="118">
        <f t="shared" si="21"/>
        <v>0</v>
      </c>
      <c r="H194" s="126"/>
      <c r="I194" s="118">
        <f t="shared" si="18"/>
        <v>0</v>
      </c>
      <c r="J194" s="126"/>
      <c r="K194" s="118">
        <f t="shared" si="19"/>
        <v>0</v>
      </c>
      <c r="L194" s="126"/>
      <c r="M194" s="118">
        <f t="shared" si="20"/>
        <v>0</v>
      </c>
      <c r="N194" s="563"/>
      <c r="O194" s="118"/>
    </row>
    <row r="195" spans="1:15" ht="12.95" customHeight="1" x14ac:dyDescent="0.25">
      <c r="A195" s="132" t="s">
        <v>208</v>
      </c>
      <c r="B195" s="126">
        <f>+GETPIVOTDATA(" New Prof avg",'Averages Pivot Table'!$A$3,"State","GA","Category",3,"Category2","Four-Year")</f>
        <v>78069.643554046997</v>
      </c>
      <c r="C195" s="118">
        <f t="shared" si="17"/>
        <v>12</v>
      </c>
      <c r="D195" s="126">
        <f>+GETPIVOTDATA(" New Asc. avg",'Averages Pivot Table'!$A$3,"State","GA","Category",3,"Category2","Four-Year")</f>
        <v>64050.025990049748</v>
      </c>
      <c r="E195" s="118">
        <f t="shared" si="21"/>
        <v>11</v>
      </c>
      <c r="F195" s="126">
        <f>+GETPIVOTDATA(" New Ast. avg",'Averages Pivot Table'!$A$3,"State","GA","Category",3,"Category2","Four-Year")</f>
        <v>55024.142642680781</v>
      </c>
      <c r="G195" s="118">
        <f t="shared" si="21"/>
        <v>11</v>
      </c>
      <c r="H195" s="126">
        <f>+GETPIVOTDATA(" New Inst. avg",'Averages Pivot Table'!$A$3,"State","GA","Category",3,"Category2","Four-Year")</f>
        <v>40069.604796638654</v>
      </c>
      <c r="I195" s="118">
        <f t="shared" si="18"/>
        <v>11</v>
      </c>
      <c r="J195" s="126">
        <f>+GETPIVOTDATA(" New Undesg. avg",'Averages Pivot Table'!$A$3,"State","GA","Category",3,"Category2","Four-Year")</f>
        <v>42630.766376785716</v>
      </c>
      <c r="K195" s="118">
        <f t="shared" si="19"/>
        <v>7</v>
      </c>
      <c r="L195" s="126">
        <f>+GETPIVOTDATA(" New All Ranks avg",'Averages Pivot Table'!$A$3,"State","GA","Category",3,"Category2","Four-Year")</f>
        <v>59435.184831609862</v>
      </c>
      <c r="M195" s="118">
        <f t="shared" si="20"/>
        <v>13</v>
      </c>
      <c r="N195" s="563"/>
      <c r="O195" s="118"/>
    </row>
    <row r="196" spans="1:15" ht="12.95" customHeight="1" x14ac:dyDescent="0.25">
      <c r="A196" s="132" t="s">
        <v>209</v>
      </c>
      <c r="B196" s="126">
        <f>+GETPIVOTDATA(" New Prof avg",'Averages Pivot Table'!$A$3,"State","KY","Category",3,"Category2","Four-Year")</f>
        <v>81931.38266989011</v>
      </c>
      <c r="C196" s="118">
        <f t="shared" si="17"/>
        <v>7</v>
      </c>
      <c r="D196" s="126">
        <f>+GETPIVOTDATA(" New Asc. avg",'Averages Pivot Table'!$A$3,"State","KY","Category",3,"Category2","Four-Year")</f>
        <v>64532.876192763157</v>
      </c>
      <c r="E196" s="118">
        <f t="shared" si="21"/>
        <v>10</v>
      </c>
      <c r="F196" s="126">
        <f>+GETPIVOTDATA(" New Ast. avg",'Averages Pivot Table'!$A$3,"State","KY","Category",3,"Category2","Four-Year")</f>
        <v>54369.890693883353</v>
      </c>
      <c r="G196" s="118">
        <f t="shared" si="21"/>
        <v>12</v>
      </c>
      <c r="H196" s="126">
        <f>+GETPIVOTDATA(" New Inst. avg",'Averages Pivot Table'!$A$3,"State","KY","Category",3,"Category2","Four-Year")</f>
        <v>42656.768524832216</v>
      </c>
      <c r="I196" s="118">
        <f t="shared" si="18"/>
        <v>9</v>
      </c>
      <c r="J196" s="126">
        <f>+GETPIVOTDATA(" New Undesg. avg",'Averages Pivot Table'!$A$3,"State","KY","Category",3,"Category2","Four-Year")</f>
        <v>46668.258206329112</v>
      </c>
      <c r="K196" s="118">
        <f t="shared" si="19"/>
        <v>2</v>
      </c>
      <c r="L196" s="126">
        <f>+GETPIVOTDATA(" New All Ranks avg",'Averages Pivot Table'!$A$3,"State","KY","Category",3,"Category2","Four-Year")</f>
        <v>60676.013868046815</v>
      </c>
      <c r="M196" s="118">
        <f t="shared" si="20"/>
        <v>11</v>
      </c>
      <c r="N196" s="563"/>
      <c r="O196" s="118"/>
    </row>
    <row r="197" spans="1:15" ht="12.95" customHeight="1" x14ac:dyDescent="0.25">
      <c r="A197" s="132" t="s">
        <v>210</v>
      </c>
      <c r="B197" s="126">
        <f>+GETPIVOTDATA(" New Prof avg",'Averages Pivot Table'!$A$3,"State","LA","Category",3,"Category2","Four-Year")</f>
        <v>78784.35028082192</v>
      </c>
      <c r="C197" s="118">
        <f t="shared" si="17"/>
        <v>11</v>
      </c>
      <c r="D197" s="126">
        <f>+GETPIVOTDATA(" New Asc. avg",'Averages Pivot Table'!$A$3,"State","LA","Category",3,"Category2","Four-Year")</f>
        <v>66568.446000704222</v>
      </c>
      <c r="E197" s="118">
        <f t="shared" si="21"/>
        <v>7</v>
      </c>
      <c r="F197" s="126">
        <f>+GETPIVOTDATA(" New Ast. avg",'Averages Pivot Table'!$A$3,"State","LA","Category",3,"Category2","Four-Year")</f>
        <v>57691.724913157894</v>
      </c>
      <c r="G197" s="118">
        <f t="shared" si="21"/>
        <v>6</v>
      </c>
      <c r="H197" s="126">
        <f>+GETPIVOTDATA(" New Inst. avg",'Averages Pivot Table'!$A$3,"State","LA","Category",3,"Category2","Four-Year")</f>
        <v>45026.05462822086</v>
      </c>
      <c r="I197" s="118">
        <f t="shared" si="18"/>
        <v>8</v>
      </c>
      <c r="J197" s="126">
        <f>+GETPIVOTDATA(" New Undesg. avg",'Averages Pivot Table'!$A$3,"State","LA","Category",3,"Category2","Four-Year")</f>
        <v>46360.85</v>
      </c>
      <c r="K197" s="118">
        <f t="shared" si="19"/>
        <v>3</v>
      </c>
      <c r="L197" s="126">
        <f>+GETPIVOTDATA(" New All Ranks avg",'Averages Pivot Table'!$A$3,"State","LA","Category",3,"Category2","Four-Year")</f>
        <v>61415.446717851242</v>
      </c>
      <c r="M197" s="118">
        <f t="shared" si="20"/>
        <v>10</v>
      </c>
      <c r="N197" s="563"/>
      <c r="O197" s="118"/>
    </row>
    <row r="198" spans="1:15" ht="12.95" customHeight="1" x14ac:dyDescent="0.25">
      <c r="A198" s="132" t="s">
        <v>211</v>
      </c>
      <c r="B198" s="126">
        <f>+GETPIVOTDATA(" New Prof avg",'Averages Pivot Table'!$A$3,"State","MD","Category",3,"Category2","Four-Year")</f>
        <v>89527.685111328348</v>
      </c>
      <c r="C198" s="118">
        <f t="shared" si="17"/>
        <v>3</v>
      </c>
      <c r="D198" s="126">
        <f>+GETPIVOTDATA(" New Asc. avg",'Averages Pivot Table'!$A$3,"State","MD","Category",3,"Category2","Four-Year")</f>
        <v>71361.675513688489</v>
      </c>
      <c r="E198" s="118">
        <f t="shared" si="21"/>
        <v>2</v>
      </c>
      <c r="F198" s="126">
        <f>+GETPIVOTDATA(" New Ast. avg",'Averages Pivot Table'!$A$3,"State","MD","Category",3,"Category2","Four-Year")</f>
        <v>61867.559730618741</v>
      </c>
      <c r="G198" s="118">
        <f t="shared" si="21"/>
        <v>2</v>
      </c>
      <c r="H198" s="126">
        <f>+GETPIVOTDATA(" New Inst. avg",'Averages Pivot Table'!$A$3,"State","MD","Category",3,"Category2","Four-Year")</f>
        <v>50577.044999999998</v>
      </c>
      <c r="I198" s="118">
        <f t="shared" si="18"/>
        <v>3</v>
      </c>
      <c r="J198" s="126">
        <f>+GETPIVOTDATA(" New Undesg. avg",'Averages Pivot Table'!$A$3,"State","MD","Category",3,"Category2","Four-Year")</f>
        <v>39680.976000000002</v>
      </c>
      <c r="K198" s="118">
        <f t="shared" si="19"/>
        <v>9</v>
      </c>
      <c r="L198" s="126">
        <f>+GETPIVOTDATA(" New All Ranks avg",'Averages Pivot Table'!$A$3,"State","MD","Category",3,"Category2","Four-Year")</f>
        <v>65202.053231413083</v>
      </c>
      <c r="M198" s="118">
        <f t="shared" si="20"/>
        <v>4</v>
      </c>
      <c r="N198" s="563"/>
      <c r="O198" s="118"/>
    </row>
    <row r="199" spans="1:15" ht="12.95" customHeight="1" x14ac:dyDescent="0.25">
      <c r="A199" s="132"/>
      <c r="B199" s="126"/>
      <c r="C199" s="118">
        <f t="shared" si="17"/>
        <v>0</v>
      </c>
      <c r="D199" s="126"/>
      <c r="E199" s="118">
        <f t="shared" si="21"/>
        <v>0</v>
      </c>
      <c r="F199" s="126"/>
      <c r="G199" s="118">
        <f t="shared" si="21"/>
        <v>0</v>
      </c>
      <c r="H199" s="126"/>
      <c r="I199" s="118">
        <f t="shared" si="18"/>
        <v>0</v>
      </c>
      <c r="J199" s="126"/>
      <c r="K199" s="118">
        <f t="shared" si="19"/>
        <v>0</v>
      </c>
      <c r="L199" s="126"/>
      <c r="M199" s="118">
        <f t="shared" si="20"/>
        <v>0</v>
      </c>
      <c r="N199" s="563"/>
      <c r="O199" s="118"/>
    </row>
    <row r="200" spans="1:15" ht="12.95" customHeight="1" x14ac:dyDescent="0.25">
      <c r="A200" s="132" t="s">
        <v>212</v>
      </c>
      <c r="B200" s="126">
        <f>+GETPIVOTDATA(" New Prof avg",'Averages Pivot Table'!$A$3,"State","MS","Category",3,"Category2","Four-Year")</f>
        <v>0</v>
      </c>
      <c r="C200" s="118">
        <f t="shared" si="17"/>
        <v>0</v>
      </c>
      <c r="D200" s="126">
        <f>+GETPIVOTDATA(" New Asc. avg",'Averages Pivot Table'!$A$3,"State","MS","Category",3,"Category2","Four-Year")</f>
        <v>0</v>
      </c>
      <c r="E200" s="118">
        <f t="shared" si="21"/>
        <v>0</v>
      </c>
      <c r="F200" s="126">
        <f>+GETPIVOTDATA(" New Ast. avg",'Averages Pivot Table'!$A$3,"State","MS","Category",3,"Category2","Four-Year")</f>
        <v>0</v>
      </c>
      <c r="G200" s="118">
        <f t="shared" si="21"/>
        <v>0</v>
      </c>
      <c r="H200" s="126">
        <f>+GETPIVOTDATA(" New Inst. avg",'Averages Pivot Table'!$A$3,"State","MS","Category",3,"Category2","Four-Year")</f>
        <v>0</v>
      </c>
      <c r="I200" s="118">
        <f t="shared" si="18"/>
        <v>0</v>
      </c>
      <c r="J200" s="126">
        <f>+GETPIVOTDATA(" New Undesg. avg",'Averages Pivot Table'!$A$3,"State","MS","Category",3,"Category2","Four-Year")</f>
        <v>0</v>
      </c>
      <c r="K200" s="118">
        <f t="shared" si="19"/>
        <v>0</v>
      </c>
      <c r="L200" s="126">
        <f>+GETPIVOTDATA(" New All Ranks avg",'Averages Pivot Table'!$A$3,"State","MS","Category",3,"Category2","Four-Year")</f>
        <v>0</v>
      </c>
      <c r="M200" s="118">
        <f t="shared" si="20"/>
        <v>0</v>
      </c>
      <c r="N200" s="563"/>
      <c r="O200" s="118"/>
    </row>
    <row r="201" spans="1:15" ht="12.95" customHeight="1" x14ac:dyDescent="0.25">
      <c r="A201" s="132" t="s">
        <v>213</v>
      </c>
      <c r="B201" s="126">
        <f>+GETPIVOTDATA(" New Prof avg",'Averages Pivot Table'!$A$3,"State","NC","Category",3,"Category2","Four-Year")</f>
        <v>92439.11047280702</v>
      </c>
      <c r="C201" s="118">
        <f t="shared" si="17"/>
        <v>1</v>
      </c>
      <c r="D201" s="126">
        <f>+GETPIVOTDATA(" New Asc. avg",'Averages Pivot Table'!$A$3,"State","NC","Category",3,"Category2","Four-Year")</f>
        <v>73558.441963416612</v>
      </c>
      <c r="E201" s="118">
        <f t="shared" si="21"/>
        <v>1</v>
      </c>
      <c r="F201" s="126">
        <f>+GETPIVOTDATA(" New Ast. avg",'Averages Pivot Table'!$A$3,"State","NC","Category",3,"Category2","Four-Year")</f>
        <v>63484.481559396991</v>
      </c>
      <c r="G201" s="118">
        <f t="shared" si="21"/>
        <v>1</v>
      </c>
      <c r="H201" s="126">
        <f>+GETPIVOTDATA(" New Inst. avg",'Averages Pivot Table'!$A$3,"State","NC","Category",3,"Category2","Four-Year")</f>
        <v>53822.954786046517</v>
      </c>
      <c r="I201" s="118">
        <f t="shared" si="18"/>
        <v>1</v>
      </c>
      <c r="J201" s="126">
        <f>+GETPIVOTDATA(" New Undesg. avg",'Averages Pivot Table'!$A$3,"State","NC","Category",3,"Category2","Four-Year")</f>
        <v>49699.092965406642</v>
      </c>
      <c r="K201" s="118">
        <f t="shared" si="19"/>
        <v>1</v>
      </c>
      <c r="L201" s="126">
        <f>+GETPIVOTDATA(" New All Ranks avg",'Averages Pivot Table'!$A$3,"State","NC","Category",3,"Category2","Four-Year")</f>
        <v>69994.894093011826</v>
      </c>
      <c r="M201" s="118">
        <f t="shared" si="20"/>
        <v>1</v>
      </c>
      <c r="N201" s="563"/>
      <c r="O201" s="118"/>
    </row>
    <row r="202" spans="1:15" ht="12.95" customHeight="1" x14ac:dyDescent="0.25">
      <c r="A202" s="132" t="s">
        <v>214</v>
      </c>
      <c r="B202" s="126">
        <f>+GETPIVOTDATA(" New Prof avg",'Averages Pivot Table'!$A$3,"State","OK","Category",3,"Category2","Four-Year")</f>
        <v>75351.803560538116</v>
      </c>
      <c r="C202" s="118">
        <f t="shared" si="17"/>
        <v>13</v>
      </c>
      <c r="D202" s="126">
        <f>+GETPIVOTDATA(" New Asc. avg",'Averages Pivot Table'!$A$3,"State","OK","Category",3,"Category2","Four-Year")</f>
        <v>60087.542496732029</v>
      </c>
      <c r="E202" s="118">
        <f t="shared" si="21"/>
        <v>14</v>
      </c>
      <c r="F202" s="126">
        <f>+GETPIVOTDATA(" New Ast. avg",'Averages Pivot Table'!$A$3,"State","OK","Category",3,"Category2","Four-Year")</f>
        <v>55679.672572727271</v>
      </c>
      <c r="G202" s="118">
        <f t="shared" si="21"/>
        <v>10</v>
      </c>
      <c r="H202" s="126">
        <f>+GETPIVOTDATA(" New Inst. avg",'Averages Pivot Table'!$A$3,"State","OK","Category",3,"Category2","Four-Year")</f>
        <v>40927.730386592179</v>
      </c>
      <c r="I202" s="118">
        <f t="shared" si="18"/>
        <v>10</v>
      </c>
      <c r="J202" s="126">
        <f>+GETPIVOTDATA(" New Undesg. avg",'Averages Pivot Table'!$A$3,"State","OK","Category",3,"Category2","Four-Year")</f>
        <v>0</v>
      </c>
      <c r="K202" s="118">
        <f t="shared" si="19"/>
        <v>0</v>
      </c>
      <c r="L202" s="126">
        <f>+GETPIVOTDATA(" New All Ranks avg",'Averages Pivot Table'!$A$3,"State","OK","Category",3,"Category2","Four-Year")</f>
        <v>58803.14567896774</v>
      </c>
      <c r="M202" s="118">
        <f t="shared" si="20"/>
        <v>14</v>
      </c>
      <c r="N202" s="563"/>
      <c r="O202" s="118"/>
    </row>
    <row r="203" spans="1:15" ht="12.95" customHeight="1" x14ac:dyDescent="0.25">
      <c r="A203" s="132" t="s">
        <v>215</v>
      </c>
      <c r="B203" s="126">
        <f>+GETPIVOTDATA(" New Prof avg",'Averages Pivot Table'!$A$3,"State","SC","Category",3,"Category2","Four-Year")</f>
        <v>80198.337327188943</v>
      </c>
      <c r="C203" s="118">
        <f t="shared" si="17"/>
        <v>9</v>
      </c>
      <c r="D203" s="126">
        <f>+GETPIVOTDATA(" New Asc. avg",'Averages Pivot Table'!$A$3,"State","SC","Category",3,"Category2","Four-Year")</f>
        <v>64865.332522352939</v>
      </c>
      <c r="E203" s="118">
        <f t="shared" si="21"/>
        <v>8</v>
      </c>
      <c r="F203" s="126">
        <f>+GETPIVOTDATA(" New Ast. avg",'Averages Pivot Table'!$A$3,"State","SC","Category",3,"Category2","Four-Year")</f>
        <v>57595.933168852454</v>
      </c>
      <c r="G203" s="118">
        <f t="shared" si="21"/>
        <v>7</v>
      </c>
      <c r="H203" s="126">
        <f>+GETPIVOTDATA(" New Inst. avg",'Averages Pivot Table'!$A$3,"State","SC","Category",3,"Category2","Four-Year")</f>
        <v>47512.571195555553</v>
      </c>
      <c r="I203" s="118">
        <f t="shared" si="18"/>
        <v>5</v>
      </c>
      <c r="J203" s="126">
        <f>+GETPIVOTDATA(" New Undesg. avg",'Averages Pivot Table'!$A$3,"State","SC","Category",3,"Category2","Four-Year")</f>
        <v>30000</v>
      </c>
      <c r="K203" s="118">
        <f t="shared" si="19"/>
        <v>11</v>
      </c>
      <c r="L203" s="126">
        <f>+GETPIVOTDATA(" New All Ranks avg",'Averages Pivot Table'!$A$3,"State","SC","Category",3,"Category2","Four-Year")</f>
        <v>64811.943115241644</v>
      </c>
      <c r="M203" s="118">
        <f t="shared" si="20"/>
        <v>5</v>
      </c>
      <c r="N203" s="563"/>
      <c r="O203" s="118"/>
    </row>
    <row r="204" spans="1:15" ht="12.95" customHeight="1" x14ac:dyDescent="0.25">
      <c r="A204" s="132"/>
      <c r="B204" s="126"/>
      <c r="C204" s="118">
        <f t="shared" si="17"/>
        <v>0</v>
      </c>
      <c r="D204" s="126"/>
      <c r="E204" s="118">
        <f t="shared" si="21"/>
        <v>0</v>
      </c>
      <c r="F204" s="126"/>
      <c r="G204" s="118">
        <f t="shared" si="21"/>
        <v>0</v>
      </c>
      <c r="H204" s="126"/>
      <c r="I204" s="118">
        <f t="shared" si="18"/>
        <v>0</v>
      </c>
      <c r="J204" s="126"/>
      <c r="K204" s="118">
        <f t="shared" si="19"/>
        <v>0</v>
      </c>
      <c r="L204" s="126"/>
      <c r="M204" s="118">
        <f t="shared" si="20"/>
        <v>0</v>
      </c>
      <c r="N204" s="563"/>
      <c r="O204" s="118"/>
    </row>
    <row r="205" spans="1:15" ht="12.95" customHeight="1" x14ac:dyDescent="0.25">
      <c r="A205" s="132" t="s">
        <v>216</v>
      </c>
      <c r="B205" s="563">
        <f>+GETPIVOTDATA(" New Prof avg",'Averages Pivot Table'!$A$3,"State","TN","Category",3,"Category2","Four-Year")</f>
        <v>79871.872799533245</v>
      </c>
      <c r="C205" s="118">
        <f t="shared" si="17"/>
        <v>10</v>
      </c>
      <c r="D205" s="563">
        <f>+GETPIVOTDATA(" New Asc. avg",'Averages Pivot Table'!$A$3,"State","TN","Category",3,"Category2","Four-Year")</f>
        <v>62616.92422848392</v>
      </c>
      <c r="E205" s="118">
        <f t="shared" si="21"/>
        <v>12</v>
      </c>
      <c r="F205" s="563">
        <f>+GETPIVOTDATA(" New Ast. avg",'Averages Pivot Table'!$A$3,"State","TN","Category",3,"Category2","Four-Year")</f>
        <v>53291.274078386166</v>
      </c>
      <c r="G205" s="118">
        <f t="shared" si="21"/>
        <v>13</v>
      </c>
      <c r="H205" s="563">
        <f>+GETPIVOTDATA(" New Inst. avg",'Averages Pivot Table'!$A$3,"State","TN","Category",3,"Category2","Four-Year")</f>
        <v>39509.143176865677</v>
      </c>
      <c r="I205" s="118">
        <f t="shared" si="18"/>
        <v>13</v>
      </c>
      <c r="J205" s="563">
        <f>+GETPIVOTDATA(" New Undesg. avg",'Averages Pivot Table'!$A$3,"State","TN","Category",3,"Category2","Four-Year")</f>
        <v>34468.226724503307</v>
      </c>
      <c r="K205" s="118">
        <f t="shared" si="19"/>
        <v>10</v>
      </c>
      <c r="L205" s="563">
        <f>+GETPIVOTDATA(" New All Ranks avg",'Averages Pivot Table'!$A$3,"State","TN","Category",3,"Category2","Four-Year")</f>
        <v>61805.697036828045</v>
      </c>
      <c r="M205" s="118">
        <f t="shared" si="20"/>
        <v>8</v>
      </c>
      <c r="N205" s="563"/>
      <c r="O205" s="118"/>
    </row>
    <row r="206" spans="1:15" ht="12.95" customHeight="1" x14ac:dyDescent="0.25">
      <c r="A206" s="132" t="s">
        <v>217</v>
      </c>
      <c r="B206" s="563">
        <f>+GETPIVOTDATA(" New Prof avg",'Averages Pivot Table'!$A$3,"State","TX","Category",3,"Category2","Four-Year")</f>
        <v>86101.785086267177</v>
      </c>
      <c r="C206" s="118">
        <f t="shared" si="17"/>
        <v>5</v>
      </c>
      <c r="D206" s="563">
        <f>+GETPIVOTDATA(" New Asc. avg",'Averages Pivot Table'!$A$3,"State","TX","Category",3,"Category2","Four-Year")</f>
        <v>68436.907711576627</v>
      </c>
      <c r="E206" s="118">
        <f t="shared" si="21"/>
        <v>4</v>
      </c>
      <c r="F206" s="563">
        <f>+GETPIVOTDATA(" New Ast. avg",'Averages Pivot Table'!$A$3,"State","TX","Category",3,"Category2","Four-Year")</f>
        <v>59775.277916310675</v>
      </c>
      <c r="G206" s="118">
        <f t="shared" si="21"/>
        <v>4</v>
      </c>
      <c r="H206" s="563">
        <f>+GETPIVOTDATA(" New Inst. avg",'Averages Pivot Table'!$A$3,"State","TX","Category",3,"Category2","Four-Year")</f>
        <v>45240.697146082952</v>
      </c>
      <c r="I206" s="118">
        <f t="shared" si="18"/>
        <v>7</v>
      </c>
      <c r="J206" s="563">
        <f>+GETPIVOTDATA(" New Undesg. avg",'Averages Pivot Table'!$A$3,"State","TX","Category",3,"Category2","Four-Year")</f>
        <v>43311.275305597635</v>
      </c>
      <c r="K206" s="118">
        <f t="shared" si="19"/>
        <v>6</v>
      </c>
      <c r="L206" s="563">
        <f>+GETPIVOTDATA(" New All Ranks avg",'Averages Pivot Table'!$A$3,"State","TX","Category",3,"Category2","Four-Year")</f>
        <v>64130.952037511772</v>
      </c>
      <c r="M206" s="118">
        <f t="shared" si="20"/>
        <v>6</v>
      </c>
      <c r="N206" s="563"/>
      <c r="O206" s="118"/>
    </row>
    <row r="207" spans="1:15" ht="12.95" customHeight="1" x14ac:dyDescent="0.25">
      <c r="A207" s="132" t="s">
        <v>218</v>
      </c>
      <c r="B207" s="563">
        <f>+GETPIVOTDATA(" New Prof avg",'Averages Pivot Table'!$A$3,"State","VA","Category",3,"Category2","Four-Year")</f>
        <v>86711.036476571433</v>
      </c>
      <c r="C207" s="118">
        <f t="shared" si="17"/>
        <v>4</v>
      </c>
      <c r="D207" s="563">
        <f>+GETPIVOTDATA(" New Asc. avg",'Averages Pivot Table'!$A$3,"State","VA","Category",3,"Category2","Four-Year")</f>
        <v>67282.919125423738</v>
      </c>
      <c r="E207" s="118">
        <f t="shared" si="21"/>
        <v>5</v>
      </c>
      <c r="F207" s="563">
        <f>+GETPIVOTDATA(" New Ast. avg",'Averages Pivot Table'!$A$3,"State","VA","Category",3,"Category2","Four-Year")</f>
        <v>59981.131475555558</v>
      </c>
      <c r="G207" s="118">
        <f t="shared" si="21"/>
        <v>3</v>
      </c>
      <c r="H207" s="563">
        <f>+GETPIVOTDATA(" New Inst. avg",'Averages Pivot Table'!$A$3,"State","VA","Category",3,"Category2","Four-Year")</f>
        <v>51388.610883977904</v>
      </c>
      <c r="I207" s="118">
        <f t="shared" si="18"/>
        <v>2</v>
      </c>
      <c r="J207" s="563">
        <f>+GETPIVOTDATA(" New Undesg. avg",'Averages Pivot Table'!$A$3,"State","VA","Category",3,"Category2","Four-Year")</f>
        <v>0</v>
      </c>
      <c r="K207" s="118">
        <f t="shared" si="19"/>
        <v>0</v>
      </c>
      <c r="L207" s="563">
        <f>+GETPIVOTDATA(" New All Ranks avg",'Averages Pivot Table'!$A$3,"State","VA","Category",3,"Category2","Four-Year")</f>
        <v>68374.257849915681</v>
      </c>
      <c r="M207" s="118">
        <f t="shared" si="20"/>
        <v>3</v>
      </c>
      <c r="N207" s="563"/>
      <c r="O207" s="118"/>
    </row>
    <row r="208" spans="1:15" ht="12.95" customHeight="1" x14ac:dyDescent="0.25">
      <c r="A208" s="6" t="s">
        <v>219</v>
      </c>
      <c r="B208" s="566">
        <f>+GETPIVOTDATA(" New Prof avg",'Averages Pivot Table'!$A$3,"State","WV","Category",3,"Category2","Four-Year")</f>
        <v>75170.60173596059</v>
      </c>
      <c r="C208" s="119">
        <f t="shared" si="17"/>
        <v>14</v>
      </c>
      <c r="D208" s="566">
        <f>+GETPIVOTDATA(" New Asc. avg",'Averages Pivot Table'!$A$3,"State","WV","Category",3,"Category2","Four-Year")</f>
        <v>61790.674786440679</v>
      </c>
      <c r="E208" s="119">
        <f t="shared" si="21"/>
        <v>13</v>
      </c>
      <c r="F208" s="566">
        <f>+GETPIVOTDATA(" New Ast. avg",'Averages Pivot Table'!$A$3,"State","WV","Category",3,"Category2","Four-Year")</f>
        <v>51871.453511111111</v>
      </c>
      <c r="G208" s="119">
        <f t="shared" si="21"/>
        <v>14</v>
      </c>
      <c r="H208" s="566">
        <f>+GETPIVOTDATA(" New Inst. avg",'Averages Pivot Table'!$A$3,"State","WV","Category",3,"Category2","Four-Year")</f>
        <v>36401</v>
      </c>
      <c r="I208" s="119">
        <f t="shared" si="18"/>
        <v>14</v>
      </c>
      <c r="J208" s="566">
        <f>+GETPIVOTDATA(" New Undesg. avg",'Averages Pivot Table'!$A$3,"State","WV","Category",3,"Category2","Four-Year")</f>
        <v>0</v>
      </c>
      <c r="K208" s="119">
        <f t="shared" si="19"/>
        <v>0</v>
      </c>
      <c r="L208" s="566">
        <f>+GETPIVOTDATA(" New All Ranks avg",'Averages Pivot Table'!$A$3,"State","WV","Category",3,"Category2","Four-Year")</f>
        <v>61753.507676000008</v>
      </c>
      <c r="M208" s="119">
        <f t="shared" si="20"/>
        <v>9</v>
      </c>
      <c r="N208" s="563"/>
      <c r="O208" s="118"/>
    </row>
    <row r="209" spans="1:19" ht="30" customHeight="1" x14ac:dyDescent="0.25">
      <c r="A209" s="668" t="s">
        <v>91</v>
      </c>
      <c r="B209" s="673"/>
      <c r="C209" s="673"/>
      <c r="D209" s="673"/>
      <c r="E209" s="673"/>
      <c r="F209" s="673"/>
      <c r="G209" s="673"/>
      <c r="H209" s="673"/>
      <c r="I209" s="673"/>
      <c r="J209" s="673"/>
      <c r="K209" s="673"/>
      <c r="L209" s="673"/>
      <c r="M209" s="673"/>
      <c r="N209" s="132"/>
      <c r="O209" s="132"/>
    </row>
    <row r="210" spans="1:19" x14ac:dyDescent="0.25">
      <c r="M210" s="157" t="s">
        <v>1088</v>
      </c>
      <c r="O210" s="131"/>
    </row>
    <row r="211" spans="1:19" ht="18" x14ac:dyDescent="0.25">
      <c r="A211" s="544" t="s">
        <v>266</v>
      </c>
      <c r="B211" s="544"/>
      <c r="C211" s="544"/>
      <c r="D211" s="544"/>
      <c r="E211" s="544"/>
      <c r="F211" s="544"/>
      <c r="G211" s="544"/>
      <c r="H211" s="544"/>
      <c r="I211" s="544"/>
      <c r="J211" s="544"/>
      <c r="K211" s="544"/>
      <c r="L211" s="544"/>
      <c r="M211" s="544"/>
      <c r="N211" s="100"/>
      <c r="O211" s="100"/>
    </row>
    <row r="212" spans="1:19" x14ac:dyDescent="0.25">
      <c r="A212" s="132"/>
      <c r="B212" s="93"/>
      <c r="C212" s="93"/>
      <c r="D212" s="93"/>
      <c r="E212" s="93"/>
      <c r="F212" s="93"/>
      <c r="G212" s="93"/>
      <c r="H212" s="93"/>
      <c r="I212" s="93"/>
      <c r="J212" s="93"/>
      <c r="K212" s="93"/>
      <c r="L212" s="93"/>
      <c r="M212" s="93"/>
      <c r="N212" s="93"/>
      <c r="O212" s="93"/>
    </row>
    <row r="213" spans="1:19" x14ac:dyDescent="0.25">
      <c r="A213" s="665" t="s">
        <v>220</v>
      </c>
      <c r="B213" s="665"/>
      <c r="C213" s="665"/>
      <c r="D213" s="665"/>
      <c r="E213" s="665"/>
      <c r="F213" s="665"/>
      <c r="G213" s="665"/>
      <c r="H213" s="665"/>
      <c r="I213" s="665"/>
      <c r="J213" s="665"/>
      <c r="K213" s="665"/>
      <c r="L213" s="665"/>
      <c r="M213" s="665"/>
      <c r="N213" s="128"/>
      <c r="O213" s="128"/>
    </row>
    <row r="214" spans="1:19" x14ac:dyDescent="0.25">
      <c r="A214" s="665" t="s">
        <v>1065</v>
      </c>
      <c r="B214" s="665"/>
      <c r="C214" s="665"/>
      <c r="D214" s="665"/>
      <c r="E214" s="665"/>
      <c r="F214" s="665"/>
      <c r="G214" s="665"/>
      <c r="H214" s="665"/>
      <c r="I214" s="665"/>
      <c r="J214" s="665"/>
      <c r="K214" s="665"/>
      <c r="L214" s="665"/>
      <c r="M214" s="665"/>
      <c r="N214" s="128"/>
      <c r="O214" s="128"/>
    </row>
    <row r="215" spans="1:19" x14ac:dyDescent="0.25">
      <c r="A215" s="93"/>
      <c r="B215" s="93"/>
      <c r="C215" s="93"/>
      <c r="D215" s="93"/>
      <c r="E215" s="93"/>
      <c r="F215" s="93"/>
      <c r="G215" s="93"/>
      <c r="H215" s="93"/>
      <c r="I215" s="93"/>
      <c r="J215" s="93"/>
      <c r="K215" s="93"/>
      <c r="L215" s="93"/>
      <c r="M215" s="93"/>
      <c r="N215" s="126"/>
      <c r="O215" s="126"/>
    </row>
    <row r="216" spans="1:19" ht="31.5" customHeight="1" x14ac:dyDescent="0.25">
      <c r="A216" s="547"/>
      <c r="B216" s="589" t="s">
        <v>99</v>
      </c>
      <c r="C216" s="142"/>
      <c r="D216" s="590" t="s">
        <v>100</v>
      </c>
      <c r="E216" s="591"/>
      <c r="F216" s="590" t="s">
        <v>101</v>
      </c>
      <c r="G216" s="591"/>
      <c r="H216" s="589" t="s">
        <v>102</v>
      </c>
      <c r="I216" s="142"/>
      <c r="J216" s="590" t="s">
        <v>226</v>
      </c>
      <c r="K216" s="591"/>
      <c r="L216" s="142" t="s">
        <v>84</v>
      </c>
      <c r="M216" s="142"/>
      <c r="N216" s="129" t="s">
        <v>223</v>
      </c>
      <c r="O216" s="129"/>
    </row>
    <row r="217" spans="1:19" x14ac:dyDescent="0.25">
      <c r="A217" s="551"/>
      <c r="B217" s="115" t="s">
        <v>103</v>
      </c>
      <c r="C217" s="143" t="s">
        <v>193</v>
      </c>
      <c r="D217" s="115" t="s">
        <v>103</v>
      </c>
      <c r="E217" s="143" t="s">
        <v>193</v>
      </c>
      <c r="F217" s="115" t="s">
        <v>103</v>
      </c>
      <c r="G217" s="143" t="s">
        <v>193</v>
      </c>
      <c r="H217" s="115" t="s">
        <v>103</v>
      </c>
      <c r="I217" s="143" t="s">
        <v>193</v>
      </c>
      <c r="J217" s="115" t="s">
        <v>103</v>
      </c>
      <c r="K217" s="143" t="s">
        <v>193</v>
      </c>
      <c r="L217" s="115" t="s">
        <v>103</v>
      </c>
      <c r="M217" s="143" t="s">
        <v>193</v>
      </c>
      <c r="N217" s="126" t="s">
        <v>223</v>
      </c>
      <c r="O217" s="126"/>
    </row>
    <row r="218" spans="1:19" s="556" customFormat="1" ht="18" customHeight="1" x14ac:dyDescent="0.25">
      <c r="A218" s="554" t="s">
        <v>222</v>
      </c>
      <c r="B218" s="146">
        <f>+GETPIVOTDATA(" New Prof avg",'Averages Pivot Table'!$A$3,"Category",4,"Category2","Four-Year")</f>
        <v>80967.688196393065</v>
      </c>
      <c r="C218" s="146"/>
      <c r="D218" s="146">
        <f>+GETPIVOTDATA(" New Asc. avg",'Averages Pivot Table'!$A$3,"Category",4,"Category2","Four-Year")</f>
        <v>65861.650952985525</v>
      </c>
      <c r="E218" s="146"/>
      <c r="F218" s="146">
        <f>+GETPIVOTDATA(" New Ast. avg",'Averages Pivot Table'!$A$3,"Category",4,"Category2","Four-Year")</f>
        <v>56753.138438230169</v>
      </c>
      <c r="G218" s="146"/>
      <c r="H218" s="146">
        <f>+GETPIVOTDATA(" New Inst. avg",'Averages Pivot Table'!$A$3,"Category",4,"Category2","Four-Year")</f>
        <v>44379.862179465694</v>
      </c>
      <c r="I218" s="146"/>
      <c r="J218" s="146">
        <f>+GETPIVOTDATA(" New Undesg. avg",'Averages Pivot Table'!$A$3,"Category",4,"Category2","Four-Year")</f>
        <v>46005.351678084175</v>
      </c>
      <c r="K218" s="146"/>
      <c r="L218" s="146">
        <f>+GETPIVOTDATA(" New All Ranks avg",'Averages Pivot Table'!$A$3,"Category",4,"Category2","Four-Year")</f>
        <v>62004.409266607043</v>
      </c>
      <c r="M218" s="149"/>
      <c r="N218" s="140"/>
      <c r="O218" s="140"/>
      <c r="Q218" s="558"/>
      <c r="R218" s="558"/>
      <c r="S218" s="558"/>
    </row>
    <row r="219" spans="1:19" ht="12.95" customHeight="1" x14ac:dyDescent="0.25">
      <c r="A219" s="132"/>
      <c r="B219" s="123"/>
      <c r="C219" s="150"/>
      <c r="D219" s="123"/>
      <c r="E219" s="150"/>
      <c r="F219" s="123"/>
      <c r="G219" s="150"/>
      <c r="H219" s="123"/>
      <c r="I219" s="150"/>
      <c r="J219" s="123"/>
      <c r="K219" s="150"/>
      <c r="L219" s="123"/>
      <c r="M219" s="150"/>
      <c r="N219" s="126"/>
      <c r="O219" s="126"/>
    </row>
    <row r="220" spans="1:19" ht="12.95" customHeight="1" x14ac:dyDescent="0.25">
      <c r="A220" s="132" t="s">
        <v>205</v>
      </c>
      <c r="B220" s="126">
        <f>+GETPIVOTDATA(" New Prof avg",'Averages Pivot Table'!$A$3,"State","AL","Category",4,"Category2","Four-Year")</f>
        <v>81843.264608080804</v>
      </c>
      <c r="C220" s="118">
        <f>IF(B220&gt;0,(RANK(B220,B$220:B$238)),0)</f>
        <v>7</v>
      </c>
      <c r="D220" s="126">
        <f>+GETPIVOTDATA(" New Asc. avg",'Averages Pivot Table'!$A$3,"State","AL","Category",4,"Category2","Four-Year")</f>
        <v>68446.187268235299</v>
      </c>
      <c r="E220" s="118">
        <f>IF(D220&gt;0,(RANK(D220,D$220:D$238)),0)</f>
        <v>7</v>
      </c>
      <c r="F220" s="126">
        <f>+GETPIVOTDATA(" New Ast. avg",'Averages Pivot Table'!$A$3,"State","AL","Category",4,"Category2","Four-Year")</f>
        <v>55045.674859999999</v>
      </c>
      <c r="G220" s="118">
        <f t="shared" ref="G220:G238" si="22">IF(F220&gt;0,(RANK(F220,F$220:F$238)),0)</f>
        <v>9</v>
      </c>
      <c r="H220" s="126">
        <f>+GETPIVOTDATA(" New Inst. avg",'Averages Pivot Table'!$A$3,"State","AL","Category",4,"Category2","Four-Year")</f>
        <v>45083.450422680406</v>
      </c>
      <c r="I220" s="118">
        <f t="shared" ref="I220:I238" si="23">IF(H220&gt;0,(RANK(H220,H$220:H$238)),0)</f>
        <v>7</v>
      </c>
      <c r="J220" s="126">
        <f>+GETPIVOTDATA(" New Undesg. avg",'Averages Pivot Table'!$A$3,"State","AL","Category",4,"Category2","Four-Year")</f>
        <v>66876.395199999999</v>
      </c>
      <c r="K220" s="118">
        <f t="shared" ref="K220:K238" si="24">IF(J220&gt;0,(RANK(J220,J$220:J$238)),0)</f>
        <v>1</v>
      </c>
      <c r="L220" s="126">
        <f>+GETPIVOTDATA(" New All Ranks avg",'Averages Pivot Table'!$A$3,"State","AL","Category",4,"Category2","Four-Year")</f>
        <v>64709.676069096211</v>
      </c>
      <c r="M220" s="118">
        <f t="shared" ref="M220:M238" si="25">IF(L220&gt;0,(RANK(L220,L$220:L$238)),0)</f>
        <v>6</v>
      </c>
      <c r="N220" s="126"/>
      <c r="O220" s="126"/>
    </row>
    <row r="221" spans="1:19" ht="12.95" customHeight="1" x14ac:dyDescent="0.25">
      <c r="A221" s="132" t="s">
        <v>206</v>
      </c>
      <c r="B221" s="126">
        <f>+GETPIVOTDATA(" New Prof avg",'Averages Pivot Table'!$A$3,"State","AR","Category",4,"Category2","Four-Year")</f>
        <v>67770.081047400003</v>
      </c>
      <c r="C221" s="118">
        <f t="shared" ref="C221:E238" si="26">IF(B221&gt;0,(RANK(B221,B$220:B$238)),0)</f>
        <v>12</v>
      </c>
      <c r="D221" s="126">
        <f>+GETPIVOTDATA(" New Asc. avg",'Averages Pivot Table'!$A$3,"State","AR","Category",4,"Category2","Four-Year")</f>
        <v>57750.451195683454</v>
      </c>
      <c r="E221" s="118">
        <f t="shared" si="26"/>
        <v>12</v>
      </c>
      <c r="F221" s="126">
        <f>+GETPIVOTDATA(" New Ast. avg",'Averages Pivot Table'!$A$3,"State","AR","Category",4,"Category2","Four-Year")</f>
        <v>49572.156719918188</v>
      </c>
      <c r="G221" s="118">
        <f t="shared" si="22"/>
        <v>13</v>
      </c>
      <c r="H221" s="126">
        <f>+GETPIVOTDATA(" New Inst. avg",'Averages Pivot Table'!$A$3,"State","AR","Category",4,"Category2","Four-Year")</f>
        <v>39946.634197360829</v>
      </c>
      <c r="I221" s="118">
        <f t="shared" si="23"/>
        <v>13</v>
      </c>
      <c r="J221" s="126">
        <f>+GETPIVOTDATA(" New Undesg. avg",'Averages Pivot Table'!$A$3,"State","AR","Category",4,"Category2","Four-Year")</f>
        <v>40913.481016666665</v>
      </c>
      <c r="K221" s="118">
        <f t="shared" si="24"/>
        <v>10</v>
      </c>
      <c r="L221" s="126">
        <f>+GETPIVOTDATA(" New All Ranks avg",'Averages Pivot Table'!$A$3,"State","AR","Category",4,"Category2","Four-Year")</f>
        <v>53198.244017332305</v>
      </c>
      <c r="M221" s="118">
        <f t="shared" si="25"/>
        <v>13</v>
      </c>
      <c r="N221" s="126"/>
      <c r="O221" s="126"/>
    </row>
    <row r="222" spans="1:19" ht="12.95" customHeight="1" x14ac:dyDescent="0.25">
      <c r="A222" s="132" t="s">
        <v>221</v>
      </c>
      <c r="B222" s="126">
        <f>+GETPIVOTDATA(" New Prof avg",'Averages Pivot Table'!$A$3,"State","DE","Category",4,"Category2","Four-Year")</f>
        <v>80007.575933333326</v>
      </c>
      <c r="C222" s="118">
        <f t="shared" si="26"/>
        <v>8</v>
      </c>
      <c r="D222" s="126">
        <f>+GETPIVOTDATA(" New Asc. avg",'Averages Pivot Table'!$A$3,"State","DE","Category",4,"Category2","Four-Year")</f>
        <v>63238.796999999999</v>
      </c>
      <c r="E222" s="118">
        <f t="shared" si="26"/>
        <v>10</v>
      </c>
      <c r="F222" s="126">
        <f>+GETPIVOTDATA(" New Ast. avg",'Averages Pivot Table'!$A$3,"State","DE","Category",4,"Category2","Four-Year")</f>
        <v>58239.558028571424</v>
      </c>
      <c r="G222" s="118">
        <f t="shared" si="22"/>
        <v>7</v>
      </c>
      <c r="H222" s="126">
        <f>+GETPIVOTDATA(" New Inst. avg",'Averages Pivot Table'!$A$3,"State","DE","Category",4,"Category2","Four-Year")</f>
        <v>47244</v>
      </c>
      <c r="I222" s="118">
        <f t="shared" si="23"/>
        <v>5</v>
      </c>
      <c r="J222" s="126">
        <f>+GETPIVOTDATA(" New Undesg. avg",'Averages Pivot Table'!$A$3,"State","DE","Category",4,"Category2","Four-Year")</f>
        <v>47000</v>
      </c>
      <c r="K222" s="118">
        <f t="shared" si="24"/>
        <v>4</v>
      </c>
      <c r="L222" s="126">
        <f>+GETPIVOTDATA(" New All Ranks avg",'Averages Pivot Table'!$A$3,"State","DE","Category",4,"Category2","Four-Year")</f>
        <v>63792.493450241549</v>
      </c>
      <c r="M222" s="118">
        <f t="shared" si="25"/>
        <v>8</v>
      </c>
      <c r="N222" s="126"/>
      <c r="O222" s="126"/>
    </row>
    <row r="223" spans="1:19" ht="12.95" customHeight="1" x14ac:dyDescent="0.25">
      <c r="A223" s="132" t="s">
        <v>207</v>
      </c>
      <c r="B223" s="126">
        <f>+GETPIVOTDATA(" New Prof avg",'Averages Pivot Table'!$A$3,"State","FL","Category",4,"Category2","Four-Year")</f>
        <v>91060.852975000002</v>
      </c>
      <c r="C223" s="118">
        <f t="shared" si="26"/>
        <v>2</v>
      </c>
      <c r="D223" s="126">
        <f>+GETPIVOTDATA(" New Asc. avg",'Averages Pivot Table'!$A$3,"State","FL","Category",4,"Category2","Four-Year")</f>
        <v>70346.58794545455</v>
      </c>
      <c r="E223" s="118">
        <f t="shared" si="26"/>
        <v>4</v>
      </c>
      <c r="F223" s="126">
        <f>+GETPIVOTDATA(" New Ast. avg",'Averages Pivot Table'!$A$3,"State","FL","Category",4,"Category2","Four-Year")</f>
        <v>59842.952799999999</v>
      </c>
      <c r="G223" s="118">
        <f t="shared" si="22"/>
        <v>6</v>
      </c>
      <c r="H223" s="126">
        <f>+GETPIVOTDATA(" New Inst. avg",'Averages Pivot Table'!$A$3,"State","FL","Category",4,"Category2","Four-Year")</f>
        <v>44205.303729292937</v>
      </c>
      <c r="I223" s="118">
        <f t="shared" si="23"/>
        <v>9</v>
      </c>
      <c r="J223" s="126">
        <f>+GETPIVOTDATA(" New Undesg. avg",'Averages Pivot Table'!$A$3,"State","FL","Category",4,"Category2","Four-Year")</f>
        <v>0</v>
      </c>
      <c r="K223" s="118">
        <f t="shared" si="24"/>
        <v>0</v>
      </c>
      <c r="L223" s="126">
        <f>+GETPIVOTDATA(" New All Ranks avg",'Averages Pivot Table'!$A$3,"State","FL","Category",4,"Category2","Four-Year")</f>
        <v>63623.862019796958</v>
      </c>
      <c r="M223" s="118">
        <f t="shared" si="25"/>
        <v>9</v>
      </c>
      <c r="N223" s="126"/>
      <c r="O223" s="126"/>
    </row>
    <row r="224" spans="1:19" ht="12.95" customHeight="1" x14ac:dyDescent="0.25">
      <c r="A224" s="132"/>
      <c r="B224" s="126"/>
      <c r="C224" s="118">
        <f t="shared" si="26"/>
        <v>0</v>
      </c>
      <c r="D224" s="126"/>
      <c r="E224" s="118">
        <f t="shared" si="26"/>
        <v>0</v>
      </c>
      <c r="F224" s="126"/>
      <c r="G224" s="118">
        <f t="shared" si="22"/>
        <v>0</v>
      </c>
      <c r="H224" s="126"/>
      <c r="I224" s="118">
        <f t="shared" si="23"/>
        <v>0</v>
      </c>
      <c r="J224" s="126"/>
      <c r="K224" s="118">
        <f t="shared" si="24"/>
        <v>0</v>
      </c>
      <c r="L224" s="126"/>
      <c r="M224" s="118">
        <f t="shared" si="25"/>
        <v>0</v>
      </c>
      <c r="N224" s="126"/>
      <c r="O224" s="126"/>
    </row>
    <row r="225" spans="1:15" ht="12.95" customHeight="1" x14ac:dyDescent="0.25">
      <c r="A225" s="132" t="s">
        <v>208</v>
      </c>
      <c r="B225" s="126">
        <f>+GETPIVOTDATA(" New Prof avg",'Averages Pivot Table'!$A$3,"State","GA","Category",4,"Category2","Four-Year")</f>
        <v>77759.091602409637</v>
      </c>
      <c r="C225" s="118">
        <f t="shared" si="26"/>
        <v>10</v>
      </c>
      <c r="D225" s="126">
        <f>+GETPIVOTDATA(" New Asc. avg",'Averages Pivot Table'!$A$3,"State","GA","Category",4,"Category2","Four-Year")</f>
        <v>63979.966869976364</v>
      </c>
      <c r="E225" s="118">
        <f t="shared" si="26"/>
        <v>9</v>
      </c>
      <c r="F225" s="126">
        <f>+GETPIVOTDATA(" New Ast. avg",'Averages Pivot Table'!$A$3,"State","GA","Category",4,"Category2","Four-Year")</f>
        <v>54026.023678978978</v>
      </c>
      <c r="G225" s="118">
        <f t="shared" si="22"/>
        <v>10</v>
      </c>
      <c r="H225" s="126">
        <f>+GETPIVOTDATA(" New Inst. avg",'Averages Pivot Table'!$A$3,"State","GA","Category",4,"Category2","Four-Year")</f>
        <v>45303.42456764706</v>
      </c>
      <c r="I225" s="118">
        <f t="shared" si="23"/>
        <v>6</v>
      </c>
      <c r="J225" s="126">
        <f>+GETPIVOTDATA(" New Undesg. avg",'Averages Pivot Table'!$A$3,"State","GA","Category",4,"Category2","Four-Year")</f>
        <v>47214.059448780485</v>
      </c>
      <c r="K225" s="118">
        <f t="shared" si="24"/>
        <v>3</v>
      </c>
      <c r="L225" s="126">
        <f>+GETPIVOTDATA(" New All Ranks avg",'Averages Pivot Table'!$A$3,"State","GA","Category",4,"Category2","Four-Year")</f>
        <v>59712.520429401506</v>
      </c>
      <c r="M225" s="118">
        <f t="shared" si="25"/>
        <v>10</v>
      </c>
      <c r="N225" s="126"/>
      <c r="O225" s="126"/>
    </row>
    <row r="226" spans="1:15" ht="12.95" customHeight="1" x14ac:dyDescent="0.25">
      <c r="A226" s="132" t="s">
        <v>209</v>
      </c>
      <c r="B226" s="126">
        <f>+GETPIVOTDATA(" New Prof avg",'Averages Pivot Table'!$A$3,"State","KY","Category",4,"Category2","Four-Year")</f>
        <v>90921.118459459467</v>
      </c>
      <c r="C226" s="118">
        <f t="shared" si="26"/>
        <v>3</v>
      </c>
      <c r="D226" s="126">
        <f>+GETPIVOTDATA(" New Asc. avg",'Averages Pivot Table'!$A$3,"State","KY","Category",4,"Category2","Four-Year")</f>
        <v>69076.451277073167</v>
      </c>
      <c r="E226" s="118">
        <f t="shared" si="26"/>
        <v>6</v>
      </c>
      <c r="F226" s="126">
        <f>+GETPIVOTDATA(" New Ast. avg",'Averages Pivot Table'!$A$3,"State","KY","Category",4,"Category2","Four-Year")</f>
        <v>60552.154655056176</v>
      </c>
      <c r="G226" s="118">
        <f t="shared" si="22"/>
        <v>5</v>
      </c>
      <c r="H226" s="126">
        <f>+GETPIVOTDATA(" New Inst. avg",'Averages Pivot Table'!$A$3,"State","KY","Category",4,"Category2","Four-Year")</f>
        <v>42677.810235294113</v>
      </c>
      <c r="I226" s="118">
        <f t="shared" si="23"/>
        <v>11</v>
      </c>
      <c r="J226" s="126">
        <f>+GETPIVOTDATA(" New Undesg. avg",'Averages Pivot Table'!$A$3,"State","KY","Category",4,"Category2","Four-Year")</f>
        <v>45481.773786503065</v>
      </c>
      <c r="K226" s="118">
        <f t="shared" si="24"/>
        <v>6</v>
      </c>
      <c r="L226" s="126">
        <f>+GETPIVOTDATA(" New All Ranks avg",'Averages Pivot Table'!$A$3,"State","KY","Category",4,"Category2","Four-Year")</f>
        <v>64050.819125519272</v>
      </c>
      <c r="M226" s="118">
        <f t="shared" si="25"/>
        <v>7</v>
      </c>
      <c r="N226" s="126"/>
      <c r="O226" s="126"/>
    </row>
    <row r="227" spans="1:15" ht="12.95" customHeight="1" x14ac:dyDescent="0.25">
      <c r="A227" s="132" t="s">
        <v>210</v>
      </c>
      <c r="B227" s="126">
        <f>+GETPIVOTDATA(" New Prof avg",'Averages Pivot Table'!$A$3,"State","LA","Category",4,"Category2","Four-Year")</f>
        <v>71544.342466375543</v>
      </c>
      <c r="C227" s="118">
        <f t="shared" si="26"/>
        <v>11</v>
      </c>
      <c r="D227" s="126">
        <f>+GETPIVOTDATA(" New Asc. avg",'Averages Pivot Table'!$A$3,"State","LA","Category",4,"Category2","Four-Year")</f>
        <v>58562.442978245614</v>
      </c>
      <c r="E227" s="118">
        <f t="shared" si="26"/>
        <v>11</v>
      </c>
      <c r="F227" s="126">
        <f>+GETPIVOTDATA(" New Ast. avg",'Averages Pivot Table'!$A$3,"State","LA","Category",4,"Category2","Four-Year")</f>
        <v>51891.033630103098</v>
      </c>
      <c r="G227" s="118">
        <f t="shared" si="22"/>
        <v>11</v>
      </c>
      <c r="H227" s="126">
        <f>+GETPIVOTDATA(" New Inst. avg",'Averages Pivot Table'!$A$3,"State","LA","Category",4,"Category2","Four-Year")</f>
        <v>40730.366793415633</v>
      </c>
      <c r="I227" s="118">
        <f t="shared" si="23"/>
        <v>12</v>
      </c>
      <c r="J227" s="126">
        <f>+GETPIVOTDATA(" New Undesg. avg",'Averages Pivot Table'!$A$3,"State","LA","Category",4,"Category2","Four-Year")</f>
        <v>41566.4467</v>
      </c>
      <c r="K227" s="118">
        <f t="shared" si="24"/>
        <v>9</v>
      </c>
      <c r="L227" s="126">
        <f>+GETPIVOTDATA(" New All Ranks avg",'Averages Pivot Table'!$A$3,"State","LA","Category",4,"Category2","Four-Year")</f>
        <v>54609.933519589249</v>
      </c>
      <c r="M227" s="118">
        <f t="shared" si="25"/>
        <v>11</v>
      </c>
      <c r="N227" s="126"/>
      <c r="O227" s="126"/>
    </row>
    <row r="228" spans="1:15" ht="12.95" customHeight="1" x14ac:dyDescent="0.25">
      <c r="A228" s="132" t="s">
        <v>211</v>
      </c>
      <c r="B228" s="126">
        <f>+GETPIVOTDATA(" New Prof avg",'Averages Pivot Table'!$A$3,"State","MD","Category",4,"Category2","Four-Year")</f>
        <v>92272.059112922012</v>
      </c>
      <c r="C228" s="118">
        <f t="shared" si="26"/>
        <v>1</v>
      </c>
      <c r="D228" s="126">
        <f>+GETPIVOTDATA(" New Asc. avg",'Averages Pivot Table'!$A$3,"State","MD","Category",4,"Category2","Four-Year")</f>
        <v>72766.012550053536</v>
      </c>
      <c r="E228" s="118">
        <f t="shared" si="26"/>
        <v>3</v>
      </c>
      <c r="F228" s="126">
        <f>+GETPIVOTDATA(" New Ast. avg",'Averages Pivot Table'!$A$3,"State","MD","Category",4,"Category2","Four-Year")</f>
        <v>64734.952512451659</v>
      </c>
      <c r="G228" s="118">
        <f t="shared" si="22"/>
        <v>2</v>
      </c>
      <c r="H228" s="126">
        <f>+GETPIVOTDATA(" New Inst. avg",'Averages Pivot Table'!$A$3,"State","MD","Category",4,"Category2","Four-Year")</f>
        <v>61574.236687877783</v>
      </c>
      <c r="I228" s="118">
        <f t="shared" si="23"/>
        <v>1</v>
      </c>
      <c r="J228" s="126">
        <f>+GETPIVOTDATA(" New Undesg. avg",'Averages Pivot Table'!$A$3,"State","MD","Category",4,"Category2","Four-Year")</f>
        <v>45802.521618565392</v>
      </c>
      <c r="K228" s="118">
        <f t="shared" si="24"/>
        <v>5</v>
      </c>
      <c r="L228" s="126">
        <f>+GETPIVOTDATA(" New All Ranks avg",'Averages Pivot Table'!$A$3,"State","MD","Category",4,"Category2","Four-Year")</f>
        <v>69725.233976363612</v>
      </c>
      <c r="M228" s="118">
        <f t="shared" si="25"/>
        <v>4</v>
      </c>
      <c r="N228" s="126"/>
      <c r="O228" s="126"/>
    </row>
    <row r="229" spans="1:15" ht="12.95" customHeight="1" x14ac:dyDescent="0.25">
      <c r="A229" s="132"/>
      <c r="B229" s="126"/>
      <c r="C229" s="118">
        <f t="shared" si="26"/>
        <v>0</v>
      </c>
      <c r="D229" s="126"/>
      <c r="E229" s="118">
        <f t="shared" si="26"/>
        <v>0</v>
      </c>
      <c r="F229" s="126"/>
      <c r="G229" s="118">
        <f t="shared" si="22"/>
        <v>0</v>
      </c>
      <c r="H229" s="126"/>
      <c r="I229" s="118">
        <f t="shared" si="23"/>
        <v>0</v>
      </c>
      <c r="J229" s="126"/>
      <c r="K229" s="118">
        <f t="shared" si="24"/>
        <v>0</v>
      </c>
      <c r="L229" s="126"/>
      <c r="M229" s="118">
        <f t="shared" si="25"/>
        <v>0</v>
      </c>
      <c r="N229" s="126"/>
      <c r="O229" s="126"/>
    </row>
    <row r="230" spans="1:15" ht="12.95" customHeight="1" x14ac:dyDescent="0.25">
      <c r="A230" s="132" t="s">
        <v>212</v>
      </c>
      <c r="B230" s="126">
        <f>+GETPIVOTDATA(" New Prof avg",'Averages Pivot Table'!$A$3,"State","MS","Category",4,"Category2","Four-Year")</f>
        <v>66967.309795348847</v>
      </c>
      <c r="C230" s="118">
        <f t="shared" si="26"/>
        <v>13</v>
      </c>
      <c r="D230" s="126">
        <f>+GETPIVOTDATA(" New Asc. avg",'Averages Pivot Table'!$A$3,"State","MS","Category",4,"Category2","Four-Year")</f>
        <v>57054.185907142863</v>
      </c>
      <c r="E230" s="118">
        <f t="shared" si="26"/>
        <v>13</v>
      </c>
      <c r="F230" s="126">
        <f>+GETPIVOTDATA(" New Ast. avg",'Averages Pivot Table'!$A$3,"State","MS","Category",4,"Category2","Four-Year")</f>
        <v>50878.277138364778</v>
      </c>
      <c r="G230" s="118">
        <f t="shared" si="22"/>
        <v>12</v>
      </c>
      <c r="H230" s="126">
        <f>+GETPIVOTDATA(" New Inst. avg",'Averages Pivot Table'!$A$3,"State","MS","Category",4,"Category2","Four-Year")</f>
        <v>42977.073865000006</v>
      </c>
      <c r="I230" s="118">
        <f t="shared" si="23"/>
        <v>10</v>
      </c>
      <c r="J230" s="126">
        <f>+GETPIVOTDATA(" New Undesg. avg",'Averages Pivot Table'!$A$3,"State","MS","Category",4,"Category2","Four-Year")</f>
        <v>0</v>
      </c>
      <c r="K230" s="118">
        <f t="shared" si="24"/>
        <v>0</v>
      </c>
      <c r="L230" s="126">
        <f>+GETPIVOTDATA(" New All Ranks avg",'Averages Pivot Table'!$A$3,"State","MS","Category",4,"Category2","Four-Year")</f>
        <v>53241.40962851153</v>
      </c>
      <c r="M230" s="118">
        <f t="shared" si="25"/>
        <v>12</v>
      </c>
      <c r="N230" s="126"/>
      <c r="O230" s="126"/>
    </row>
    <row r="231" spans="1:15" ht="12.95" customHeight="1" x14ac:dyDescent="0.25">
      <c r="A231" s="132" t="s">
        <v>213</v>
      </c>
      <c r="B231" s="126">
        <f>+GETPIVOTDATA(" New Prof avg",'Averages Pivot Table'!$A$3,"State","NC","Category",4,"Category2","Four-Year")</f>
        <v>87298.311312000005</v>
      </c>
      <c r="C231" s="118">
        <f t="shared" si="26"/>
        <v>5</v>
      </c>
      <c r="D231" s="126">
        <f>+GETPIVOTDATA(" New Asc. avg",'Averages Pivot Table'!$A$3,"State","NC","Category",4,"Category2","Four-Year")</f>
        <v>74128.062417977533</v>
      </c>
      <c r="E231" s="118">
        <f t="shared" si="26"/>
        <v>1</v>
      </c>
      <c r="F231" s="126">
        <f>+GETPIVOTDATA(" New Ast. avg",'Averages Pivot Table'!$A$3,"State","NC","Category",4,"Category2","Four-Year")</f>
        <v>63167.74427326733</v>
      </c>
      <c r="G231" s="118">
        <f t="shared" si="22"/>
        <v>3</v>
      </c>
      <c r="H231" s="126">
        <f>+GETPIVOTDATA(" New Inst. avg",'Averages Pivot Table'!$A$3,"State","NC","Category",4,"Category2","Four-Year")</f>
        <v>60842</v>
      </c>
      <c r="I231" s="118">
        <f t="shared" si="23"/>
        <v>2</v>
      </c>
      <c r="J231" s="126">
        <f>+GETPIVOTDATA(" New Undesg. avg",'Averages Pivot Table'!$A$3,"State","NC","Category",4,"Category2","Four-Year")</f>
        <v>55085</v>
      </c>
      <c r="K231" s="118">
        <f t="shared" si="24"/>
        <v>2</v>
      </c>
      <c r="L231" s="126">
        <f>+GETPIVOTDATA(" New All Ranks avg",'Averages Pivot Table'!$A$3,"State","NC","Category",4,"Category2","Four-Year")</f>
        <v>69949.83675857143</v>
      </c>
      <c r="M231" s="118">
        <f t="shared" si="25"/>
        <v>3</v>
      </c>
      <c r="N231" s="126"/>
      <c r="O231" s="126"/>
    </row>
    <row r="232" spans="1:15" ht="12.95" customHeight="1" x14ac:dyDescent="0.25">
      <c r="A232" s="132" t="s">
        <v>214</v>
      </c>
      <c r="B232" s="126">
        <f>+GETPIVOTDATA(" New Prof avg",'Averages Pivot Table'!$A$3,"State","OK","Category",4,"Category2","Four-Year")</f>
        <v>0</v>
      </c>
      <c r="C232" s="118">
        <f t="shared" si="26"/>
        <v>0</v>
      </c>
      <c r="D232" s="126">
        <f>+GETPIVOTDATA(" New Asc. avg",'Averages Pivot Table'!$A$3,"State","OK","Category",4,"Category2","Four-Year")</f>
        <v>0</v>
      </c>
      <c r="E232" s="118">
        <f t="shared" si="26"/>
        <v>0</v>
      </c>
      <c r="F232" s="126">
        <f>+GETPIVOTDATA(" New Ast. avg",'Averages Pivot Table'!$A$3,"State","OK","Category",4,"Category2","Four-Year")</f>
        <v>0</v>
      </c>
      <c r="G232" s="118">
        <f t="shared" si="22"/>
        <v>0</v>
      </c>
      <c r="H232" s="126">
        <f>+GETPIVOTDATA(" New Inst. avg",'Averages Pivot Table'!$A$3,"State","OK","Category",4,"Category2","Four-Year")</f>
        <v>0</v>
      </c>
      <c r="I232" s="118">
        <f t="shared" si="23"/>
        <v>0</v>
      </c>
      <c r="J232" s="126">
        <f>+GETPIVOTDATA(" New Undesg. avg",'Averages Pivot Table'!$A$3,"State","OK","Category",4,"Category2","Four-Year")</f>
        <v>0</v>
      </c>
      <c r="K232" s="118">
        <f t="shared" si="24"/>
        <v>0</v>
      </c>
      <c r="L232" s="126">
        <f>+GETPIVOTDATA(" New All Ranks avg",'Averages Pivot Table'!$A$3,"State","OK","Category",4,"Category2","Four-Year")</f>
        <v>0</v>
      </c>
      <c r="M232" s="118">
        <f t="shared" si="25"/>
        <v>0</v>
      </c>
      <c r="N232" s="126"/>
      <c r="O232" s="126"/>
    </row>
    <row r="233" spans="1:15" ht="12.95" customHeight="1" x14ac:dyDescent="0.25">
      <c r="A233" s="132" t="s">
        <v>215</v>
      </c>
      <c r="B233" s="126">
        <f>+GETPIVOTDATA(" New Prof avg",'Averages Pivot Table'!$A$3,"State","SC","Category",4,"Category2","Four-Year")</f>
        <v>86419</v>
      </c>
      <c r="C233" s="118">
        <f t="shared" si="26"/>
        <v>6</v>
      </c>
      <c r="D233" s="126">
        <f>+GETPIVOTDATA(" New Asc. avg",'Averages Pivot Table'!$A$3,"State","SC","Category",4,"Category2","Four-Year")</f>
        <v>69802.40743396226</v>
      </c>
      <c r="E233" s="118">
        <f t="shared" si="26"/>
        <v>5</v>
      </c>
      <c r="F233" s="126">
        <f>+GETPIVOTDATA(" New Ast. avg",'Averages Pivot Table'!$A$3,"State","SC","Category",4,"Category2","Four-Year")</f>
        <v>57535</v>
      </c>
      <c r="G233" s="118">
        <f t="shared" si="22"/>
        <v>8</v>
      </c>
      <c r="H233" s="126">
        <f>+GETPIVOTDATA(" New Inst. avg",'Averages Pivot Table'!$A$3,"State","SC","Category",4,"Category2","Four-Year")</f>
        <v>44993</v>
      </c>
      <c r="I233" s="118">
        <f t="shared" si="23"/>
        <v>8</v>
      </c>
      <c r="J233" s="126">
        <f>+GETPIVOTDATA(" New Undesg. avg",'Averages Pivot Table'!$A$3,"State","SC","Category",4,"Category2","Four-Year")</f>
        <v>0</v>
      </c>
      <c r="K233" s="118">
        <f t="shared" si="24"/>
        <v>0</v>
      </c>
      <c r="L233" s="126">
        <f>+GETPIVOTDATA(" New All Ranks avg",'Averages Pivot Table'!$A$3,"State","SC","Category",4,"Category2","Four-Year")</f>
        <v>70387.913449438201</v>
      </c>
      <c r="M233" s="118">
        <f t="shared" si="25"/>
        <v>2</v>
      </c>
      <c r="N233" s="126"/>
      <c r="O233" s="126"/>
    </row>
    <row r="234" spans="1:15" ht="12.95" customHeight="1" x14ac:dyDescent="0.25">
      <c r="A234" s="132"/>
      <c r="B234" s="126"/>
      <c r="C234" s="118">
        <f t="shared" si="26"/>
        <v>0</v>
      </c>
      <c r="D234" s="126"/>
      <c r="E234" s="118">
        <f t="shared" si="26"/>
        <v>0</v>
      </c>
      <c r="F234" s="126"/>
      <c r="G234" s="118">
        <f t="shared" si="22"/>
        <v>0</v>
      </c>
      <c r="H234" s="126"/>
      <c r="I234" s="118">
        <f t="shared" si="23"/>
        <v>0</v>
      </c>
      <c r="J234" s="126"/>
      <c r="K234" s="118">
        <f t="shared" si="24"/>
        <v>0</v>
      </c>
      <c r="L234" s="126"/>
      <c r="M234" s="118">
        <f t="shared" si="25"/>
        <v>0</v>
      </c>
      <c r="N234" s="126"/>
      <c r="O234" s="126"/>
    </row>
    <row r="235" spans="1:15" ht="12.95" customHeight="1" x14ac:dyDescent="0.25">
      <c r="A235" s="132" t="s">
        <v>216</v>
      </c>
      <c r="B235" s="563">
        <f>+GETPIVOTDATA(" New Prof avg",'Averages Pivot Table'!$A$3,"State","TN","Category",4,"Category2","Four-Year")</f>
        <v>0</v>
      </c>
      <c r="C235" s="118">
        <f t="shared" si="26"/>
        <v>0</v>
      </c>
      <c r="D235" s="563">
        <f>+GETPIVOTDATA(" New Asc. avg",'Averages Pivot Table'!$A$3,"State","TN","Category",4,"Category2","Four-Year")</f>
        <v>0</v>
      </c>
      <c r="E235" s="118">
        <f t="shared" si="26"/>
        <v>0</v>
      </c>
      <c r="F235" s="563">
        <f>+GETPIVOTDATA(" New Ast. avg",'Averages Pivot Table'!$A$3,"State","TN","Category",4,"Category2","Four-Year")</f>
        <v>0</v>
      </c>
      <c r="G235" s="118">
        <f t="shared" si="22"/>
        <v>0</v>
      </c>
      <c r="H235" s="563">
        <f>+GETPIVOTDATA(" New Inst. avg",'Averages Pivot Table'!$A$3,"State","TN","Category",4,"Category2","Four-Year")</f>
        <v>0</v>
      </c>
      <c r="I235" s="118">
        <f t="shared" si="23"/>
        <v>0</v>
      </c>
      <c r="J235" s="563">
        <f>+GETPIVOTDATA(" New Undesg. avg",'Averages Pivot Table'!$A$3,"State","TN","Category",4,"Category2","Four-Year")</f>
        <v>0</v>
      </c>
      <c r="K235" s="118">
        <f t="shared" si="24"/>
        <v>0</v>
      </c>
      <c r="L235" s="563">
        <f>+GETPIVOTDATA(" New All Ranks avg",'Averages Pivot Table'!$A$3,"State","TN","Category",4,"Category2","Four-Year")</f>
        <v>0</v>
      </c>
      <c r="M235" s="118">
        <f t="shared" si="25"/>
        <v>0</v>
      </c>
      <c r="N235" s="126"/>
      <c r="O235" s="126"/>
    </row>
    <row r="236" spans="1:15" ht="12.95" customHeight="1" x14ac:dyDescent="0.25">
      <c r="A236" s="132" t="s">
        <v>217</v>
      </c>
      <c r="B236" s="563">
        <f>+GETPIVOTDATA(" New Prof avg",'Averages Pivot Table'!$A$3,"State","TX","Category",4,"Category2","Four-Year")</f>
        <v>90095.410833333328</v>
      </c>
      <c r="C236" s="118">
        <f t="shared" si="26"/>
        <v>4</v>
      </c>
      <c r="D236" s="563">
        <f>+GETPIVOTDATA(" New Asc. avg",'Averages Pivot Table'!$A$3,"State","TX","Category",4,"Category2","Four-Year")</f>
        <v>73709.991156862743</v>
      </c>
      <c r="E236" s="118">
        <f t="shared" si="26"/>
        <v>2</v>
      </c>
      <c r="F236" s="563">
        <f>+GETPIVOTDATA(" New Ast. avg",'Averages Pivot Table'!$A$3,"State","TX","Category",4,"Category2","Four-Year")</f>
        <v>68365.576882857131</v>
      </c>
      <c r="G236" s="118">
        <f t="shared" si="22"/>
        <v>1</v>
      </c>
      <c r="H236" s="563">
        <f>+GETPIVOTDATA(" New Inst. avg",'Averages Pivot Table'!$A$3,"State","TX","Category",4,"Category2","Four-Year")</f>
        <v>53363.904822222219</v>
      </c>
      <c r="I236" s="118">
        <f t="shared" si="23"/>
        <v>3</v>
      </c>
      <c r="J236" s="563">
        <f>+GETPIVOTDATA(" New Undesg. avg",'Averages Pivot Table'!$A$3,"State","TX","Category",4,"Category2","Four-Year")</f>
        <v>44154.8</v>
      </c>
      <c r="K236" s="118">
        <f t="shared" si="24"/>
        <v>7</v>
      </c>
      <c r="L236" s="563">
        <f>+GETPIVOTDATA(" New All Ranks avg",'Averages Pivot Table'!$A$3,"State","TX","Category",4,"Category2","Four-Year")</f>
        <v>72600.916032124354</v>
      </c>
      <c r="M236" s="118">
        <f t="shared" si="25"/>
        <v>1</v>
      </c>
      <c r="N236" s="126"/>
      <c r="O236" s="126"/>
    </row>
    <row r="237" spans="1:15" ht="12.95" customHeight="1" x14ac:dyDescent="0.25">
      <c r="A237" s="132" t="s">
        <v>218</v>
      </c>
      <c r="B237" s="563">
        <f>+GETPIVOTDATA(" New Prof avg",'Averages Pivot Table'!$A$3,"State","VA","Category",4,"Category2","Four-Year")</f>
        <v>79354.646626744187</v>
      </c>
      <c r="C237" s="118">
        <f t="shared" si="26"/>
        <v>9</v>
      </c>
      <c r="D237" s="563">
        <f>+GETPIVOTDATA(" New Asc. avg",'Averages Pivot Table'!$A$3,"State","VA","Category",4,"Category2","Four-Year")</f>
        <v>65833.394721904755</v>
      </c>
      <c r="E237" s="118">
        <f t="shared" si="26"/>
        <v>8</v>
      </c>
      <c r="F237" s="563">
        <f>+GETPIVOTDATA(" New Ast. avg",'Averages Pivot Table'!$A$3,"State","VA","Category",4,"Category2","Four-Year")</f>
        <v>60652.625222660099</v>
      </c>
      <c r="G237" s="118">
        <f t="shared" si="22"/>
        <v>4</v>
      </c>
      <c r="H237" s="563">
        <f>+GETPIVOTDATA(" New Inst. avg",'Averages Pivot Table'!$A$3,"State","VA","Category",4,"Category2","Four-Year")</f>
        <v>50238.305768674698</v>
      </c>
      <c r="I237" s="118">
        <f t="shared" si="23"/>
        <v>4</v>
      </c>
      <c r="J237" s="563">
        <f>+GETPIVOTDATA(" New Undesg. avg",'Averages Pivot Table'!$A$3,"State","VA","Category",4,"Category2","Four-Year")</f>
        <v>41704.800499999998</v>
      </c>
      <c r="K237" s="118">
        <f t="shared" si="24"/>
        <v>8</v>
      </c>
      <c r="L237" s="563">
        <f>+GETPIVOTDATA(" New All Ranks avg",'Averages Pivot Table'!$A$3,"State","VA","Category",4,"Category2","Four-Year")</f>
        <v>65730.871658805976</v>
      </c>
      <c r="M237" s="118">
        <f t="shared" si="25"/>
        <v>5</v>
      </c>
      <c r="N237" s="126"/>
      <c r="O237" s="126"/>
    </row>
    <row r="238" spans="1:15" ht="12.95" customHeight="1" x14ac:dyDescent="0.25">
      <c r="A238" s="6" t="s">
        <v>219</v>
      </c>
      <c r="B238" s="566">
        <f>+GETPIVOTDATA(" New Prof avg",'Averages Pivot Table'!$A$3,"State","WV","Category",4,"Category2","Four-Year")</f>
        <v>0</v>
      </c>
      <c r="C238" s="119">
        <f t="shared" si="26"/>
        <v>0</v>
      </c>
      <c r="D238" s="566">
        <f>+GETPIVOTDATA(" New Asc. avg",'Averages Pivot Table'!$A$3,"State","WV","Category",4,"Category2","Four-Year")</f>
        <v>0</v>
      </c>
      <c r="E238" s="119">
        <f t="shared" si="26"/>
        <v>0</v>
      </c>
      <c r="F238" s="566">
        <f>+GETPIVOTDATA(" New Ast. avg",'Averages Pivot Table'!$A$3,"State","WV","Category",4,"Category2","Four-Year")</f>
        <v>0</v>
      </c>
      <c r="G238" s="119">
        <f t="shared" si="22"/>
        <v>0</v>
      </c>
      <c r="H238" s="566">
        <f>+GETPIVOTDATA(" New Inst. avg",'Averages Pivot Table'!$A$3,"State","WV","Category",4,"Category2","Four-Year")</f>
        <v>0</v>
      </c>
      <c r="I238" s="119">
        <f t="shared" si="23"/>
        <v>0</v>
      </c>
      <c r="J238" s="566">
        <f>+GETPIVOTDATA(" New Undesg. avg",'Averages Pivot Table'!$A$3,"State","WV","Category",4,"Category2","Four-Year")</f>
        <v>0</v>
      </c>
      <c r="K238" s="119">
        <f t="shared" si="24"/>
        <v>0</v>
      </c>
      <c r="L238" s="566">
        <f>+GETPIVOTDATA(" New All Ranks avg",'Averages Pivot Table'!$A$3,"State","WV","Category",4,"Category2","Four-Year")</f>
        <v>0</v>
      </c>
      <c r="M238" s="119">
        <f t="shared" si="25"/>
        <v>0</v>
      </c>
      <c r="N238" s="126"/>
      <c r="O238" s="126"/>
    </row>
    <row r="239" spans="1:15" ht="30" customHeight="1" x14ac:dyDescent="0.25">
      <c r="A239" s="668" t="s">
        <v>91</v>
      </c>
      <c r="B239" s="673"/>
      <c r="C239" s="673"/>
      <c r="D239" s="673"/>
      <c r="E239" s="673"/>
      <c r="F239" s="673"/>
      <c r="G239" s="673"/>
      <c r="H239" s="673"/>
      <c r="I239" s="673"/>
      <c r="J239" s="673"/>
      <c r="K239" s="673"/>
      <c r="L239" s="673"/>
      <c r="M239" s="673"/>
      <c r="N239" s="132"/>
      <c r="O239" s="132"/>
    </row>
    <row r="240" spans="1:15" x14ac:dyDescent="0.25">
      <c r="M240" s="157" t="s">
        <v>1083</v>
      </c>
      <c r="O240" s="131"/>
    </row>
    <row r="241" spans="1:19" ht="18" x14ac:dyDescent="0.25">
      <c r="A241" s="544" t="s">
        <v>267</v>
      </c>
      <c r="B241" s="544"/>
      <c r="C241" s="544"/>
      <c r="D241" s="544"/>
      <c r="E241" s="544"/>
      <c r="F241" s="544"/>
      <c r="G241" s="544"/>
      <c r="H241" s="544"/>
      <c r="I241" s="544"/>
      <c r="J241" s="544"/>
      <c r="K241" s="544"/>
      <c r="L241" s="544"/>
      <c r="M241" s="544"/>
      <c r="N241" s="100"/>
      <c r="O241" s="100"/>
    </row>
    <row r="242" spans="1:19" x14ac:dyDescent="0.25">
      <c r="A242" s="588"/>
      <c r="B242" s="93"/>
      <c r="C242" s="93"/>
      <c r="D242" s="93"/>
      <c r="E242" s="93"/>
      <c r="F242" s="93"/>
      <c r="G242" s="93"/>
      <c r="H242" s="93"/>
      <c r="I242" s="93"/>
      <c r="J242" s="93"/>
      <c r="K242" s="93"/>
      <c r="L242" s="93"/>
      <c r="M242" s="93"/>
      <c r="N242" s="93"/>
      <c r="O242" s="93"/>
    </row>
    <row r="243" spans="1:19" x14ac:dyDescent="0.25">
      <c r="A243" s="665" t="s">
        <v>220</v>
      </c>
      <c r="B243" s="665"/>
      <c r="C243" s="665"/>
      <c r="D243" s="665"/>
      <c r="E243" s="665"/>
      <c r="F243" s="665"/>
      <c r="G243" s="665"/>
      <c r="H243" s="665"/>
      <c r="I243" s="665"/>
      <c r="J243" s="665"/>
      <c r="K243" s="665"/>
      <c r="L243" s="665"/>
      <c r="M243" s="665"/>
      <c r="N243" s="128"/>
      <c r="O243" s="128"/>
    </row>
    <row r="244" spans="1:19" x14ac:dyDescent="0.25">
      <c r="A244" s="665" t="s">
        <v>1064</v>
      </c>
      <c r="B244" s="665"/>
      <c r="C244" s="665"/>
      <c r="D244" s="665"/>
      <c r="E244" s="665"/>
      <c r="F244" s="665"/>
      <c r="G244" s="665"/>
      <c r="H244" s="665"/>
      <c r="I244" s="665"/>
      <c r="J244" s="665"/>
      <c r="K244" s="665"/>
      <c r="L244" s="665"/>
      <c r="M244" s="665"/>
      <c r="N244" s="128"/>
      <c r="O244" s="128"/>
    </row>
    <row r="245" spans="1:19" x14ac:dyDescent="0.25">
      <c r="A245" s="93"/>
      <c r="B245" s="93"/>
      <c r="C245" s="93"/>
      <c r="D245" s="93"/>
      <c r="E245" s="93"/>
      <c r="F245" s="93"/>
      <c r="G245" s="93"/>
      <c r="H245" s="93"/>
      <c r="I245" s="93"/>
      <c r="J245" s="93"/>
      <c r="K245" s="93"/>
      <c r="L245" s="93"/>
      <c r="M245" s="93"/>
      <c r="N245" s="129" t="s">
        <v>223</v>
      </c>
      <c r="O245" s="129"/>
    </row>
    <row r="246" spans="1:19" ht="31.5" customHeight="1" x14ac:dyDescent="0.25">
      <c r="A246" s="547"/>
      <c r="B246" s="589" t="s">
        <v>99</v>
      </c>
      <c r="C246" s="142"/>
      <c r="D246" s="590" t="s">
        <v>100</v>
      </c>
      <c r="E246" s="591"/>
      <c r="F246" s="590" t="s">
        <v>101</v>
      </c>
      <c r="G246" s="591"/>
      <c r="H246" s="589" t="s">
        <v>102</v>
      </c>
      <c r="I246" s="142"/>
      <c r="J246" s="590" t="s">
        <v>226</v>
      </c>
      <c r="K246" s="591"/>
      <c r="L246" s="142" t="s">
        <v>84</v>
      </c>
      <c r="M246" s="142"/>
      <c r="N246" s="129" t="s">
        <v>223</v>
      </c>
      <c r="O246" s="129"/>
    </row>
    <row r="247" spans="1:19" x14ac:dyDescent="0.25">
      <c r="A247" s="551"/>
      <c r="B247" s="115" t="s">
        <v>103</v>
      </c>
      <c r="C247" s="143" t="s">
        <v>193</v>
      </c>
      <c r="D247" s="115" t="s">
        <v>103</v>
      </c>
      <c r="E247" s="143" t="s">
        <v>193</v>
      </c>
      <c r="F247" s="115" t="s">
        <v>103</v>
      </c>
      <c r="G247" s="143" t="s">
        <v>193</v>
      </c>
      <c r="H247" s="115" t="s">
        <v>103</v>
      </c>
      <c r="I247" s="143" t="s">
        <v>193</v>
      </c>
      <c r="J247" s="115" t="s">
        <v>103</v>
      </c>
      <c r="K247" s="143" t="s">
        <v>193</v>
      </c>
      <c r="L247" s="115" t="s">
        <v>103</v>
      </c>
      <c r="M247" s="143" t="s">
        <v>193</v>
      </c>
      <c r="N247" s="129" t="s">
        <v>223</v>
      </c>
      <c r="O247" s="129"/>
    </row>
    <row r="248" spans="1:19" s="556" customFormat="1" ht="18" customHeight="1" x14ac:dyDescent="0.25">
      <c r="A248" s="554" t="s">
        <v>222</v>
      </c>
      <c r="B248" s="146">
        <f>+GETPIVOTDATA(" New Prof avg",'Averages Pivot Table'!$A$3,"Category",5,"Category2","Four-Year")</f>
        <v>76830.315389223673</v>
      </c>
      <c r="C248" s="146"/>
      <c r="D248" s="146">
        <f>+GETPIVOTDATA(" New Asc. avg",'Averages Pivot Table'!$A$3,"Category",5,"Category2","Four-Year")</f>
        <v>64124.706530921627</v>
      </c>
      <c r="E248" s="146"/>
      <c r="F248" s="146">
        <f>+GETPIVOTDATA(" New Ast. avg",'Averages Pivot Table'!$A$3,"Category",5,"Category2","Four-Year")</f>
        <v>54443.396595351471</v>
      </c>
      <c r="G248" s="146"/>
      <c r="H248" s="146">
        <f>+GETPIVOTDATA(" New Inst. avg",'Averages Pivot Table'!$A$3,"Category",5,"Category2","Four-Year")</f>
        <v>45325.611418828405</v>
      </c>
      <c r="I248" s="146"/>
      <c r="J248" s="146">
        <f>+GETPIVOTDATA(" New Undesg. avg",'Averages Pivot Table'!$A$3,"Category",5,"Category2","Four-Year")</f>
        <v>46584.195164576544</v>
      </c>
      <c r="K248" s="146"/>
      <c r="L248" s="146">
        <f>+GETPIVOTDATA(" New All Ranks avg",'Averages Pivot Table'!$A$3,"Category",5,"Category2","Four-Year")</f>
        <v>59815.634086341001</v>
      </c>
      <c r="M248" s="149"/>
      <c r="N248" s="141"/>
      <c r="O248" s="141"/>
      <c r="Q248" s="558"/>
      <c r="R248" s="558"/>
      <c r="S248" s="558"/>
    </row>
    <row r="249" spans="1:19" ht="12.95" customHeight="1" x14ac:dyDescent="0.25">
      <c r="A249" s="132"/>
      <c r="B249" s="123"/>
      <c r="C249" s="150"/>
      <c r="D249" s="123"/>
      <c r="E249" s="150"/>
      <c r="F249" s="123"/>
      <c r="G249" s="150"/>
      <c r="H249" s="123"/>
      <c r="I249" s="150"/>
      <c r="J249" s="123"/>
      <c r="K249" s="150"/>
      <c r="L249" s="123"/>
      <c r="M249" s="150"/>
      <c r="N249" s="123"/>
      <c r="O249" s="134"/>
    </row>
    <row r="250" spans="1:19" ht="12.95" customHeight="1" x14ac:dyDescent="0.25">
      <c r="A250" s="132" t="s">
        <v>205</v>
      </c>
      <c r="B250" s="126">
        <f>+GETPIVOTDATA(" New Prof avg",'Averages Pivot Table'!$A$3,"State","AL","Category",5,"Category2","Four-Year")</f>
        <v>76119.244444444441</v>
      </c>
      <c r="C250" s="118">
        <f>IF(B250&gt;0,(RANK(B250,B$250:B$268)),0)</f>
        <v>5</v>
      </c>
      <c r="D250" s="126">
        <f>+GETPIVOTDATA(" New Asc. avg",'Averages Pivot Table'!$A$3,"State","AL","Category",5,"Category2","Four-Year")</f>
        <v>60582.5</v>
      </c>
      <c r="E250" s="118">
        <f>IF(D250&gt;0,(RANK(D250,D$250:D$268)),0)</f>
        <v>8</v>
      </c>
      <c r="F250" s="126">
        <f>+GETPIVOTDATA(" New Ast. avg",'Averages Pivot Table'!$A$3,"State","AL","Category",5,"Category2","Four-Year")</f>
        <v>50140.038461538461</v>
      </c>
      <c r="G250" s="118">
        <f t="shared" ref="G250:G268" si="27">IF(F250&gt;0,(RANK(F250,F$250:F$268)),0)</f>
        <v>9</v>
      </c>
      <c r="H250" s="126">
        <f>+GETPIVOTDATA(" New Inst. avg",'Averages Pivot Table'!$A$3,"State","AL","Category",5,"Category2","Four-Year")</f>
        <v>41848.333333333336</v>
      </c>
      <c r="I250" s="118">
        <f t="shared" ref="I250:I268" si="28">IF(H250&gt;0,(RANK(H250,H$250:H$268)),0)</f>
        <v>10</v>
      </c>
      <c r="J250" s="126">
        <f>+GETPIVOTDATA(" New Undesg. avg",'Averages Pivot Table'!$A$3,"State","AL","Category",5,"Category2","Four-Year")</f>
        <v>62067.37777777778</v>
      </c>
      <c r="K250" s="118">
        <f t="shared" ref="K250:K268" si="29">IF(J250&gt;0,(RANK(J250,J$250:J$268)),0)</f>
        <v>1</v>
      </c>
      <c r="L250" s="126">
        <f>+GETPIVOTDATA(" New All Ranks avg",'Averages Pivot Table'!$A$3,"State","AL","Category",5,"Category2","Four-Year")</f>
        <v>57820.84978902954</v>
      </c>
      <c r="M250" s="118">
        <f t="shared" ref="M250:M268" si="30">IF(L250&gt;0,(RANK(L250,L$250:L$268)),0)</f>
        <v>7</v>
      </c>
      <c r="N250" s="126"/>
      <c r="O250" s="129"/>
    </row>
    <row r="251" spans="1:19" ht="12.95" customHeight="1" x14ac:dyDescent="0.25">
      <c r="A251" s="132" t="s">
        <v>206</v>
      </c>
      <c r="B251" s="126">
        <f>+GETPIVOTDATA(" New Prof avg",'Averages Pivot Table'!$A$3,"State","AR","Category",5,"Category2","Four-Year")</f>
        <v>66404.830130899994</v>
      </c>
      <c r="C251" s="118">
        <f t="shared" ref="C251:E268" si="31">IF(B251&gt;0,(RANK(B251,B$250:B$268)),0)</f>
        <v>10</v>
      </c>
      <c r="D251" s="126">
        <f>+GETPIVOTDATA(" New Asc. avg",'Averages Pivot Table'!$A$3,"State","AR","Category",5,"Category2","Four-Year")</f>
        <v>55532.532732533335</v>
      </c>
      <c r="E251" s="118">
        <f t="shared" si="31"/>
        <v>10</v>
      </c>
      <c r="F251" s="126">
        <f>+GETPIVOTDATA(" New Ast. avg",'Averages Pivot Table'!$A$3,"State","AR","Category",5,"Category2","Four-Year")</f>
        <v>47270.028556521742</v>
      </c>
      <c r="G251" s="118">
        <f t="shared" si="27"/>
        <v>11</v>
      </c>
      <c r="H251" s="126">
        <f>+GETPIVOTDATA(" New Inst. avg",'Averages Pivot Table'!$A$3,"State","AR","Category",5,"Category2","Four-Year")</f>
        <v>41344.090376827582</v>
      </c>
      <c r="I251" s="118">
        <f t="shared" si="28"/>
        <v>11</v>
      </c>
      <c r="J251" s="126">
        <f>+GETPIVOTDATA(" New Undesg. avg",'Averages Pivot Table'!$A$3,"State","AR","Category",5,"Category2","Four-Year")</f>
        <v>35299.236269783782</v>
      </c>
      <c r="K251" s="118">
        <f t="shared" si="29"/>
        <v>9</v>
      </c>
      <c r="L251" s="126">
        <f>+GETPIVOTDATA(" New All Ranks avg",'Averages Pivot Table'!$A$3,"State","AR","Category",5,"Category2","Four-Year")</f>
        <v>48177.412956441556</v>
      </c>
      <c r="M251" s="118">
        <f t="shared" si="30"/>
        <v>11</v>
      </c>
      <c r="N251" s="126"/>
      <c r="O251" s="129"/>
    </row>
    <row r="252" spans="1:19" ht="12.95" customHeight="1" x14ac:dyDescent="0.25">
      <c r="A252" s="132" t="s">
        <v>221</v>
      </c>
      <c r="B252" s="126">
        <f>+GETPIVOTDATA(" New Prof avg",'Averages Pivot Table'!$A$3,"State","DE","Category",5,"Category2","Four-Year")</f>
        <v>0</v>
      </c>
      <c r="C252" s="118">
        <f t="shared" si="31"/>
        <v>0</v>
      </c>
      <c r="D252" s="126">
        <f>+GETPIVOTDATA(" New Asc. avg",'Averages Pivot Table'!$A$3,"State","DE","Category",5,"Category2","Four-Year")</f>
        <v>0</v>
      </c>
      <c r="E252" s="118">
        <f t="shared" si="31"/>
        <v>0</v>
      </c>
      <c r="F252" s="126">
        <f>+GETPIVOTDATA(" New Ast. avg",'Averages Pivot Table'!$A$3,"State","DE","Category",5,"Category2","Four-Year")</f>
        <v>0</v>
      </c>
      <c r="G252" s="118">
        <f t="shared" si="27"/>
        <v>0</v>
      </c>
      <c r="H252" s="126">
        <f>+GETPIVOTDATA(" New Inst. avg",'Averages Pivot Table'!$A$3,"State","DE","Category",5,"Category2","Four-Year")</f>
        <v>0</v>
      </c>
      <c r="I252" s="118">
        <f t="shared" si="28"/>
        <v>0</v>
      </c>
      <c r="J252" s="126">
        <f>+GETPIVOTDATA(" New Undesg. avg",'Averages Pivot Table'!$A$3,"State","DE","Category",5,"Category2","Four-Year")</f>
        <v>0</v>
      </c>
      <c r="K252" s="118">
        <f t="shared" si="29"/>
        <v>0</v>
      </c>
      <c r="L252" s="126">
        <f>+GETPIVOTDATA(" New All Ranks avg",'Averages Pivot Table'!$A$3,"State","DE","Category",5,"Category2","Four-Year")</f>
        <v>0</v>
      </c>
      <c r="M252" s="118">
        <f t="shared" si="30"/>
        <v>0</v>
      </c>
      <c r="N252" s="126"/>
      <c r="O252" s="129"/>
    </row>
    <row r="253" spans="1:19" ht="12.95" customHeight="1" x14ac:dyDescent="0.25">
      <c r="A253" s="132" t="s">
        <v>207</v>
      </c>
      <c r="B253" s="126">
        <f>+GETPIVOTDATA(" New Prof avg",'Averages Pivot Table'!$A$3,"State","FL","Category",5,"Category2","Four-Year")</f>
        <v>0</v>
      </c>
      <c r="C253" s="118">
        <f t="shared" si="31"/>
        <v>0</v>
      </c>
      <c r="D253" s="126">
        <f>+GETPIVOTDATA(" New Asc. avg",'Averages Pivot Table'!$A$3,"State","FL","Category",5,"Category2","Four-Year")</f>
        <v>0</v>
      </c>
      <c r="E253" s="118">
        <f t="shared" si="31"/>
        <v>0</v>
      </c>
      <c r="F253" s="126">
        <f>+GETPIVOTDATA(" New Ast. avg",'Averages Pivot Table'!$A$3,"State","FL","Category",5,"Category2","Four-Year")</f>
        <v>0</v>
      </c>
      <c r="G253" s="118">
        <f t="shared" si="27"/>
        <v>0</v>
      </c>
      <c r="H253" s="126">
        <f>+GETPIVOTDATA(" New Inst. avg",'Averages Pivot Table'!$A$3,"State","FL","Category",5,"Category2","Four-Year")</f>
        <v>0</v>
      </c>
      <c r="I253" s="118">
        <f t="shared" si="28"/>
        <v>0</v>
      </c>
      <c r="J253" s="126">
        <f>+GETPIVOTDATA(" New Undesg. avg",'Averages Pivot Table'!$A$3,"State","FL","Category",5,"Category2","Four-Year")</f>
        <v>0</v>
      </c>
      <c r="K253" s="118">
        <f t="shared" si="29"/>
        <v>0</v>
      </c>
      <c r="L253" s="126">
        <f>+GETPIVOTDATA(" New All Ranks avg",'Averages Pivot Table'!$A$3,"State","FL","Category",5,"Category2","Four-Year")</f>
        <v>0</v>
      </c>
      <c r="M253" s="118">
        <f t="shared" si="30"/>
        <v>0</v>
      </c>
      <c r="N253" s="126"/>
      <c r="O253" s="129"/>
    </row>
    <row r="254" spans="1:19" ht="12.95" customHeight="1" x14ac:dyDescent="0.25">
      <c r="A254" s="132"/>
      <c r="B254" s="126"/>
      <c r="C254" s="118">
        <f t="shared" si="31"/>
        <v>0</v>
      </c>
      <c r="D254" s="126"/>
      <c r="E254" s="118">
        <f t="shared" si="31"/>
        <v>0</v>
      </c>
      <c r="F254" s="126"/>
      <c r="G254" s="118">
        <f t="shared" si="27"/>
        <v>0</v>
      </c>
      <c r="H254" s="126"/>
      <c r="I254" s="118">
        <f t="shared" si="28"/>
        <v>0</v>
      </c>
      <c r="J254" s="126"/>
      <c r="K254" s="118">
        <f t="shared" si="29"/>
        <v>0</v>
      </c>
      <c r="L254" s="126"/>
      <c r="M254" s="118">
        <f t="shared" si="30"/>
        <v>0</v>
      </c>
      <c r="N254" s="126"/>
      <c r="O254" s="129"/>
    </row>
    <row r="255" spans="1:19" ht="12.95" customHeight="1" x14ac:dyDescent="0.25">
      <c r="A255" s="132" t="s">
        <v>208</v>
      </c>
      <c r="B255" s="126">
        <f>+GETPIVOTDATA(" New Prof avg",'Averages Pivot Table'!$A$3,"State","GA","Category",5,"Category2","Four-Year")</f>
        <v>75146.273186915889</v>
      </c>
      <c r="C255" s="118">
        <f t="shared" si="31"/>
        <v>7</v>
      </c>
      <c r="D255" s="126">
        <f>+GETPIVOTDATA(" New Asc. avg",'Averages Pivot Table'!$A$3,"State","GA","Category",5,"Category2","Four-Year")</f>
        <v>61680.025048763244</v>
      </c>
      <c r="E255" s="118">
        <f t="shared" si="31"/>
        <v>7</v>
      </c>
      <c r="F255" s="126">
        <f>+GETPIVOTDATA(" New Ast. avg",'Averages Pivot Table'!$A$3,"State","GA","Category",5,"Category2","Four-Year")</f>
        <v>52515.056417603912</v>
      </c>
      <c r="G255" s="118">
        <f t="shared" si="27"/>
        <v>7</v>
      </c>
      <c r="H255" s="126">
        <f>+GETPIVOTDATA(" New Inst. avg",'Averages Pivot Table'!$A$3,"State","GA","Category",5,"Category2","Four-Year")</f>
        <v>42834.847773770489</v>
      </c>
      <c r="I255" s="118">
        <f t="shared" si="28"/>
        <v>9</v>
      </c>
      <c r="J255" s="126">
        <f>+GETPIVOTDATA(" New Undesg. avg",'Averages Pivot Table'!$A$3,"State","GA","Category",5,"Category2","Four-Year")</f>
        <v>45387.416666666664</v>
      </c>
      <c r="K255" s="118">
        <f t="shared" si="29"/>
        <v>6</v>
      </c>
      <c r="L255" s="126">
        <f>+GETPIVOTDATA(" New All Ranks avg",'Averages Pivot Table'!$A$3,"State","GA","Category",5,"Category2","Four-Year")</f>
        <v>57471.931542704624</v>
      </c>
      <c r="M255" s="118">
        <f t="shared" si="30"/>
        <v>8</v>
      </c>
      <c r="N255" s="126"/>
      <c r="O255" s="129"/>
    </row>
    <row r="256" spans="1:19" ht="12.95" customHeight="1" x14ac:dyDescent="0.25">
      <c r="A256" s="132" t="s">
        <v>209</v>
      </c>
      <c r="B256" s="126">
        <f>+GETPIVOTDATA(" New Prof avg",'Averages Pivot Table'!$A$3,"State","KY","Category",5,"Category2","Four-Year")</f>
        <v>0</v>
      </c>
      <c r="C256" s="118">
        <f t="shared" si="31"/>
        <v>0</v>
      </c>
      <c r="D256" s="126">
        <f>+GETPIVOTDATA(" New Asc. avg",'Averages Pivot Table'!$A$3,"State","KY","Category",5,"Category2","Four-Year")</f>
        <v>0</v>
      </c>
      <c r="E256" s="118">
        <f t="shared" si="31"/>
        <v>0</v>
      </c>
      <c r="F256" s="126">
        <f>+GETPIVOTDATA(" New Ast. avg",'Averages Pivot Table'!$A$3,"State","KY","Category",5,"Category2","Four-Year")</f>
        <v>0</v>
      </c>
      <c r="G256" s="118">
        <f t="shared" si="27"/>
        <v>0</v>
      </c>
      <c r="H256" s="126">
        <f>+GETPIVOTDATA(" New Inst. avg",'Averages Pivot Table'!$A$3,"State","KY","Category",5,"Category2","Four-Year")</f>
        <v>0</v>
      </c>
      <c r="I256" s="118">
        <f t="shared" si="28"/>
        <v>0</v>
      </c>
      <c r="J256" s="126">
        <f>+GETPIVOTDATA(" New Undesg. avg",'Averages Pivot Table'!$A$3,"State","KY","Category",5,"Category2","Four-Year")</f>
        <v>0</v>
      </c>
      <c r="K256" s="118">
        <f t="shared" si="29"/>
        <v>0</v>
      </c>
      <c r="L256" s="126">
        <f>+GETPIVOTDATA(" New All Ranks avg",'Averages Pivot Table'!$A$3,"State","KY","Category",5,"Category2","Four-Year")</f>
        <v>0</v>
      </c>
      <c r="M256" s="118">
        <f t="shared" si="30"/>
        <v>0</v>
      </c>
      <c r="N256" s="126"/>
      <c r="O256" s="129"/>
    </row>
    <row r="257" spans="1:15" ht="12.95" customHeight="1" x14ac:dyDescent="0.25">
      <c r="A257" s="132" t="s">
        <v>210</v>
      </c>
      <c r="B257" s="126">
        <f>+GETPIVOTDATA(" New Prof avg",'Averages Pivot Table'!$A$3,"State","LA","Category",5,"Category2","Four-Year")</f>
        <v>0</v>
      </c>
      <c r="C257" s="118">
        <f t="shared" si="31"/>
        <v>0</v>
      </c>
      <c r="D257" s="126">
        <f>+GETPIVOTDATA(" New Asc. avg",'Averages Pivot Table'!$A$3,"State","LA","Category",5,"Category2","Four-Year")</f>
        <v>0</v>
      </c>
      <c r="E257" s="118">
        <f t="shared" si="31"/>
        <v>0</v>
      </c>
      <c r="F257" s="126">
        <f>+GETPIVOTDATA(" New Ast. avg",'Averages Pivot Table'!$A$3,"State","LA","Category",5,"Category2","Four-Year")</f>
        <v>0</v>
      </c>
      <c r="G257" s="118">
        <f t="shared" si="27"/>
        <v>0</v>
      </c>
      <c r="H257" s="126">
        <f>+GETPIVOTDATA(" New Inst. avg",'Averages Pivot Table'!$A$3,"State","LA","Category",5,"Category2","Four-Year")</f>
        <v>0</v>
      </c>
      <c r="I257" s="118">
        <f t="shared" si="28"/>
        <v>0</v>
      </c>
      <c r="J257" s="126">
        <f>+GETPIVOTDATA(" New Undesg. avg",'Averages Pivot Table'!$A$3,"State","LA","Category",5,"Category2","Four-Year")</f>
        <v>0</v>
      </c>
      <c r="K257" s="118">
        <f t="shared" si="29"/>
        <v>0</v>
      </c>
      <c r="L257" s="126">
        <f>+GETPIVOTDATA(" New All Ranks avg",'Averages Pivot Table'!$A$3,"State","LA","Category",5,"Category2","Four-Year")</f>
        <v>0</v>
      </c>
      <c r="M257" s="118">
        <f t="shared" si="30"/>
        <v>0</v>
      </c>
      <c r="N257" s="126"/>
      <c r="O257" s="129"/>
    </row>
    <row r="258" spans="1:15" ht="12.95" customHeight="1" x14ac:dyDescent="0.25">
      <c r="A258" s="132" t="s">
        <v>211</v>
      </c>
      <c r="B258" s="126">
        <f>+GETPIVOTDATA(" New Prof avg",'Averages Pivot Table'!$A$3,"State","MD","Category",5,"Category2","Four-Year")</f>
        <v>0</v>
      </c>
      <c r="C258" s="118">
        <f t="shared" si="31"/>
        <v>0</v>
      </c>
      <c r="D258" s="126">
        <f>+GETPIVOTDATA(" New Asc. avg",'Averages Pivot Table'!$A$3,"State","MD","Category",5,"Category2","Four-Year")</f>
        <v>0</v>
      </c>
      <c r="E258" s="118">
        <f t="shared" si="31"/>
        <v>0</v>
      </c>
      <c r="F258" s="126">
        <f>+GETPIVOTDATA(" New Ast. avg",'Averages Pivot Table'!$A$3,"State","MD","Category",5,"Category2","Four-Year")</f>
        <v>0</v>
      </c>
      <c r="G258" s="118">
        <f t="shared" si="27"/>
        <v>0</v>
      </c>
      <c r="H258" s="126">
        <f>+GETPIVOTDATA(" New Inst. avg",'Averages Pivot Table'!$A$3,"State","MD","Category",5,"Category2","Four-Year")</f>
        <v>0</v>
      </c>
      <c r="I258" s="118">
        <f t="shared" si="28"/>
        <v>0</v>
      </c>
      <c r="J258" s="126">
        <f>+GETPIVOTDATA(" New Undesg. avg",'Averages Pivot Table'!$A$3,"State","MD","Category",5,"Category2","Four-Year")</f>
        <v>0</v>
      </c>
      <c r="K258" s="118">
        <f t="shared" si="29"/>
        <v>0</v>
      </c>
      <c r="L258" s="126">
        <f>+GETPIVOTDATA(" New All Ranks avg",'Averages Pivot Table'!$A$3,"State","MD","Category",5,"Category2","Four-Year")</f>
        <v>0</v>
      </c>
      <c r="M258" s="118">
        <f t="shared" si="30"/>
        <v>0</v>
      </c>
      <c r="N258" s="126"/>
      <c r="O258" s="129"/>
    </row>
    <row r="259" spans="1:15" ht="12.95" customHeight="1" x14ac:dyDescent="0.25">
      <c r="A259" s="132"/>
      <c r="B259" s="126"/>
      <c r="C259" s="118">
        <f t="shared" si="31"/>
        <v>0</v>
      </c>
      <c r="D259" s="126"/>
      <c r="E259" s="118">
        <f t="shared" si="31"/>
        <v>0</v>
      </c>
      <c r="F259" s="126"/>
      <c r="G259" s="118">
        <f t="shared" si="27"/>
        <v>0</v>
      </c>
      <c r="H259" s="126"/>
      <c r="I259" s="118">
        <f t="shared" si="28"/>
        <v>0</v>
      </c>
      <c r="J259" s="126"/>
      <c r="K259" s="118">
        <f t="shared" si="29"/>
        <v>0</v>
      </c>
      <c r="L259" s="126"/>
      <c r="M259" s="118">
        <f t="shared" si="30"/>
        <v>0</v>
      </c>
      <c r="N259" s="126"/>
      <c r="O259" s="129"/>
    </row>
    <row r="260" spans="1:15" ht="12.95" customHeight="1" x14ac:dyDescent="0.25">
      <c r="A260" s="132" t="s">
        <v>212</v>
      </c>
      <c r="B260" s="126">
        <f>+GETPIVOTDATA(" New Prof avg",'Averages Pivot Table'!$A$3,"State","MS","Category",5,"Category2","Four-Year")</f>
        <v>56291.63824</v>
      </c>
      <c r="C260" s="118">
        <f t="shared" si="31"/>
        <v>11</v>
      </c>
      <c r="D260" s="126">
        <f>+GETPIVOTDATA(" New Asc. avg",'Averages Pivot Table'!$A$3,"State","MS","Category",5,"Category2","Four-Year")</f>
        <v>47792.058947826088</v>
      </c>
      <c r="E260" s="118">
        <f t="shared" si="31"/>
        <v>11</v>
      </c>
      <c r="F260" s="126">
        <f>+GETPIVOTDATA(" New Ast. avg",'Averages Pivot Table'!$A$3,"State","MS","Category",5,"Category2","Four-Year")</f>
        <v>48150.003735483871</v>
      </c>
      <c r="G260" s="118">
        <f t="shared" si="27"/>
        <v>10</v>
      </c>
      <c r="H260" s="126">
        <f>+GETPIVOTDATA(" New Inst. avg",'Averages Pivot Table'!$A$3,"State","MS","Category",5,"Category2","Four-Year")</f>
        <v>47499.419049056611</v>
      </c>
      <c r="I260" s="118">
        <f t="shared" si="28"/>
        <v>5</v>
      </c>
      <c r="J260" s="126">
        <f>+GETPIVOTDATA(" New Undesg. avg",'Averages Pivot Table'!$A$3,"State","MS","Category",5,"Category2","Four-Year")</f>
        <v>0</v>
      </c>
      <c r="K260" s="118">
        <f t="shared" si="29"/>
        <v>0</v>
      </c>
      <c r="L260" s="126">
        <f>+GETPIVOTDATA(" New All Ranks avg",'Averages Pivot Table'!$A$3,"State","MS","Category",5,"Category2","Four-Year")</f>
        <v>49621.064440875904</v>
      </c>
      <c r="M260" s="118">
        <f t="shared" si="30"/>
        <v>10</v>
      </c>
      <c r="N260" s="126"/>
      <c r="O260" s="129"/>
    </row>
    <row r="261" spans="1:15" ht="12.95" customHeight="1" x14ac:dyDescent="0.25">
      <c r="A261" s="132" t="s">
        <v>213</v>
      </c>
      <c r="B261" s="126">
        <f>+GETPIVOTDATA(" New Prof avg",'Averages Pivot Table'!$A$3,"State","NC","Category",5,"Category2","Four-Year")</f>
        <v>84195.074533333333</v>
      </c>
      <c r="C261" s="118">
        <f t="shared" si="31"/>
        <v>2</v>
      </c>
      <c r="D261" s="126">
        <f>+GETPIVOTDATA(" New Asc. avg",'Averages Pivot Table'!$A$3,"State","NC","Category",5,"Category2","Four-Year")</f>
        <v>71609.195007446804</v>
      </c>
      <c r="E261" s="118">
        <f t="shared" si="31"/>
        <v>1</v>
      </c>
      <c r="F261" s="126">
        <f>+GETPIVOTDATA(" New Ast. avg",'Averages Pivot Table'!$A$3,"State","NC","Category",5,"Category2","Four-Year")</f>
        <v>62425.782742342344</v>
      </c>
      <c r="G261" s="118">
        <f t="shared" si="27"/>
        <v>1</v>
      </c>
      <c r="H261" s="126">
        <f>+GETPIVOTDATA(" New Inst. avg",'Averages Pivot Table'!$A$3,"State","NC","Category",5,"Category2","Four-Year")</f>
        <v>58623.545464150942</v>
      </c>
      <c r="I261" s="118">
        <f t="shared" si="28"/>
        <v>2</v>
      </c>
      <c r="J261" s="126">
        <f>+GETPIVOTDATA(" New Undesg. avg",'Averages Pivot Table'!$A$3,"State","NC","Category",5,"Category2","Four-Year")</f>
        <v>49800.159385454543</v>
      </c>
      <c r="K261" s="118">
        <f t="shared" si="29"/>
        <v>4</v>
      </c>
      <c r="L261" s="126">
        <f>+GETPIVOTDATA(" New All Ranks avg",'Averages Pivot Table'!$A$3,"State","NC","Category",5,"Category2","Four-Year")</f>
        <v>65835.461683035697</v>
      </c>
      <c r="M261" s="118">
        <f t="shared" si="30"/>
        <v>1</v>
      </c>
      <c r="N261" s="126"/>
      <c r="O261" s="129"/>
    </row>
    <row r="262" spans="1:15" ht="12.95" customHeight="1" x14ac:dyDescent="0.25">
      <c r="A262" s="132" t="s">
        <v>214</v>
      </c>
      <c r="B262" s="126">
        <f>+GETPIVOTDATA(" New Prof avg",'Averages Pivot Table'!$A$3,"State","OK","Category",5,"Category2","Four-Year")</f>
        <v>70585.084434517761</v>
      </c>
      <c r="C262" s="118">
        <f t="shared" si="31"/>
        <v>9</v>
      </c>
      <c r="D262" s="126">
        <f>+GETPIVOTDATA(" New Asc. avg",'Averages Pivot Table'!$A$3,"State","OK","Category",5,"Category2","Four-Year")</f>
        <v>59955.535171428564</v>
      </c>
      <c r="E262" s="118">
        <f t="shared" si="31"/>
        <v>9</v>
      </c>
      <c r="F262" s="126">
        <f>+GETPIVOTDATA(" New Ast. avg",'Averages Pivot Table'!$A$3,"State","OK","Category",5,"Category2","Four-Year")</f>
        <v>50300.006299230772</v>
      </c>
      <c r="G262" s="118">
        <f t="shared" si="27"/>
        <v>8</v>
      </c>
      <c r="H262" s="126">
        <f>+GETPIVOTDATA(" New Inst. avg",'Averages Pivot Table'!$A$3,"State","OK","Category",5,"Category2","Four-Year")</f>
        <v>42837.846296629206</v>
      </c>
      <c r="I262" s="118">
        <f t="shared" si="28"/>
        <v>8</v>
      </c>
      <c r="J262" s="126">
        <f>+GETPIVOTDATA(" New Undesg. avg",'Averages Pivot Table'!$A$3,"State","OK","Category",5,"Category2","Four-Year")</f>
        <v>0</v>
      </c>
      <c r="K262" s="118">
        <f t="shared" si="29"/>
        <v>0</v>
      </c>
      <c r="L262" s="126">
        <f>+GETPIVOTDATA(" New All Ranks avg",'Averages Pivot Table'!$A$3,"State","OK","Category",5,"Category2","Four-Year")</f>
        <v>54493.498773274914</v>
      </c>
      <c r="M262" s="118">
        <f t="shared" si="30"/>
        <v>9</v>
      </c>
      <c r="N262" s="126"/>
      <c r="O262" s="129"/>
    </row>
    <row r="263" spans="1:15" ht="12.95" customHeight="1" x14ac:dyDescent="0.25">
      <c r="A263" s="132" t="s">
        <v>215</v>
      </c>
      <c r="B263" s="126">
        <f>+GETPIVOTDATA(" New Prof avg",'Averages Pivot Table'!$A$3,"State","SC","Category",5,"Category2","Four-Year")</f>
        <v>78654.689299999998</v>
      </c>
      <c r="C263" s="118">
        <f t="shared" si="31"/>
        <v>4</v>
      </c>
      <c r="D263" s="126">
        <f>+GETPIVOTDATA(" New Asc. avg",'Averages Pivot Table'!$A$3,"State","SC","Category",5,"Category2","Four-Year")</f>
        <v>66117.872039408874</v>
      </c>
      <c r="E263" s="118">
        <f t="shared" si="31"/>
        <v>3</v>
      </c>
      <c r="F263" s="126">
        <f>+GETPIVOTDATA(" New Ast. avg",'Averages Pivot Table'!$A$3,"State","SC","Category",5,"Category2","Four-Year")</f>
        <v>56329.655046031745</v>
      </c>
      <c r="G263" s="118">
        <f t="shared" si="27"/>
        <v>4</v>
      </c>
      <c r="H263" s="126">
        <f>+GETPIVOTDATA(" New Inst. avg",'Averages Pivot Table'!$A$3,"State","SC","Category",5,"Category2","Four-Year")</f>
        <v>45993.516045901641</v>
      </c>
      <c r="I263" s="118">
        <f t="shared" si="28"/>
        <v>6</v>
      </c>
      <c r="J263" s="126">
        <f>+GETPIVOTDATA(" New Undesg. avg",'Averages Pivot Table'!$A$3,"State","SC","Category",5,"Category2","Four-Year")</f>
        <v>41174.05399058824</v>
      </c>
      <c r="K263" s="118">
        <f t="shared" si="29"/>
        <v>8</v>
      </c>
      <c r="L263" s="126">
        <f>+GETPIVOTDATA(" New All Ranks avg",'Averages Pivot Table'!$A$3,"State","SC","Category",5,"Category2","Four-Year")</f>
        <v>61250.42840599738</v>
      </c>
      <c r="M263" s="118">
        <f t="shared" si="30"/>
        <v>5</v>
      </c>
      <c r="N263" s="126"/>
      <c r="O263" s="129"/>
    </row>
    <row r="264" spans="1:15" ht="12.95" customHeight="1" x14ac:dyDescent="0.25">
      <c r="A264" s="132"/>
      <c r="B264" s="126"/>
      <c r="C264" s="118">
        <f t="shared" si="31"/>
        <v>0</v>
      </c>
      <c r="D264" s="126"/>
      <c r="E264" s="118">
        <f t="shared" si="31"/>
        <v>0</v>
      </c>
      <c r="F264" s="126"/>
      <c r="G264" s="118">
        <f t="shared" si="27"/>
        <v>0</v>
      </c>
      <c r="H264" s="126"/>
      <c r="I264" s="118">
        <f t="shared" si="28"/>
        <v>0</v>
      </c>
      <c r="J264" s="126"/>
      <c r="K264" s="118">
        <f t="shared" si="29"/>
        <v>0</v>
      </c>
      <c r="L264" s="126"/>
      <c r="M264" s="118">
        <f t="shared" si="30"/>
        <v>0</v>
      </c>
      <c r="N264" s="126"/>
      <c r="O264" s="129"/>
    </row>
    <row r="265" spans="1:15" ht="12.95" customHeight="1" x14ac:dyDescent="0.25">
      <c r="A265" s="132" t="s">
        <v>216</v>
      </c>
      <c r="B265" s="563">
        <f>+GETPIVOTDATA(" New Prof avg",'Averages Pivot Table'!$A$3,"State","TN","Category",5,"Category2","Four-Year")</f>
        <v>74795.77829473684</v>
      </c>
      <c r="C265" s="118">
        <f t="shared" si="31"/>
        <v>8</v>
      </c>
      <c r="D265" s="563">
        <f>+GETPIVOTDATA(" New Asc. avg",'Averages Pivot Table'!$A$3,"State","TN","Category",5,"Category2","Four-Year")</f>
        <v>62631.115371874999</v>
      </c>
      <c r="E265" s="118">
        <f t="shared" si="31"/>
        <v>6</v>
      </c>
      <c r="F265" s="563">
        <f>+GETPIVOTDATA(" New Ast. avg",'Averages Pivot Table'!$A$3,"State","TN","Category",5,"Category2","Four-Year")</f>
        <v>54106.065911392412</v>
      </c>
      <c r="G265" s="118">
        <f t="shared" si="27"/>
        <v>5</v>
      </c>
      <c r="H265" s="563">
        <f>+GETPIVOTDATA(" New Inst. avg",'Averages Pivot Table'!$A$3,"State","TN","Category",5,"Category2","Four-Year")</f>
        <v>48242.455421052633</v>
      </c>
      <c r="I265" s="118">
        <f t="shared" si="28"/>
        <v>4</v>
      </c>
      <c r="J265" s="563">
        <f>+GETPIVOTDATA(" New Undesg. avg",'Averages Pivot Table'!$A$3,"State","TN","Category",5,"Category2","Four-Year")</f>
        <v>43116.26470588235</v>
      </c>
      <c r="K265" s="118">
        <f t="shared" si="29"/>
        <v>7</v>
      </c>
      <c r="L265" s="563">
        <f>+GETPIVOTDATA(" New All Ranks avg",'Averages Pivot Table'!$A$3,"State","TN","Category",5,"Category2","Four-Year")</f>
        <v>60109.593361029416</v>
      </c>
      <c r="M265" s="118">
        <f t="shared" si="30"/>
        <v>6</v>
      </c>
      <c r="N265" s="126"/>
      <c r="O265" s="129"/>
    </row>
    <row r="266" spans="1:15" ht="12.95" customHeight="1" x14ac:dyDescent="0.25">
      <c r="A266" s="132" t="s">
        <v>217</v>
      </c>
      <c r="B266" s="563">
        <f>+GETPIVOTDATA(" New Prof avg",'Averages Pivot Table'!$A$3,"State","TX","Category",5,"Category2","Four-Year")</f>
        <v>86529.934153571419</v>
      </c>
      <c r="C266" s="118">
        <f t="shared" si="31"/>
        <v>1</v>
      </c>
      <c r="D266" s="563">
        <f>+GETPIVOTDATA(" New Asc. avg",'Averages Pivot Table'!$A$3,"State","TX","Category",5,"Category2","Four-Year")</f>
        <v>68607.317332692313</v>
      </c>
      <c r="E266" s="118">
        <f t="shared" si="31"/>
        <v>2</v>
      </c>
      <c r="F266" s="563">
        <f>+GETPIVOTDATA(" New Ast. avg",'Averages Pivot Table'!$A$3,"State","TX","Category",5,"Category2","Four-Year")</f>
        <v>57194.197674418603</v>
      </c>
      <c r="G266" s="118">
        <f t="shared" si="27"/>
        <v>2</v>
      </c>
      <c r="H266" s="563">
        <f>+GETPIVOTDATA(" New Inst. avg",'Averages Pivot Table'!$A$3,"State","TX","Category",5,"Category2","Four-Year")</f>
        <v>62000</v>
      </c>
      <c r="I266" s="118">
        <f t="shared" si="28"/>
        <v>1</v>
      </c>
      <c r="J266" s="563">
        <f>+GETPIVOTDATA(" New Undesg. avg",'Averages Pivot Table'!$A$3,"State","TX","Category",5,"Category2","Four-Year")</f>
        <v>48101.195606666661</v>
      </c>
      <c r="K266" s="118">
        <f t="shared" si="29"/>
        <v>5</v>
      </c>
      <c r="L266" s="563">
        <f>+GETPIVOTDATA(" New All Ranks avg",'Averages Pivot Table'!$A$3,"State","TX","Category",5,"Category2","Four-Year")</f>
        <v>64633.042238187707</v>
      </c>
      <c r="M266" s="118">
        <f t="shared" si="30"/>
        <v>3</v>
      </c>
      <c r="N266" s="126"/>
      <c r="O266" s="129"/>
    </row>
    <row r="267" spans="1:15" ht="12.95" customHeight="1" x14ac:dyDescent="0.25">
      <c r="A267" s="132" t="s">
        <v>218</v>
      </c>
      <c r="B267" s="563">
        <f>+GETPIVOTDATA(" New Prof avg",'Averages Pivot Table'!$A$3,"State","VA","Category",5,"Category2","Four-Year")</f>
        <v>83903.131662500004</v>
      </c>
      <c r="C267" s="118">
        <f t="shared" si="31"/>
        <v>3</v>
      </c>
      <c r="D267" s="563">
        <f>+GETPIVOTDATA(" New Asc. avg",'Averages Pivot Table'!$A$3,"State","VA","Category",5,"Category2","Four-Year")</f>
        <v>65427.430170833337</v>
      </c>
      <c r="E267" s="118">
        <f t="shared" si="31"/>
        <v>4</v>
      </c>
      <c r="F267" s="563">
        <f>+GETPIVOTDATA(" New Ast. avg",'Averages Pivot Table'!$A$3,"State","VA","Category",5,"Category2","Four-Year")</f>
        <v>56368.765718518516</v>
      </c>
      <c r="G267" s="118">
        <f t="shared" si="27"/>
        <v>3</v>
      </c>
      <c r="H267" s="563">
        <f>+GETPIVOTDATA(" New Inst. avg",'Averages Pivot Table'!$A$3,"State","VA","Category",5,"Category2","Four-Year")</f>
        <v>50475.959323076924</v>
      </c>
      <c r="I267" s="118">
        <f t="shared" si="28"/>
        <v>3</v>
      </c>
      <c r="J267" s="563">
        <f>+GETPIVOTDATA(" New Undesg. avg",'Averages Pivot Table'!$A$3,"State","VA","Category",5,"Category2","Four-Year")</f>
        <v>54430.625</v>
      </c>
      <c r="K267" s="118">
        <f t="shared" si="29"/>
        <v>2</v>
      </c>
      <c r="L267" s="563">
        <f>+GETPIVOTDATA(" New All Ranks avg",'Averages Pivot Table'!$A$3,"State","VA","Category",5,"Category2","Four-Year")</f>
        <v>65493.360294444436</v>
      </c>
      <c r="M267" s="118">
        <f t="shared" si="30"/>
        <v>2</v>
      </c>
      <c r="N267" s="126"/>
      <c r="O267" s="126"/>
    </row>
    <row r="268" spans="1:15" ht="12.95" customHeight="1" x14ac:dyDescent="0.25">
      <c r="A268" s="6" t="s">
        <v>219</v>
      </c>
      <c r="B268" s="566">
        <f>+GETPIVOTDATA(" New Prof avg",'Averages Pivot Table'!$A$3,"State","WV","Category",5,"Category2","Four-Year")</f>
        <v>75611.734944186042</v>
      </c>
      <c r="C268" s="119">
        <f t="shared" si="31"/>
        <v>6</v>
      </c>
      <c r="D268" s="566">
        <f>+GETPIVOTDATA(" New Asc. avg",'Averages Pivot Table'!$A$3,"State","WV","Category",5,"Category2","Four-Year")</f>
        <v>63785.308935064932</v>
      </c>
      <c r="E268" s="119">
        <f t="shared" si="31"/>
        <v>5</v>
      </c>
      <c r="F268" s="566">
        <f>+GETPIVOTDATA(" New Ast. avg",'Averages Pivot Table'!$A$3,"State","WV","Category",5,"Category2","Four-Year")</f>
        <v>53088.929732110097</v>
      </c>
      <c r="G268" s="119">
        <f t="shared" si="27"/>
        <v>6</v>
      </c>
      <c r="H268" s="566">
        <f>+GETPIVOTDATA(" New Inst. avg",'Averages Pivot Table'!$A$3,"State","WV","Category",5,"Category2","Four-Year")</f>
        <v>43237.509599999998</v>
      </c>
      <c r="I268" s="119">
        <f t="shared" si="28"/>
        <v>7</v>
      </c>
      <c r="J268" s="566">
        <f>+GETPIVOTDATA(" New Undesg. avg",'Averages Pivot Table'!$A$3,"State","WV","Category",5,"Category2","Four-Year")</f>
        <v>52001.760487499996</v>
      </c>
      <c r="K268" s="119">
        <f t="shared" si="29"/>
        <v>3</v>
      </c>
      <c r="L268" s="566">
        <f>+GETPIVOTDATA(" New All Ranks avg",'Averages Pivot Table'!$A$3,"State","WV","Category",5,"Category2","Four-Year")</f>
        <v>61654.660547194726</v>
      </c>
      <c r="M268" s="119">
        <f t="shared" si="30"/>
        <v>4</v>
      </c>
      <c r="N268" s="126"/>
      <c r="O268" s="126"/>
    </row>
    <row r="269" spans="1:15" ht="30" customHeight="1" x14ac:dyDescent="0.25">
      <c r="A269" s="668" t="s">
        <v>91</v>
      </c>
      <c r="B269" s="673"/>
      <c r="C269" s="673"/>
      <c r="D269" s="673"/>
      <c r="E269" s="673"/>
      <c r="F269" s="673"/>
      <c r="G269" s="673"/>
      <c r="H269" s="673"/>
      <c r="I269" s="673"/>
      <c r="J269" s="673"/>
      <c r="K269" s="673"/>
      <c r="L269" s="673"/>
      <c r="M269" s="673"/>
      <c r="N269" s="132"/>
      <c r="O269" s="132"/>
    </row>
    <row r="270" spans="1:15" x14ac:dyDescent="0.25">
      <c r="M270" s="157" t="s">
        <v>1083</v>
      </c>
      <c r="O270" s="131"/>
    </row>
    <row r="271" spans="1:15" ht="18" x14ac:dyDescent="0.25">
      <c r="A271" s="544" t="s">
        <v>268</v>
      </c>
      <c r="B271" s="544"/>
      <c r="C271" s="544"/>
      <c r="D271" s="544"/>
      <c r="E271" s="544"/>
      <c r="F271" s="544"/>
      <c r="G271" s="544"/>
      <c r="H271" s="544"/>
      <c r="I271" s="544"/>
      <c r="J271" s="544"/>
      <c r="K271" s="544"/>
      <c r="L271" s="544"/>
      <c r="M271" s="544"/>
      <c r="N271" s="100"/>
      <c r="O271" s="100"/>
    </row>
    <row r="272" spans="1:15" x14ac:dyDescent="0.25">
      <c r="A272" s="588"/>
      <c r="B272" s="93"/>
      <c r="C272" s="93"/>
      <c r="D272" s="93"/>
      <c r="E272" s="93"/>
      <c r="F272" s="93"/>
      <c r="G272" s="93"/>
      <c r="H272" s="93"/>
      <c r="I272" s="93"/>
      <c r="J272" s="93"/>
      <c r="K272" s="93"/>
      <c r="L272" s="93"/>
      <c r="M272" s="93"/>
      <c r="N272" s="93"/>
      <c r="O272" s="93"/>
    </row>
    <row r="273" spans="1:19" x14ac:dyDescent="0.25">
      <c r="A273" s="665" t="s">
        <v>220</v>
      </c>
      <c r="B273" s="665"/>
      <c r="C273" s="665"/>
      <c r="D273" s="665"/>
      <c r="E273" s="665"/>
      <c r="F273" s="665"/>
      <c r="G273" s="665"/>
      <c r="H273" s="665"/>
      <c r="I273" s="665"/>
      <c r="J273" s="665"/>
      <c r="K273" s="665"/>
      <c r="L273" s="665"/>
      <c r="M273" s="665"/>
      <c r="N273" s="128"/>
      <c r="O273" s="128"/>
    </row>
    <row r="274" spans="1:19" x14ac:dyDescent="0.25">
      <c r="A274" s="665" t="s">
        <v>1068</v>
      </c>
      <c r="B274" s="665"/>
      <c r="C274" s="665"/>
      <c r="D274" s="665"/>
      <c r="E274" s="665"/>
      <c r="F274" s="665"/>
      <c r="G274" s="665"/>
      <c r="H274" s="665"/>
      <c r="I274" s="665"/>
      <c r="J274" s="665"/>
      <c r="K274" s="665"/>
      <c r="L274" s="665"/>
      <c r="M274" s="665"/>
      <c r="N274" s="128"/>
      <c r="O274" s="128"/>
    </row>
    <row r="275" spans="1:19" x14ac:dyDescent="0.25">
      <c r="A275" s="132"/>
      <c r="B275" s="132"/>
      <c r="C275" s="132"/>
      <c r="D275" s="132"/>
      <c r="E275" s="132"/>
      <c r="F275" s="132"/>
      <c r="G275" s="132"/>
      <c r="H275" s="132"/>
      <c r="I275" s="132"/>
      <c r="J275" s="132"/>
      <c r="K275" s="132"/>
      <c r="L275" s="132"/>
      <c r="M275" s="132"/>
      <c r="N275" s="132"/>
      <c r="O275" s="132"/>
    </row>
    <row r="276" spans="1:19" ht="36" customHeight="1" x14ac:dyDescent="0.25">
      <c r="A276" s="547"/>
      <c r="B276" s="589" t="s">
        <v>99</v>
      </c>
      <c r="C276" s="142"/>
      <c r="D276" s="590" t="s">
        <v>100</v>
      </c>
      <c r="E276" s="591"/>
      <c r="F276" s="590" t="s">
        <v>101</v>
      </c>
      <c r="G276" s="591"/>
      <c r="H276" s="589" t="s">
        <v>102</v>
      </c>
      <c r="I276" s="142"/>
      <c r="J276" s="590" t="s">
        <v>226</v>
      </c>
      <c r="K276" s="591"/>
      <c r="L276" s="142" t="s">
        <v>84</v>
      </c>
      <c r="M276" s="142"/>
      <c r="N276" s="129" t="s">
        <v>223</v>
      </c>
      <c r="O276" s="129"/>
    </row>
    <row r="277" spans="1:19" x14ac:dyDescent="0.25">
      <c r="A277" s="551"/>
      <c r="B277" s="115" t="s">
        <v>103</v>
      </c>
      <c r="C277" s="143" t="s">
        <v>193</v>
      </c>
      <c r="D277" s="115" t="s">
        <v>103</v>
      </c>
      <c r="E277" s="143" t="s">
        <v>193</v>
      </c>
      <c r="F277" s="115" t="s">
        <v>103</v>
      </c>
      <c r="G277" s="143" t="s">
        <v>193</v>
      </c>
      <c r="H277" s="115" t="s">
        <v>103</v>
      </c>
      <c r="I277" s="143" t="s">
        <v>193</v>
      </c>
      <c r="J277" s="115" t="s">
        <v>103</v>
      </c>
      <c r="K277" s="143" t="s">
        <v>193</v>
      </c>
      <c r="L277" s="115" t="s">
        <v>103</v>
      </c>
      <c r="M277" s="143" t="s">
        <v>193</v>
      </c>
      <c r="N277" s="129" t="s">
        <v>223</v>
      </c>
      <c r="O277" s="129"/>
    </row>
    <row r="278" spans="1:19" s="556" customFormat="1" ht="18" customHeight="1" x14ac:dyDescent="0.25">
      <c r="A278" s="554" t="s">
        <v>222</v>
      </c>
      <c r="B278" s="146">
        <f>+GETPIVOTDATA(" New Prof avg",'Averages Pivot Table'!$A$3,"Category",6,"Category2","Four-Year")</f>
        <v>76505.683174020334</v>
      </c>
      <c r="C278" s="146"/>
      <c r="D278" s="146">
        <f>+GETPIVOTDATA(" New Asc. avg",'Averages Pivot Table'!$A$3,"Category",6,"Category2","Four-Year")</f>
        <v>61619.870053829633</v>
      </c>
      <c r="E278" s="146"/>
      <c r="F278" s="146">
        <f>+GETPIVOTDATA(" New Ast. avg",'Averages Pivot Table'!$A$3,"Category",6,"Category2","Four-Year")</f>
        <v>54369.933356154252</v>
      </c>
      <c r="G278" s="146"/>
      <c r="H278" s="146">
        <f>+GETPIVOTDATA(" New Inst. avg",'Averages Pivot Table'!$A$3,"Category",6,"Category2","Four-Year")</f>
        <v>43322.754073865828</v>
      </c>
      <c r="I278" s="146"/>
      <c r="J278" s="146">
        <f>+GETPIVOTDATA(" New Undesg. avg",'Averages Pivot Table'!$A$3,"Category",6,"Category2","Four-Year")</f>
        <v>46440.002584648879</v>
      </c>
      <c r="K278" s="146"/>
      <c r="L278" s="146">
        <f>+GETPIVOTDATA(" New All Ranks avg",'Averages Pivot Table'!$A$3,"Category",6,"Category2","Four-Year")</f>
        <v>58228.200448451011</v>
      </c>
      <c r="M278" s="149"/>
      <c r="N278" s="141"/>
      <c r="O278" s="141"/>
      <c r="Q278" s="558"/>
      <c r="R278" s="558"/>
      <c r="S278" s="558"/>
    </row>
    <row r="279" spans="1:19" ht="12.95" customHeight="1" x14ac:dyDescent="0.25">
      <c r="A279" s="132"/>
      <c r="B279" s="123"/>
      <c r="C279" s="150"/>
      <c r="D279" s="123"/>
      <c r="E279" s="150"/>
      <c r="F279" s="123"/>
      <c r="G279" s="150"/>
      <c r="H279" s="123"/>
      <c r="I279" s="150"/>
      <c r="J279" s="123"/>
      <c r="K279" s="150"/>
      <c r="L279" s="123"/>
      <c r="M279" s="150"/>
      <c r="N279" s="123"/>
      <c r="O279" s="134"/>
    </row>
    <row r="280" spans="1:19" ht="12.95" customHeight="1" x14ac:dyDescent="0.25">
      <c r="A280" s="132" t="s">
        <v>205</v>
      </c>
      <c r="B280" s="126">
        <f>+GETPIVOTDATA(" New Prof avg",'Averages Pivot Table'!$A$3,"State","AL","Category",6,"Category2","Four-Year")</f>
        <v>84664.398190000007</v>
      </c>
      <c r="C280" s="118">
        <f>IF(B280&gt;0,(RANK(B280,B$280:B$298)),0)</f>
        <v>4</v>
      </c>
      <c r="D280" s="126">
        <f>+GETPIVOTDATA(" New Asc. avg",'Averages Pivot Table'!$A$3,"State","AL","Category",6,"Category2","Four-Year")</f>
        <v>73430.309782608689</v>
      </c>
      <c r="E280" s="118">
        <f>IF(D280&gt;0,(RANK(D280,D$280:D$298)),0)</f>
        <v>1</v>
      </c>
      <c r="F280" s="126">
        <f>+GETPIVOTDATA(" New Ast. avg",'Averages Pivot Table'!$A$3,"State","AL","Category",6,"Category2","Four-Year")</f>
        <v>61186.815579487178</v>
      </c>
      <c r="G280" s="118">
        <f t="shared" ref="G280:G298" si="32">IF(F280&gt;0,(RANK(F280,F$280:F$298)),0)</f>
        <v>3</v>
      </c>
      <c r="H280" s="126">
        <f>+GETPIVOTDATA(" New Inst. avg",'Averages Pivot Table'!$A$3,"State","AL","Category",6,"Category2","Four-Year")</f>
        <v>45233.137533333334</v>
      </c>
      <c r="I280" s="118">
        <f t="shared" ref="I280:I298" si="33">IF(H280&gt;0,(RANK(H280,H$280:H$298)),0)</f>
        <v>4</v>
      </c>
      <c r="J280" s="126">
        <f>+GETPIVOTDATA(" New Undesg. avg",'Averages Pivot Table'!$A$3,"State","AL","Category",6,"Category2","Four-Year")</f>
        <v>0</v>
      </c>
      <c r="K280" s="118">
        <f t="shared" ref="K280:K298" si="34">IF(J280&gt;0,(RANK(J280,J$280:J$298)),0)</f>
        <v>0</v>
      </c>
      <c r="L280" s="126">
        <f>+GETPIVOTDATA(" New All Ranks avg",'Averages Pivot Table'!$A$3,"State","AL","Category",6,"Category2","Four-Year")</f>
        <v>69460.827164705886</v>
      </c>
      <c r="M280" s="118">
        <f t="shared" ref="M280:M298" si="35">IF(L280&gt;0,(RANK(L280,L$280:L$298)),0)</f>
        <v>2</v>
      </c>
      <c r="N280" s="126"/>
      <c r="O280" s="129"/>
    </row>
    <row r="281" spans="1:19" ht="12.95" customHeight="1" x14ac:dyDescent="0.25">
      <c r="A281" s="132" t="s">
        <v>206</v>
      </c>
      <c r="B281" s="126">
        <f>+GETPIVOTDATA(" New Prof avg",'Averages Pivot Table'!$A$3,"State","AR","Category",6,"Category2","Four-Year")</f>
        <v>68309.718792000014</v>
      </c>
      <c r="C281" s="118">
        <f t="shared" ref="C281:E298" si="36">IF(B281&gt;0,(RANK(B281,B$280:B$298)),0)</f>
        <v>10</v>
      </c>
      <c r="D281" s="126">
        <f>+GETPIVOTDATA(" New Asc. avg",'Averages Pivot Table'!$A$3,"State","AR","Category",6,"Category2","Four-Year")</f>
        <v>65472.747367054937</v>
      </c>
      <c r="E281" s="118">
        <f t="shared" si="36"/>
        <v>5</v>
      </c>
      <c r="F281" s="126">
        <f>+GETPIVOTDATA(" New Ast. avg",'Averages Pivot Table'!$A$3,"State","AR","Category",6,"Category2","Four-Year")</f>
        <v>52445.001754261444</v>
      </c>
      <c r="G281" s="118">
        <f t="shared" si="32"/>
        <v>8</v>
      </c>
      <c r="H281" s="126">
        <f>+GETPIVOTDATA(" New Inst. avg",'Averages Pivot Table'!$A$3,"State","AR","Category",6,"Category2","Four-Year")</f>
        <v>42318.805743574805</v>
      </c>
      <c r="I281" s="118">
        <f t="shared" si="33"/>
        <v>8</v>
      </c>
      <c r="J281" s="126">
        <f>+GETPIVOTDATA(" New Undesg. avg",'Averages Pivot Table'!$A$3,"State","AR","Category",6,"Category2","Four-Year")</f>
        <v>43479.115555555552</v>
      </c>
      <c r="K281" s="118">
        <f t="shared" si="34"/>
        <v>5</v>
      </c>
      <c r="L281" s="126">
        <f>+GETPIVOTDATA(" New All Ranks avg",'Averages Pivot Table'!$A$3,"State","AR","Category",6,"Category2","Four-Year")</f>
        <v>53559.629735653201</v>
      </c>
      <c r="M281" s="118">
        <f t="shared" si="35"/>
        <v>10</v>
      </c>
      <c r="N281" s="126"/>
      <c r="O281" s="129"/>
    </row>
    <row r="282" spans="1:19" ht="12.95" customHeight="1" x14ac:dyDescent="0.25">
      <c r="A282" s="132" t="s">
        <v>221</v>
      </c>
      <c r="B282" s="126">
        <f>+GETPIVOTDATA(" New Prof avg",'Averages Pivot Table'!$A$3,"State","DE","Category",6,"Category2","Four-Year")</f>
        <v>0</v>
      </c>
      <c r="C282" s="118">
        <f t="shared" si="36"/>
        <v>0</v>
      </c>
      <c r="D282" s="126">
        <f>+GETPIVOTDATA(" New Asc. avg",'Averages Pivot Table'!$A$3,"State","DE","Category",6,"Category2","Four-Year")</f>
        <v>0</v>
      </c>
      <c r="E282" s="118">
        <f t="shared" si="36"/>
        <v>0</v>
      </c>
      <c r="F282" s="126">
        <f>+GETPIVOTDATA(" New Ast. avg",'Averages Pivot Table'!$A$3,"State","DE","Category",6,"Category2","Four-Year")</f>
        <v>0</v>
      </c>
      <c r="G282" s="118">
        <f t="shared" si="32"/>
        <v>0</v>
      </c>
      <c r="H282" s="126">
        <f>+GETPIVOTDATA(" New Inst. avg",'Averages Pivot Table'!$A$3,"State","DE","Category",6,"Category2","Four-Year")</f>
        <v>0</v>
      </c>
      <c r="I282" s="118">
        <f t="shared" si="33"/>
        <v>0</v>
      </c>
      <c r="J282" s="126">
        <f>+GETPIVOTDATA(" New Undesg. avg",'Averages Pivot Table'!$A$3,"State","DE","Category",6,"Category2","Four-Year")</f>
        <v>0</v>
      </c>
      <c r="K282" s="118">
        <f t="shared" si="34"/>
        <v>0</v>
      </c>
      <c r="L282" s="126">
        <f>+GETPIVOTDATA(" New All Ranks avg",'Averages Pivot Table'!$A$3,"State","DE","Category",6,"Category2","Four-Year")</f>
        <v>0</v>
      </c>
      <c r="M282" s="118">
        <f t="shared" si="35"/>
        <v>0</v>
      </c>
      <c r="N282" s="126"/>
      <c r="O282" s="129"/>
    </row>
    <row r="283" spans="1:19" ht="12.95" customHeight="1" x14ac:dyDescent="0.25">
      <c r="A283" s="132" t="s">
        <v>207</v>
      </c>
      <c r="B283" s="126">
        <f>+GETPIVOTDATA(" New Prof avg",'Averages Pivot Table'!$A$3,"State","FL","Category",6,"Category2","Four-Year")</f>
        <v>81942.025384615394</v>
      </c>
      <c r="C283" s="118">
        <f t="shared" si="36"/>
        <v>5</v>
      </c>
      <c r="D283" s="126">
        <f>+GETPIVOTDATA(" New Asc. avg",'Averages Pivot Table'!$A$3,"State","FL","Category",6,"Category2","Four-Year")</f>
        <v>66578.10263157895</v>
      </c>
      <c r="E283" s="118">
        <f t="shared" si="36"/>
        <v>4</v>
      </c>
      <c r="F283" s="126">
        <f>+GETPIVOTDATA(" New Ast. avg",'Averages Pivot Table'!$A$3,"State","FL","Category",6,"Category2","Four-Year")</f>
        <v>54848.53</v>
      </c>
      <c r="G283" s="118">
        <f t="shared" si="32"/>
        <v>7</v>
      </c>
      <c r="H283" s="126">
        <f>+GETPIVOTDATA(" New Inst. avg",'Averages Pivot Table'!$A$3,"State","FL","Category",6,"Category2","Four-Year")</f>
        <v>42020.78</v>
      </c>
      <c r="I283" s="118">
        <f t="shared" si="33"/>
        <v>9</v>
      </c>
      <c r="J283" s="126">
        <f>+GETPIVOTDATA(" New Undesg. avg",'Averages Pivot Table'!$A$3,"State","FL","Category",6,"Category2","Four-Year")</f>
        <v>0</v>
      </c>
      <c r="K283" s="118">
        <f t="shared" si="34"/>
        <v>0</v>
      </c>
      <c r="L283" s="126">
        <f>+GETPIVOTDATA(" New All Ranks avg",'Averages Pivot Table'!$A$3,"State","FL","Category",6,"Category2","Four-Year")</f>
        <v>68101.646086956534</v>
      </c>
      <c r="M283" s="118">
        <f t="shared" si="35"/>
        <v>3</v>
      </c>
      <c r="N283" s="126"/>
      <c r="O283" s="129"/>
    </row>
    <row r="284" spans="1:19" ht="12.95" customHeight="1" x14ac:dyDescent="0.25">
      <c r="A284" s="132"/>
      <c r="B284" s="126"/>
      <c r="C284" s="118">
        <f t="shared" si="36"/>
        <v>0</v>
      </c>
      <c r="D284" s="126"/>
      <c r="E284" s="118">
        <f t="shared" si="36"/>
        <v>0</v>
      </c>
      <c r="F284" s="126"/>
      <c r="G284" s="118">
        <f t="shared" si="32"/>
        <v>0</v>
      </c>
      <c r="H284" s="126"/>
      <c r="I284" s="118">
        <f t="shared" si="33"/>
        <v>0</v>
      </c>
      <c r="J284" s="126"/>
      <c r="K284" s="118">
        <f t="shared" si="34"/>
        <v>0</v>
      </c>
      <c r="L284" s="126"/>
      <c r="M284" s="118">
        <f t="shared" si="35"/>
        <v>0</v>
      </c>
      <c r="N284" s="126"/>
      <c r="O284" s="129"/>
    </row>
    <row r="285" spans="1:19" ht="12.95" customHeight="1" x14ac:dyDescent="0.25">
      <c r="A285" s="132" t="s">
        <v>208</v>
      </c>
      <c r="B285" s="126">
        <f>+GETPIVOTDATA(" New Prof avg",'Averages Pivot Table'!$A$3,"State","GA","Category",6,"Category2","Four-Year")</f>
        <v>87866.032258064515</v>
      </c>
      <c r="C285" s="118">
        <f t="shared" si="36"/>
        <v>3</v>
      </c>
      <c r="D285" s="126">
        <f>+GETPIVOTDATA(" New Asc. avg",'Averages Pivot Table'!$A$3,"State","GA","Category",6,"Category2","Four-Year")</f>
        <v>64257.383177570096</v>
      </c>
      <c r="E285" s="118">
        <f t="shared" si="36"/>
        <v>6</v>
      </c>
      <c r="F285" s="126">
        <f>+GETPIVOTDATA(" New Ast. avg",'Averages Pivot Table'!$A$3,"State","GA","Category",6,"Category2","Four-Year")</f>
        <v>57306.610416053518</v>
      </c>
      <c r="G285" s="118">
        <f t="shared" si="32"/>
        <v>4</v>
      </c>
      <c r="H285" s="126">
        <f>+GETPIVOTDATA(" New Inst. avg",'Averages Pivot Table'!$A$3,"State","GA","Category",6,"Category2","Four-Year")</f>
        <v>48678.31722222222</v>
      </c>
      <c r="I285" s="118">
        <f t="shared" si="33"/>
        <v>3</v>
      </c>
      <c r="J285" s="126">
        <f>+GETPIVOTDATA(" New Undesg. avg",'Averages Pivot Table'!$A$3,"State","GA","Category",6,"Category2","Four-Year")</f>
        <v>44824</v>
      </c>
      <c r="K285" s="118">
        <f t="shared" si="34"/>
        <v>3</v>
      </c>
      <c r="L285" s="126">
        <f>+GETPIVOTDATA(" New All Ranks avg",'Averages Pivot Table'!$A$3,"State","GA","Category",6,"Category2","Four-Year")</f>
        <v>60143.221283227183</v>
      </c>
      <c r="M285" s="118">
        <f t="shared" si="35"/>
        <v>6</v>
      </c>
      <c r="N285" s="126"/>
      <c r="O285" s="129"/>
    </row>
    <row r="286" spans="1:19" ht="12.95" customHeight="1" x14ac:dyDescent="0.25">
      <c r="A286" s="132" t="s">
        <v>209</v>
      </c>
      <c r="B286" s="126">
        <f>+GETPIVOTDATA(" New Prof avg",'Averages Pivot Table'!$A$3,"State","KY","Category",6,"Category2","Four-Year")</f>
        <v>0</v>
      </c>
      <c r="C286" s="118">
        <f t="shared" si="36"/>
        <v>0</v>
      </c>
      <c r="D286" s="126">
        <f>+GETPIVOTDATA(" New Asc. avg",'Averages Pivot Table'!$A$3,"State","KY","Category",6,"Category2","Four-Year")</f>
        <v>0</v>
      </c>
      <c r="E286" s="118">
        <f t="shared" si="36"/>
        <v>0</v>
      </c>
      <c r="F286" s="126">
        <f>+GETPIVOTDATA(" New Ast. avg",'Averages Pivot Table'!$A$3,"State","KY","Category",6,"Category2","Four-Year")</f>
        <v>0</v>
      </c>
      <c r="G286" s="118">
        <f t="shared" si="32"/>
        <v>0</v>
      </c>
      <c r="H286" s="126">
        <f>+GETPIVOTDATA(" New Inst. avg",'Averages Pivot Table'!$A$3,"State","KY","Category",6,"Category2","Four-Year")</f>
        <v>0</v>
      </c>
      <c r="I286" s="118">
        <f t="shared" si="33"/>
        <v>0</v>
      </c>
      <c r="J286" s="126">
        <f>+GETPIVOTDATA(" New Undesg. avg",'Averages Pivot Table'!$A$3,"State","KY","Category",6,"Category2","Four-Year")</f>
        <v>0</v>
      </c>
      <c r="K286" s="118">
        <f t="shared" si="34"/>
        <v>0</v>
      </c>
      <c r="L286" s="126">
        <f>+GETPIVOTDATA(" New All Ranks avg",'Averages Pivot Table'!$A$3,"State","KY","Category",6,"Category2","Four-Year")</f>
        <v>0</v>
      </c>
      <c r="M286" s="118">
        <f t="shared" si="35"/>
        <v>0</v>
      </c>
      <c r="N286" s="126"/>
      <c r="O286" s="129"/>
    </row>
    <row r="287" spans="1:19" ht="12.95" customHeight="1" x14ac:dyDescent="0.25">
      <c r="A287" s="132" t="s">
        <v>210</v>
      </c>
      <c r="B287" s="126">
        <f>+GETPIVOTDATA(" New Prof avg",'Averages Pivot Table'!$A$3,"State","LA","Category",6,"Category2","Four-Year")</f>
        <v>62060.08964705882</v>
      </c>
      <c r="C287" s="118">
        <f t="shared" si="36"/>
        <v>11</v>
      </c>
      <c r="D287" s="126">
        <f>+GETPIVOTDATA(" New Asc. avg",'Averages Pivot Table'!$A$3,"State","LA","Category",6,"Category2","Four-Year")</f>
        <v>48170.680393939394</v>
      </c>
      <c r="E287" s="118">
        <f t="shared" si="36"/>
        <v>12</v>
      </c>
      <c r="F287" s="126">
        <f>+GETPIVOTDATA(" New Ast. avg",'Averages Pivot Table'!$A$3,"State","LA","Category",6,"Category2","Four-Year")</f>
        <v>46075.554285714286</v>
      </c>
      <c r="G287" s="118">
        <f t="shared" si="32"/>
        <v>12</v>
      </c>
      <c r="H287" s="126">
        <f>+GETPIVOTDATA(" New Inst. avg",'Averages Pivot Table'!$A$3,"State","LA","Category",6,"Category2","Four-Year")</f>
        <v>39224</v>
      </c>
      <c r="I287" s="118">
        <f t="shared" si="33"/>
        <v>10</v>
      </c>
      <c r="J287" s="126">
        <f>+GETPIVOTDATA(" New Undesg. avg",'Averages Pivot Table'!$A$3,"State","LA","Category",6,"Category2","Four-Year")</f>
        <v>0</v>
      </c>
      <c r="K287" s="118">
        <f t="shared" si="34"/>
        <v>0</v>
      </c>
      <c r="L287" s="126">
        <f>+GETPIVOTDATA(" New All Ranks avg",'Averages Pivot Table'!$A$3,"State","LA","Category",6,"Category2","Four-Year")</f>
        <v>48942.509231578952</v>
      </c>
      <c r="M287" s="118">
        <f t="shared" si="35"/>
        <v>12</v>
      </c>
      <c r="N287" s="126"/>
      <c r="O287" s="129"/>
    </row>
    <row r="288" spans="1:19" ht="12.95" customHeight="1" x14ac:dyDescent="0.25">
      <c r="A288" s="132" t="s">
        <v>211</v>
      </c>
      <c r="B288" s="126">
        <f>+GETPIVOTDATA(" New Prof avg",'Averages Pivot Table'!$A$3,"State","MD","Category",6,"Category2","Four-Year")</f>
        <v>91892.039933333333</v>
      </c>
      <c r="C288" s="118">
        <f t="shared" si="36"/>
        <v>2</v>
      </c>
      <c r="D288" s="126">
        <f>+GETPIVOTDATA(" New Asc. avg",'Averages Pivot Table'!$A$3,"State","MD","Category",6,"Category2","Four-Year")</f>
        <v>64213.627</v>
      </c>
      <c r="E288" s="118">
        <f t="shared" si="36"/>
        <v>7</v>
      </c>
      <c r="F288" s="126">
        <f>+GETPIVOTDATA(" New Ast. avg",'Averages Pivot Table'!$A$3,"State","MD","Category",6,"Category2","Four-Year")</f>
        <v>56772.45199999999</v>
      </c>
      <c r="G288" s="118">
        <f t="shared" si="32"/>
        <v>6</v>
      </c>
      <c r="H288" s="126">
        <f>+GETPIVOTDATA(" New Inst. avg",'Averages Pivot Table'!$A$3,"State","MD","Category",6,"Category2","Four-Year")</f>
        <v>49666.666999999994</v>
      </c>
      <c r="I288" s="118">
        <f t="shared" si="33"/>
        <v>2</v>
      </c>
      <c r="J288" s="126">
        <f>+GETPIVOTDATA(" New Undesg. avg",'Averages Pivot Table'!$A$3,"State","MD","Category",6,"Category2","Four-Year")</f>
        <v>0</v>
      </c>
      <c r="K288" s="118">
        <f t="shared" si="34"/>
        <v>0</v>
      </c>
      <c r="L288" s="126">
        <f>+GETPIVOTDATA(" New All Ranks avg",'Averages Pivot Table'!$A$3,"State","MD","Category",6,"Category2","Four-Year")</f>
        <v>70521.133042553192</v>
      </c>
      <c r="M288" s="118">
        <f t="shared" si="35"/>
        <v>1</v>
      </c>
      <c r="N288" s="126"/>
      <c r="O288" s="129"/>
    </row>
    <row r="289" spans="1:15" ht="12.95" customHeight="1" x14ac:dyDescent="0.25">
      <c r="A289" s="132"/>
      <c r="B289" s="126"/>
      <c r="C289" s="118">
        <f t="shared" si="36"/>
        <v>0</v>
      </c>
      <c r="D289" s="126"/>
      <c r="E289" s="118">
        <f t="shared" si="36"/>
        <v>0</v>
      </c>
      <c r="F289" s="126"/>
      <c r="G289" s="118">
        <f t="shared" si="32"/>
        <v>0</v>
      </c>
      <c r="H289" s="126"/>
      <c r="I289" s="118">
        <f t="shared" si="33"/>
        <v>0</v>
      </c>
      <c r="J289" s="126"/>
      <c r="K289" s="118">
        <f t="shared" si="34"/>
        <v>0</v>
      </c>
      <c r="L289" s="126"/>
      <c r="M289" s="118">
        <f t="shared" si="35"/>
        <v>0</v>
      </c>
      <c r="N289" s="126"/>
      <c r="O289" s="129"/>
    </row>
    <row r="290" spans="1:15" ht="12.95" customHeight="1" x14ac:dyDescent="0.25">
      <c r="A290" s="132" t="s">
        <v>212</v>
      </c>
      <c r="B290" s="126">
        <f>+GETPIVOTDATA(" New Prof avg",'Averages Pivot Table'!$A$3,"State","MS","Category",6,"Category2","Four-Year")</f>
        <v>0</v>
      </c>
      <c r="C290" s="118">
        <f t="shared" si="36"/>
        <v>0</v>
      </c>
      <c r="D290" s="126">
        <f>+GETPIVOTDATA(" New Asc. avg",'Averages Pivot Table'!$A$3,"State","MS","Category",6,"Category2","Four-Year")</f>
        <v>0</v>
      </c>
      <c r="E290" s="118">
        <f t="shared" si="36"/>
        <v>0</v>
      </c>
      <c r="F290" s="126">
        <f>+GETPIVOTDATA(" New Ast. avg",'Averages Pivot Table'!$A$3,"State","MS","Category",6,"Category2","Four-Year")</f>
        <v>0</v>
      </c>
      <c r="G290" s="118">
        <f t="shared" si="32"/>
        <v>0</v>
      </c>
      <c r="H290" s="126">
        <f>+GETPIVOTDATA(" New Inst. avg",'Averages Pivot Table'!$A$3,"State","MS","Category",6,"Category2","Four-Year")</f>
        <v>0</v>
      </c>
      <c r="I290" s="118">
        <f t="shared" si="33"/>
        <v>0</v>
      </c>
      <c r="J290" s="126">
        <f>+GETPIVOTDATA(" New Undesg. avg",'Averages Pivot Table'!$A$3,"State","MS","Category",6,"Category2","Four-Year")</f>
        <v>0</v>
      </c>
      <c r="K290" s="118">
        <f t="shared" si="34"/>
        <v>0</v>
      </c>
      <c r="L290" s="126">
        <f>+GETPIVOTDATA(" New All Ranks avg",'Averages Pivot Table'!$A$3,"State","MS","Category",6,"Category2","Four-Year")</f>
        <v>0</v>
      </c>
      <c r="M290" s="118">
        <f t="shared" si="35"/>
        <v>0</v>
      </c>
      <c r="N290" s="126"/>
      <c r="O290" s="129"/>
    </row>
    <row r="291" spans="1:15" ht="12.95" customHeight="1" x14ac:dyDescent="0.25">
      <c r="A291" s="132" t="s">
        <v>213</v>
      </c>
      <c r="B291" s="126">
        <f>+GETPIVOTDATA(" New Prof avg",'Averages Pivot Table'!$A$3,"State","NC","Category",6,"Category2","Four-Year")</f>
        <v>81010.138714285713</v>
      </c>
      <c r="C291" s="118">
        <f t="shared" si="36"/>
        <v>6</v>
      </c>
      <c r="D291" s="126">
        <f>+GETPIVOTDATA(" New Asc. avg",'Averages Pivot Table'!$A$3,"State","NC","Category",6,"Category2","Four-Year")</f>
        <v>67215.422687999991</v>
      </c>
      <c r="E291" s="118">
        <f t="shared" si="36"/>
        <v>3</v>
      </c>
      <c r="F291" s="126">
        <f>+GETPIVOTDATA(" New Ast. avg",'Averages Pivot Table'!$A$3,"State","NC","Category",6,"Category2","Four-Year")</f>
        <v>62782.960400000004</v>
      </c>
      <c r="G291" s="118">
        <f t="shared" si="32"/>
        <v>2</v>
      </c>
      <c r="H291" s="126">
        <f>+GETPIVOTDATA(" New Inst. avg",'Averages Pivot Table'!$A$3,"State","NC","Category",6,"Category2","Four-Year")</f>
        <v>54914.400000000001</v>
      </c>
      <c r="I291" s="118">
        <f t="shared" si="33"/>
        <v>1</v>
      </c>
      <c r="J291" s="126">
        <f>+GETPIVOTDATA(" New Undesg. avg",'Averages Pivot Table'!$A$3,"State","NC","Category",6,"Category2","Four-Year")</f>
        <v>54783.391425352114</v>
      </c>
      <c r="K291" s="118">
        <f t="shared" si="34"/>
        <v>2</v>
      </c>
      <c r="L291" s="126">
        <f>+GETPIVOTDATA(" New All Ranks avg",'Averages Pivot Table'!$A$3,"State","NC","Category",6,"Category2","Four-Year")</f>
        <v>67829.675455913981</v>
      </c>
      <c r="M291" s="118">
        <f t="shared" si="35"/>
        <v>4</v>
      </c>
      <c r="N291" s="126"/>
      <c r="O291" s="129"/>
    </row>
    <row r="292" spans="1:15" ht="12.95" customHeight="1" x14ac:dyDescent="0.25">
      <c r="A292" s="132" t="s">
        <v>214</v>
      </c>
      <c r="B292" s="126">
        <f>+GETPIVOTDATA(" New Prof avg",'Averages Pivot Table'!$A$3,"State","OK","Category",6,"Category2","Four-Year")</f>
        <v>61389.515784210525</v>
      </c>
      <c r="C292" s="118">
        <f t="shared" si="36"/>
        <v>12</v>
      </c>
      <c r="D292" s="126">
        <f>+GETPIVOTDATA(" New Asc. avg",'Averages Pivot Table'!$A$3,"State","OK","Category",6,"Category2","Four-Year")</f>
        <v>54193.527296551729</v>
      </c>
      <c r="E292" s="118">
        <f t="shared" si="36"/>
        <v>11</v>
      </c>
      <c r="F292" s="126">
        <f>+GETPIVOTDATA(" New Ast. avg",'Averages Pivot Table'!$A$3,"State","OK","Category",6,"Category2","Four-Year")</f>
        <v>46913.240701639348</v>
      </c>
      <c r="G292" s="118">
        <f t="shared" si="32"/>
        <v>11</v>
      </c>
      <c r="H292" s="126">
        <f>+GETPIVOTDATA(" New Inst. avg",'Averages Pivot Table'!$A$3,"State","OK","Category",6,"Category2","Four-Year")</f>
        <v>39133.884063999998</v>
      </c>
      <c r="I292" s="118">
        <f t="shared" si="33"/>
        <v>11</v>
      </c>
      <c r="J292" s="126">
        <f>+GETPIVOTDATA(" New Undesg. avg",'Averages Pivot Table'!$A$3,"State","OK","Category",6,"Category2","Four-Year")</f>
        <v>0</v>
      </c>
      <c r="K292" s="118">
        <f t="shared" si="34"/>
        <v>0</v>
      </c>
      <c r="L292" s="126">
        <f>+GETPIVOTDATA(" New All Ranks avg",'Averages Pivot Table'!$A$3,"State","OK","Category",6,"Category2","Four-Year")</f>
        <v>49731.536565217393</v>
      </c>
      <c r="M292" s="118">
        <f t="shared" si="35"/>
        <v>11</v>
      </c>
      <c r="N292" s="126"/>
      <c r="O292" s="129"/>
    </row>
    <row r="293" spans="1:15" ht="12.95" customHeight="1" x14ac:dyDescent="0.25">
      <c r="A293" s="132" t="s">
        <v>215</v>
      </c>
      <c r="B293" s="126">
        <f>+GETPIVOTDATA(" New Prof avg",'Averages Pivot Table'!$A$3,"State","SC","Category",6,"Category2","Four-Year")</f>
        <v>72330.264734117649</v>
      </c>
      <c r="C293" s="118">
        <f t="shared" si="36"/>
        <v>8</v>
      </c>
      <c r="D293" s="126">
        <f>+GETPIVOTDATA(" New Asc. avg",'Averages Pivot Table'!$A$3,"State","SC","Category",6,"Category2","Four-Year")</f>
        <v>58145.808219402985</v>
      </c>
      <c r="E293" s="118">
        <f t="shared" si="36"/>
        <v>10</v>
      </c>
      <c r="F293" s="126">
        <f>+GETPIVOTDATA(" New Ast. avg",'Averages Pivot Table'!$A$3,"State","SC","Category",6,"Category2","Four-Year")</f>
        <v>51433.175290285712</v>
      </c>
      <c r="G293" s="118">
        <f t="shared" si="32"/>
        <v>10</v>
      </c>
      <c r="H293" s="126">
        <f>+GETPIVOTDATA(" New Inst. avg",'Averages Pivot Table'!$A$3,"State","SC","Category",6,"Category2","Four-Year")</f>
        <v>44119.71998076923</v>
      </c>
      <c r="I293" s="118">
        <f t="shared" si="33"/>
        <v>5</v>
      </c>
      <c r="J293" s="126">
        <f>+GETPIVOTDATA(" New Undesg. avg",'Averages Pivot Table'!$A$3,"State","SC","Category",6,"Category2","Four-Year")</f>
        <v>38474.991600000001</v>
      </c>
      <c r="K293" s="118">
        <f t="shared" si="34"/>
        <v>6</v>
      </c>
      <c r="L293" s="126">
        <f>+GETPIVOTDATA(" New All Ranks avg",'Averages Pivot Table'!$A$3,"State","SC","Category",6,"Category2","Four-Year")</f>
        <v>54081.923882162162</v>
      </c>
      <c r="M293" s="118">
        <f t="shared" si="35"/>
        <v>9</v>
      </c>
      <c r="N293" s="126"/>
      <c r="O293" s="129"/>
    </row>
    <row r="294" spans="1:15" ht="12.95" customHeight="1" x14ac:dyDescent="0.25">
      <c r="A294" s="132"/>
      <c r="B294" s="126"/>
      <c r="C294" s="118">
        <f t="shared" si="36"/>
        <v>0</v>
      </c>
      <c r="D294" s="126"/>
      <c r="E294" s="118">
        <f t="shared" si="36"/>
        <v>0</v>
      </c>
      <c r="F294" s="126"/>
      <c r="G294" s="118">
        <f t="shared" si="32"/>
        <v>0</v>
      </c>
      <c r="H294" s="126"/>
      <c r="I294" s="118">
        <f t="shared" si="33"/>
        <v>0</v>
      </c>
      <c r="J294" s="126"/>
      <c r="K294" s="118">
        <f t="shared" si="34"/>
        <v>0</v>
      </c>
      <c r="L294" s="126"/>
      <c r="M294" s="118">
        <f t="shared" si="35"/>
        <v>0</v>
      </c>
      <c r="N294" s="126"/>
      <c r="O294" s="129"/>
    </row>
    <row r="295" spans="1:15" ht="12.95" customHeight="1" x14ac:dyDescent="0.25">
      <c r="A295" s="132" t="s">
        <v>216</v>
      </c>
      <c r="B295" s="563">
        <f>+GETPIVOTDATA(" New Prof avg",'Averages Pivot Table'!$A$3,"State","TN","Category",6,"Category2","Four-Year")</f>
        <v>0</v>
      </c>
      <c r="C295" s="118">
        <f t="shared" si="36"/>
        <v>0</v>
      </c>
      <c r="D295" s="563">
        <f>+GETPIVOTDATA(" New Asc. avg",'Averages Pivot Table'!$A$3,"State","TN","Category",6,"Category2","Four-Year")</f>
        <v>0</v>
      </c>
      <c r="E295" s="118">
        <f t="shared" si="36"/>
        <v>0</v>
      </c>
      <c r="F295" s="563">
        <f>+GETPIVOTDATA(" New Ast. avg",'Averages Pivot Table'!$A$3,"State","TN","Category",6,"Category2","Four-Year")</f>
        <v>0</v>
      </c>
      <c r="G295" s="118">
        <f t="shared" si="32"/>
        <v>0</v>
      </c>
      <c r="H295" s="563">
        <f>+GETPIVOTDATA(" New Inst. avg",'Averages Pivot Table'!$A$3,"State","TN","Category",6,"Category2","Four-Year")</f>
        <v>0</v>
      </c>
      <c r="I295" s="118">
        <f t="shared" si="33"/>
        <v>0</v>
      </c>
      <c r="J295" s="563">
        <f>+GETPIVOTDATA(" New Undesg. avg",'Averages Pivot Table'!$A$3,"State","TN","Category",6,"Category2","Four-Year")</f>
        <v>0</v>
      </c>
      <c r="K295" s="118">
        <f t="shared" si="34"/>
        <v>0</v>
      </c>
      <c r="L295" s="563">
        <f>+GETPIVOTDATA(" New All Ranks avg",'Averages Pivot Table'!$A$3,"State","TN","Category",6,"Category2","Four-Year")</f>
        <v>0</v>
      </c>
      <c r="M295" s="118">
        <f t="shared" si="35"/>
        <v>0</v>
      </c>
      <c r="N295" s="126"/>
      <c r="O295" s="129"/>
    </row>
    <row r="296" spans="1:15" ht="12.95" customHeight="1" x14ac:dyDescent="0.25">
      <c r="A296" s="132" t="s">
        <v>217</v>
      </c>
      <c r="B296" s="563">
        <f>+GETPIVOTDATA(" New Prof avg",'Averages Pivot Table'!$A$3,"State","TX","Category",6,"Category2","Four-Year")</f>
        <v>101190.01098518519</v>
      </c>
      <c r="C296" s="118">
        <f t="shared" si="36"/>
        <v>1</v>
      </c>
      <c r="D296" s="563">
        <f>+GETPIVOTDATA(" New Asc. avg",'Averages Pivot Table'!$A$3,"State","TX","Category",6,"Category2","Four-Year")</f>
        <v>67346.142857142855</v>
      </c>
      <c r="E296" s="118">
        <f t="shared" si="36"/>
        <v>2</v>
      </c>
      <c r="F296" s="563">
        <f>+GETPIVOTDATA(" New Ast. avg",'Averages Pivot Table'!$A$3,"State","TX","Category",6,"Category2","Four-Year")</f>
        <v>65071.6</v>
      </c>
      <c r="G296" s="118">
        <f t="shared" si="32"/>
        <v>1</v>
      </c>
      <c r="H296" s="563">
        <f>+GETPIVOTDATA(" New Inst. avg",'Averages Pivot Table'!$A$3,"State","TX","Category",6,"Category2","Four-Year")</f>
        <v>0</v>
      </c>
      <c r="I296" s="118">
        <f t="shared" si="33"/>
        <v>0</v>
      </c>
      <c r="J296" s="563">
        <f>+GETPIVOTDATA(" New Undesg. avg",'Averages Pivot Table'!$A$3,"State","TX","Category",6,"Category2","Four-Year")</f>
        <v>36300.628160808083</v>
      </c>
      <c r="K296" s="118">
        <f t="shared" si="34"/>
        <v>7</v>
      </c>
      <c r="L296" s="563">
        <f>+GETPIVOTDATA(" New All Ranks avg",'Averages Pivot Table'!$A$3,"State","TX","Category",6,"Category2","Four-Year")</f>
        <v>62223.550136993705</v>
      </c>
      <c r="M296" s="118">
        <f t="shared" si="35"/>
        <v>5</v>
      </c>
      <c r="N296" s="126"/>
      <c r="O296" s="129"/>
    </row>
    <row r="297" spans="1:15" ht="12.95" customHeight="1" x14ac:dyDescent="0.25">
      <c r="A297" s="132" t="s">
        <v>218</v>
      </c>
      <c r="B297" s="563">
        <f>+GETPIVOTDATA(" New Prof avg",'Averages Pivot Table'!$A$3,"State","VA","Category",6,"Category2","Four-Year")</f>
        <v>76540</v>
      </c>
      <c r="C297" s="118">
        <f t="shared" si="36"/>
        <v>7</v>
      </c>
      <c r="D297" s="563">
        <f>+GETPIVOTDATA(" New Asc. avg",'Averages Pivot Table'!$A$3,"State","VA","Category",6,"Category2","Four-Year")</f>
        <v>61338.806451612902</v>
      </c>
      <c r="E297" s="118">
        <f t="shared" si="36"/>
        <v>8</v>
      </c>
      <c r="F297" s="563">
        <f>+GETPIVOTDATA(" New Ast. avg",'Averages Pivot Table'!$A$3,"State","VA","Category",6,"Category2","Four-Year")</f>
        <v>56807</v>
      </c>
      <c r="G297" s="118">
        <f t="shared" si="32"/>
        <v>5</v>
      </c>
      <c r="H297" s="563">
        <f>+GETPIVOTDATA(" New Inst. avg",'Averages Pivot Table'!$A$3,"State","VA","Category",6,"Category2","Four-Year")</f>
        <v>43995.834400000007</v>
      </c>
      <c r="I297" s="118">
        <f t="shared" si="33"/>
        <v>7</v>
      </c>
      <c r="J297" s="563">
        <f>+GETPIVOTDATA(" New Undesg. avg",'Averages Pivot Table'!$A$3,"State","VA","Category",6,"Category2","Four-Year")</f>
        <v>60300</v>
      </c>
      <c r="K297" s="118">
        <f t="shared" si="34"/>
        <v>1</v>
      </c>
      <c r="L297" s="563">
        <f>+GETPIVOTDATA(" New All Ranks avg",'Averages Pivot Table'!$A$3,"State","VA","Category",6,"Category2","Four-Year")</f>
        <v>58182.802988505748</v>
      </c>
      <c r="M297" s="118">
        <f t="shared" si="35"/>
        <v>7</v>
      </c>
      <c r="N297" s="126"/>
      <c r="O297" s="126"/>
    </row>
    <row r="298" spans="1:15" ht="12.95" customHeight="1" x14ac:dyDescent="0.25">
      <c r="A298" s="6" t="s">
        <v>219</v>
      </c>
      <c r="B298" s="566">
        <f>+GETPIVOTDATA(" New Prof avg",'Averages Pivot Table'!$A$3,"State","WV","Category",6,"Category2","Four-Year")</f>
        <v>68914.464079699246</v>
      </c>
      <c r="C298" s="119">
        <f t="shared" si="36"/>
        <v>9</v>
      </c>
      <c r="D298" s="566">
        <f>+GETPIVOTDATA(" New Asc. avg",'Averages Pivot Table'!$A$3,"State","WV","Category",6,"Category2","Four-Year")</f>
        <v>58788.403186577176</v>
      </c>
      <c r="E298" s="119">
        <f t="shared" si="36"/>
        <v>9</v>
      </c>
      <c r="F298" s="566">
        <f>+GETPIVOTDATA(" New Ast. avg",'Averages Pivot Table'!$A$3,"State","WV","Category",6,"Category2","Four-Year")</f>
        <v>51524.839889201881</v>
      </c>
      <c r="G298" s="119">
        <f t="shared" si="32"/>
        <v>9</v>
      </c>
      <c r="H298" s="566">
        <f>+GETPIVOTDATA(" New Inst. avg",'Averages Pivot Table'!$A$3,"State","WV","Category",6,"Category2","Four-Year")</f>
        <v>44069.07696202532</v>
      </c>
      <c r="I298" s="119">
        <f t="shared" si="33"/>
        <v>6</v>
      </c>
      <c r="J298" s="566">
        <f>+GETPIVOTDATA(" New Undesg. avg",'Averages Pivot Table'!$A$3,"State","WV","Category",6,"Category2","Four-Year")</f>
        <v>43558.018759999999</v>
      </c>
      <c r="K298" s="119">
        <f t="shared" si="34"/>
        <v>4</v>
      </c>
      <c r="L298" s="566">
        <f>+GETPIVOTDATA(" New All Ranks avg",'Averages Pivot Table'!$A$3,"State","WV","Category",6,"Category2","Four-Year")</f>
        <v>55980.646715488212</v>
      </c>
      <c r="M298" s="119">
        <f t="shared" si="35"/>
        <v>8</v>
      </c>
      <c r="N298" s="126"/>
      <c r="O298" s="126"/>
    </row>
    <row r="299" spans="1:15" ht="30" customHeight="1" x14ac:dyDescent="0.25">
      <c r="A299" s="668" t="s">
        <v>91</v>
      </c>
      <c r="B299" s="673"/>
      <c r="C299" s="673"/>
      <c r="D299" s="673"/>
      <c r="E299" s="673"/>
      <c r="F299" s="673"/>
      <c r="G299" s="673"/>
      <c r="H299" s="673"/>
      <c r="I299" s="673"/>
      <c r="J299" s="673"/>
      <c r="K299" s="673"/>
      <c r="L299" s="673"/>
      <c r="M299" s="673"/>
      <c r="N299" s="132"/>
      <c r="O299" s="132"/>
    </row>
    <row r="300" spans="1:15" x14ac:dyDescent="0.25">
      <c r="M300" s="157" t="s">
        <v>1083</v>
      </c>
      <c r="O300" s="131"/>
    </row>
    <row r="301" spans="1:15" ht="18" x14ac:dyDescent="0.25">
      <c r="A301" s="544" t="s">
        <v>269</v>
      </c>
      <c r="B301" s="544"/>
      <c r="C301" s="544"/>
      <c r="D301" s="544"/>
      <c r="E301" s="544"/>
      <c r="F301" s="544"/>
      <c r="G301" s="544"/>
      <c r="H301" s="544"/>
      <c r="I301" s="544"/>
      <c r="J301" s="544"/>
      <c r="K301" s="544"/>
      <c r="L301" s="544"/>
      <c r="M301" s="544"/>
      <c r="N301" s="544"/>
      <c r="O301" s="544"/>
    </row>
    <row r="302" spans="1:15" x14ac:dyDescent="0.25">
      <c r="A302" s="588"/>
      <c r="B302" s="93"/>
      <c r="C302" s="93"/>
      <c r="D302" s="93"/>
      <c r="E302" s="93"/>
      <c r="F302" s="93"/>
      <c r="G302" s="93"/>
      <c r="H302" s="93"/>
      <c r="I302" s="93"/>
      <c r="J302" s="93"/>
      <c r="K302" s="93"/>
      <c r="L302" s="93"/>
      <c r="M302" s="93"/>
      <c r="N302" s="93"/>
      <c r="O302" s="93"/>
    </row>
    <row r="303" spans="1:15" x14ac:dyDescent="0.25">
      <c r="A303" s="665" t="s">
        <v>220</v>
      </c>
      <c r="B303" s="665"/>
      <c r="C303" s="665"/>
      <c r="D303" s="665"/>
      <c r="E303" s="665"/>
      <c r="F303" s="665"/>
      <c r="G303" s="665"/>
      <c r="H303" s="665"/>
      <c r="I303" s="665"/>
      <c r="J303" s="665"/>
      <c r="K303" s="665"/>
      <c r="L303" s="665"/>
      <c r="M303" s="665"/>
      <c r="N303" s="665"/>
      <c r="O303" s="665"/>
    </row>
    <row r="304" spans="1:15" x14ac:dyDescent="0.25">
      <c r="A304" s="665" t="s">
        <v>1063</v>
      </c>
      <c r="B304" s="665"/>
      <c r="C304" s="665"/>
      <c r="D304" s="665"/>
      <c r="E304" s="665"/>
      <c r="F304" s="665"/>
      <c r="G304" s="665"/>
      <c r="H304" s="665"/>
      <c r="I304" s="665"/>
      <c r="J304" s="665"/>
      <c r="K304" s="665"/>
      <c r="L304" s="665"/>
      <c r="M304" s="665"/>
      <c r="N304" s="665"/>
      <c r="O304" s="665"/>
    </row>
    <row r="305" spans="1:19" x14ac:dyDescent="0.25">
      <c r="A305" s="132"/>
      <c r="B305" s="132"/>
      <c r="C305" s="132"/>
      <c r="D305" s="132"/>
      <c r="E305" s="132"/>
      <c r="F305" s="132"/>
      <c r="G305" s="132"/>
      <c r="H305" s="132"/>
      <c r="I305" s="132"/>
      <c r="J305" s="132"/>
      <c r="K305" s="132"/>
      <c r="L305" s="132"/>
      <c r="M305" s="132"/>
      <c r="N305" s="132"/>
      <c r="O305" s="132"/>
    </row>
    <row r="306" spans="1:19" ht="33" customHeight="1" x14ac:dyDescent="0.25">
      <c r="A306" s="547"/>
      <c r="B306" s="589" t="s">
        <v>99</v>
      </c>
      <c r="C306" s="142"/>
      <c r="D306" s="590" t="s">
        <v>100</v>
      </c>
      <c r="E306" s="591"/>
      <c r="F306" s="590" t="s">
        <v>101</v>
      </c>
      <c r="G306" s="591"/>
      <c r="H306" s="589" t="s">
        <v>102</v>
      </c>
      <c r="I306" s="142"/>
      <c r="J306" s="590" t="s">
        <v>226</v>
      </c>
      <c r="K306" s="591"/>
      <c r="L306" s="142" t="s">
        <v>82</v>
      </c>
      <c r="M306" s="142"/>
      <c r="N306" s="142" t="s">
        <v>84</v>
      </c>
      <c r="O306" s="142"/>
    </row>
    <row r="307" spans="1:19" x14ac:dyDescent="0.25">
      <c r="A307" s="551"/>
      <c r="B307" s="115" t="s">
        <v>103</v>
      </c>
      <c r="C307" s="143" t="s">
        <v>193</v>
      </c>
      <c r="D307" s="115" t="s">
        <v>103</v>
      </c>
      <c r="E307" s="143" t="s">
        <v>193</v>
      </c>
      <c r="F307" s="115" t="s">
        <v>103</v>
      </c>
      <c r="G307" s="143" t="s">
        <v>193</v>
      </c>
      <c r="H307" s="115" t="s">
        <v>103</v>
      </c>
      <c r="I307" s="143" t="s">
        <v>193</v>
      </c>
      <c r="J307" s="115" t="s">
        <v>103</v>
      </c>
      <c r="K307" s="143" t="s">
        <v>193</v>
      </c>
      <c r="L307" s="115" t="s">
        <v>103</v>
      </c>
      <c r="M307" s="143" t="s">
        <v>193</v>
      </c>
      <c r="N307" s="115" t="s">
        <v>103</v>
      </c>
      <c r="O307" s="143" t="s">
        <v>193</v>
      </c>
    </row>
    <row r="308" spans="1:19" s="556" customFormat="1" ht="18" customHeight="1" x14ac:dyDescent="0.25">
      <c r="A308" s="554" t="s">
        <v>222</v>
      </c>
      <c r="B308" s="146">
        <f>+GETPIVOTDATA(" New Prof avg",'Averages Pivot Table'!$A$3,"Category2","Two-Year")</f>
        <v>65718.664113004852</v>
      </c>
      <c r="C308" s="146"/>
      <c r="D308" s="146">
        <f>+GETPIVOTDATA(" New Asc. avg",'Averages Pivot Table'!$A$3,"Category2","Two-Year")</f>
        <v>54967.153643964855</v>
      </c>
      <c r="E308" s="146"/>
      <c r="F308" s="146">
        <f>+GETPIVOTDATA(" New Ast. avg",'Averages Pivot Table'!$A$3,"Category2","Two-Year")</f>
        <v>49538.460202096794</v>
      </c>
      <c r="G308" s="146"/>
      <c r="H308" s="146">
        <f>+GETPIVOTDATA(" New Inst. avg",'Averages Pivot Table'!$A$3,"Category2","Two-Year")</f>
        <v>46469.147609163985</v>
      </c>
      <c r="I308" s="146"/>
      <c r="J308" s="146">
        <f>+GETPIVOTDATA(" New Undesg. avg",'Averages Pivot Table'!$A$3,"Category2","Two-Year")</f>
        <v>45433.306769406394</v>
      </c>
      <c r="K308" s="146"/>
      <c r="L308" s="146">
        <f>+GETPIVOTDATA(" New Single Rnk avg",'Averages Pivot Table'!$A$3,"Category2","Two-Year")</f>
        <v>51057.827917360628</v>
      </c>
      <c r="M308" s="146"/>
      <c r="N308" s="146">
        <f>+GETPIVOTDATA(" New All Ranks avg",'Averages Pivot Table'!$A$3,"Category2","Two-Year")</f>
        <v>51834.101565527541</v>
      </c>
      <c r="O308" s="133"/>
      <c r="Q308" s="558"/>
      <c r="R308" s="558"/>
      <c r="S308" s="558"/>
    </row>
    <row r="309" spans="1:19" ht="12.95" customHeight="1" x14ac:dyDescent="0.25">
      <c r="A309" s="132"/>
      <c r="B309" s="123"/>
      <c r="C309" s="150"/>
      <c r="D309" s="123"/>
      <c r="E309" s="150"/>
      <c r="F309" s="123"/>
      <c r="G309" s="150"/>
      <c r="H309" s="123"/>
      <c r="I309" s="150"/>
      <c r="J309" s="123"/>
      <c r="K309" s="150"/>
      <c r="L309" s="123"/>
      <c r="M309" s="150"/>
      <c r="N309" s="123"/>
      <c r="O309" s="134"/>
    </row>
    <row r="310" spans="1:19" ht="12.95" customHeight="1" x14ac:dyDescent="0.25">
      <c r="A310" s="132" t="s">
        <v>205</v>
      </c>
      <c r="B310" s="126">
        <f>+GETPIVOTDATA(" New Prof avg",'Averages Pivot Table'!$A$3,"State","AL","Category2","Two-Year")</f>
        <v>0</v>
      </c>
      <c r="C310" s="118">
        <f>IF(B310&gt;0,(RANK(B310,B$310:B$328)),0)</f>
        <v>0</v>
      </c>
      <c r="D310" s="126">
        <f>+GETPIVOTDATA(" New Asc. avg",'Averages Pivot Table'!$A$3,"State","AL","Category2","Two-Year")</f>
        <v>0</v>
      </c>
      <c r="E310" s="118">
        <f>IF(D310&gt;0,(RANK(D310,D$310:D$328)),0)</f>
        <v>0</v>
      </c>
      <c r="F310" s="126">
        <f>+GETPIVOTDATA(" New Ast. avg",'Averages Pivot Table'!$A$3,"State","AL","Category2","Two-Year")</f>
        <v>0</v>
      </c>
      <c r="G310" s="118">
        <f t="shared" ref="G310:G328" si="37">IF(F310&gt;0,(RANK(F310,F$310:F$328)),0)</f>
        <v>0</v>
      </c>
      <c r="H310" s="126">
        <f>+GETPIVOTDATA(" New Inst. avg",'Averages Pivot Table'!$A$3,"State","AL","Category2","Two-Year")</f>
        <v>0</v>
      </c>
      <c r="I310" s="118">
        <f t="shared" ref="I310:I328" si="38">IF(H310&gt;0,(RANK(H310,H$310:H$328)),0)</f>
        <v>0</v>
      </c>
      <c r="J310" s="126">
        <f>+GETPIVOTDATA(" New Undesg. avg",'Averages Pivot Table'!$A$3,"State","AL","Category2","Two-Year")</f>
        <v>0</v>
      </c>
      <c r="K310" s="118">
        <f t="shared" ref="K310:K328" si="39">IF(J310&gt;0,(RANK(J310,J$310:J$328)),0)</f>
        <v>0</v>
      </c>
      <c r="L310" s="126">
        <f>+GETPIVOTDATA(" New Single Rnk avg",'Averages Pivot Table'!$A$3,"State","AL","Category2","Two-Year")</f>
        <v>53163.426363564577</v>
      </c>
      <c r="M310" s="118">
        <f t="shared" ref="M310:M328" si="40">IF(L310&gt;0,(RANK(L310,L$310:L$328)),0)</f>
        <v>4</v>
      </c>
      <c r="N310" s="126">
        <f>+GETPIVOTDATA(" New All Ranks avg",'Averages Pivot Table'!$A$3,"State","AL","Category2","Two-Year")</f>
        <v>53163.426363564577</v>
      </c>
      <c r="O310" s="118">
        <f t="shared" ref="O310:O328" si="41">IF(N310&gt;0,(RANK(N310,N$310:N$328)),0)</f>
        <v>5</v>
      </c>
    </row>
    <row r="311" spans="1:19" ht="12.95" customHeight="1" x14ac:dyDescent="0.25">
      <c r="A311" s="132" t="s">
        <v>206</v>
      </c>
      <c r="B311" s="126">
        <f>+GETPIVOTDATA(" New Prof avg",'Averages Pivot Table'!$A$3,"State","AR","Category2","Two-Year")</f>
        <v>52401.172979999996</v>
      </c>
      <c r="C311" s="118">
        <f t="shared" ref="C311:E328" si="42">IF(B311&gt;0,(RANK(B311,B$310:B$328)),0)</f>
        <v>10</v>
      </c>
      <c r="D311" s="126">
        <f>+GETPIVOTDATA(" New Asc. avg",'Averages Pivot Table'!$A$3,"State","AR","Category2","Two-Year")</f>
        <v>52866.367371428576</v>
      </c>
      <c r="E311" s="118">
        <f t="shared" si="42"/>
        <v>7</v>
      </c>
      <c r="F311" s="126">
        <f>+GETPIVOTDATA(" New Ast. avg",'Averages Pivot Table'!$A$3,"State","AR","Category2","Two-Year")</f>
        <v>41621.944321763163</v>
      </c>
      <c r="G311" s="118">
        <f t="shared" si="37"/>
        <v>10</v>
      </c>
      <c r="H311" s="126">
        <f>+GETPIVOTDATA(" New Inst. avg",'Averages Pivot Table'!$A$3,"State","AR","Category2","Two-Year")</f>
        <v>40052.823116064865</v>
      </c>
      <c r="I311" s="118">
        <f t="shared" si="38"/>
        <v>6</v>
      </c>
      <c r="J311" s="126">
        <f>+GETPIVOTDATA(" New Undesg. avg",'Averages Pivot Table'!$A$3,"State","AR","Category2","Two-Year")</f>
        <v>0</v>
      </c>
      <c r="K311" s="118">
        <f t="shared" si="39"/>
        <v>0</v>
      </c>
      <c r="L311" s="126">
        <f>+GETPIVOTDATA(" New Single Rnk avg",'Averages Pivot Table'!$A$3,"State","AR","Category2","Two-Year")</f>
        <v>44531.454459423869</v>
      </c>
      <c r="M311" s="118">
        <f t="shared" si="40"/>
        <v>8</v>
      </c>
      <c r="N311" s="126">
        <f>+GETPIVOTDATA(" New All Ranks avg",'Averages Pivot Table'!$A$3,"State","AR","Category2","Two-Year")</f>
        <v>43996.935908215026</v>
      </c>
      <c r="O311" s="118">
        <f t="shared" si="41"/>
        <v>16</v>
      </c>
    </row>
    <row r="312" spans="1:19" ht="12.95" customHeight="1" x14ac:dyDescent="0.25">
      <c r="A312" s="132" t="s">
        <v>221</v>
      </c>
      <c r="B312" s="126">
        <f>+GETPIVOTDATA(" New Prof avg",'Averages Pivot Table'!$A$3,"State","DE","Category2","Two-Year")</f>
        <v>0</v>
      </c>
      <c r="C312" s="118">
        <f t="shared" si="42"/>
        <v>0</v>
      </c>
      <c r="D312" s="126">
        <f>+GETPIVOTDATA(" New Asc. avg",'Averages Pivot Table'!$A$3,"State","DE","Category2","Two-Year")</f>
        <v>0</v>
      </c>
      <c r="E312" s="118">
        <f t="shared" si="42"/>
        <v>0</v>
      </c>
      <c r="F312" s="126">
        <f>+GETPIVOTDATA(" New Ast. avg",'Averages Pivot Table'!$A$3,"State","DE","Category2","Two-Year")</f>
        <v>0</v>
      </c>
      <c r="G312" s="118">
        <f t="shared" si="37"/>
        <v>0</v>
      </c>
      <c r="H312" s="126">
        <f>+GETPIVOTDATA(" New Inst. avg",'Averages Pivot Table'!$A$3,"State","DE","Category2","Two-Year")</f>
        <v>0</v>
      </c>
      <c r="I312" s="118">
        <f t="shared" si="38"/>
        <v>0</v>
      </c>
      <c r="J312" s="126">
        <f>+GETPIVOTDATA(" New Undesg. avg",'Averages Pivot Table'!$A$3,"State","DE","Category2","Two-Year")</f>
        <v>0</v>
      </c>
      <c r="K312" s="118">
        <f t="shared" si="39"/>
        <v>0</v>
      </c>
      <c r="L312" s="126">
        <f>+GETPIVOTDATA(" New Single Rnk avg",'Averages Pivot Table'!$A$3,"State","DE","Category2","Two-Year")</f>
        <v>64166.660820365534</v>
      </c>
      <c r="M312" s="118">
        <f t="shared" si="40"/>
        <v>1</v>
      </c>
      <c r="N312" s="126">
        <f>+GETPIVOTDATA(" New All Ranks avg",'Averages Pivot Table'!$A$3,"State","DE","Category2","Two-Year")</f>
        <v>64166.660820365534</v>
      </c>
      <c r="O312" s="118">
        <f t="shared" si="41"/>
        <v>2</v>
      </c>
    </row>
    <row r="313" spans="1:19" ht="12.95" customHeight="1" x14ac:dyDescent="0.25">
      <c r="A313" s="132" t="s">
        <v>207</v>
      </c>
      <c r="B313" s="126">
        <f>+GETPIVOTDATA(" New Prof avg",'Averages Pivot Table'!$A$3,"State","FL","Category2","Two-Year")</f>
        <v>0</v>
      </c>
      <c r="C313" s="118">
        <f t="shared" si="42"/>
        <v>0</v>
      </c>
      <c r="D313" s="126">
        <f>+GETPIVOTDATA(" New Asc. avg",'Averages Pivot Table'!$A$3,"State","FL","Category2","Two-Year")</f>
        <v>0</v>
      </c>
      <c r="E313" s="118">
        <f t="shared" si="42"/>
        <v>0</v>
      </c>
      <c r="F313" s="126">
        <f>+GETPIVOTDATA(" New Ast. avg",'Averages Pivot Table'!$A$3,"State","FL","Category2","Two-Year")</f>
        <v>0</v>
      </c>
      <c r="G313" s="118">
        <f t="shared" si="37"/>
        <v>0</v>
      </c>
      <c r="H313" s="126">
        <f>+GETPIVOTDATA(" New Inst. avg",'Averages Pivot Table'!$A$3,"State","FL","Category2","Two-Year")</f>
        <v>0</v>
      </c>
      <c r="I313" s="118">
        <f t="shared" si="38"/>
        <v>0</v>
      </c>
      <c r="J313" s="126">
        <f>+GETPIVOTDATA(" New Undesg. avg",'Averages Pivot Table'!$A$3,"State","FL","Category2","Two-Year")</f>
        <v>0</v>
      </c>
      <c r="K313" s="118">
        <f t="shared" si="39"/>
        <v>0</v>
      </c>
      <c r="L313" s="126">
        <f>+GETPIVOTDATA(" New Single Rnk avg",'Averages Pivot Table'!$A$3,"State","FL","Category2","Two-Year")</f>
        <v>54585.753821823935</v>
      </c>
      <c r="M313" s="118">
        <f t="shared" si="40"/>
        <v>2</v>
      </c>
      <c r="N313" s="126">
        <f>+GETPIVOTDATA(" New All Ranks avg",'Averages Pivot Table'!$A$3,"State","FL","Category2","Two-Year")</f>
        <v>54585.753821823935</v>
      </c>
      <c r="O313" s="118">
        <f t="shared" si="41"/>
        <v>4</v>
      </c>
    </row>
    <row r="314" spans="1:19" ht="12.95" customHeight="1" x14ac:dyDescent="0.25">
      <c r="A314" s="132"/>
      <c r="B314" s="126"/>
      <c r="C314" s="118">
        <f t="shared" si="42"/>
        <v>0</v>
      </c>
      <c r="D314" s="126"/>
      <c r="E314" s="118">
        <f t="shared" si="42"/>
        <v>0</v>
      </c>
      <c r="F314" s="126"/>
      <c r="G314" s="118">
        <f t="shared" si="37"/>
        <v>0</v>
      </c>
      <c r="H314" s="126"/>
      <c r="I314" s="118">
        <f t="shared" si="38"/>
        <v>0</v>
      </c>
      <c r="J314" s="126"/>
      <c r="K314" s="118">
        <f t="shared" si="39"/>
        <v>0</v>
      </c>
      <c r="L314" s="126"/>
      <c r="M314" s="118">
        <f t="shared" si="40"/>
        <v>0</v>
      </c>
      <c r="N314" s="126"/>
      <c r="O314" s="118">
        <f t="shared" si="41"/>
        <v>0</v>
      </c>
    </row>
    <row r="315" spans="1:19" ht="12.95" customHeight="1" x14ac:dyDescent="0.25">
      <c r="A315" s="132" t="s">
        <v>208</v>
      </c>
      <c r="B315" s="126">
        <f>+GETPIVOTDATA(" New Prof avg",'Averages Pivot Table'!$A$3,"State","GA","Category2","Two-Year")</f>
        <v>63490.059725287363</v>
      </c>
      <c r="C315" s="118">
        <f t="shared" si="42"/>
        <v>6</v>
      </c>
      <c r="D315" s="126">
        <f>+GETPIVOTDATA(" New Asc. avg",'Averages Pivot Table'!$A$3,"State","GA","Category2","Two-Year")</f>
        <v>53016.188335981307</v>
      </c>
      <c r="E315" s="118">
        <f t="shared" si="42"/>
        <v>6</v>
      </c>
      <c r="F315" s="126">
        <f>+GETPIVOTDATA(" New Ast. avg",'Averages Pivot Table'!$A$3,"State","GA","Category2","Two-Year")</f>
        <v>44895.748613291136</v>
      </c>
      <c r="G315" s="118">
        <f t="shared" si="37"/>
        <v>7</v>
      </c>
      <c r="H315" s="126">
        <f>+GETPIVOTDATA(" New Inst. avg",'Averages Pivot Table'!$A$3,"State","GA","Category2","Two-Year")</f>
        <v>39851.982837698415</v>
      </c>
      <c r="I315" s="118">
        <f t="shared" si="38"/>
        <v>7</v>
      </c>
      <c r="J315" s="126">
        <f>+GETPIVOTDATA(" New Undesg. avg",'Averages Pivot Table'!$A$3,"State","GA","Category2","Two-Year")</f>
        <v>35612.708218749998</v>
      </c>
      <c r="K315" s="118">
        <f t="shared" si="39"/>
        <v>6</v>
      </c>
      <c r="L315" s="126">
        <f>+GETPIVOTDATA(" New Single Rnk avg",'Averages Pivot Table'!$A$3,"State","GA","Category2","Two-Year")</f>
        <v>0</v>
      </c>
      <c r="M315" s="118">
        <f t="shared" si="40"/>
        <v>0</v>
      </c>
      <c r="N315" s="126">
        <f>+GETPIVOTDATA(" New All Ranks avg",'Averages Pivot Table'!$A$3,"State","GA","Category2","Two-Year")</f>
        <v>46682.95063402399</v>
      </c>
      <c r="O315" s="118">
        <f t="shared" si="41"/>
        <v>14</v>
      </c>
    </row>
    <row r="316" spans="1:19" ht="12.95" customHeight="1" x14ac:dyDescent="0.25">
      <c r="A316" s="132" t="s">
        <v>209</v>
      </c>
      <c r="B316" s="126">
        <f>+GETPIVOTDATA(" New Prof avg",'Averages Pivot Table'!$A$3,"State","KY","Category2","Two-Year")</f>
        <v>59768.063888888886</v>
      </c>
      <c r="C316" s="118">
        <f t="shared" si="42"/>
        <v>9</v>
      </c>
      <c r="D316" s="126">
        <f>+GETPIVOTDATA(" New Asc. avg",'Averages Pivot Table'!$A$3,"State","KY","Category2","Two-Year")</f>
        <v>48815.894868150688</v>
      </c>
      <c r="E316" s="118">
        <f t="shared" si="42"/>
        <v>10</v>
      </c>
      <c r="F316" s="126">
        <f>+GETPIVOTDATA(" New Ast. avg",'Averages Pivot Table'!$A$3,"State","KY","Category2","Two-Year")</f>
        <v>41945.967197368416</v>
      </c>
      <c r="G316" s="118">
        <f t="shared" si="37"/>
        <v>9</v>
      </c>
      <c r="H316" s="126">
        <f>+GETPIVOTDATA(" New Inst. avg",'Averages Pivot Table'!$A$3,"State","KY","Category2","Two-Year")</f>
        <v>38338.991122564097</v>
      </c>
      <c r="I316" s="118">
        <f t="shared" si="38"/>
        <v>10</v>
      </c>
      <c r="J316" s="126">
        <f>+GETPIVOTDATA(" New Undesg. avg",'Averages Pivot Table'!$A$3,"State","KY","Category2","Two-Year")</f>
        <v>0</v>
      </c>
      <c r="K316" s="118">
        <f t="shared" si="39"/>
        <v>0</v>
      </c>
      <c r="L316" s="126">
        <f>+GETPIVOTDATA(" New Single Rnk avg",'Averages Pivot Table'!$A$3,"State","KY","Category2","Two-Year")</f>
        <v>0</v>
      </c>
      <c r="M316" s="118">
        <f t="shared" si="40"/>
        <v>0</v>
      </c>
      <c r="N316" s="126">
        <f>+GETPIVOTDATA(" New All Ranks avg",'Averages Pivot Table'!$A$3,"State","KY","Category2","Two-Year")</f>
        <v>49343.220048088646</v>
      </c>
      <c r="O316" s="118">
        <f t="shared" si="41"/>
        <v>9</v>
      </c>
    </row>
    <row r="317" spans="1:19" ht="12.95" customHeight="1" x14ac:dyDescent="0.25">
      <c r="A317" s="132" t="s">
        <v>210</v>
      </c>
      <c r="B317" s="126">
        <f>+GETPIVOTDATA(" New Prof avg",'Averages Pivot Table'!$A$3,"State","LA","Category2","Two-Year")</f>
        <v>70949.290306451614</v>
      </c>
      <c r="C317" s="118">
        <f t="shared" si="42"/>
        <v>2</v>
      </c>
      <c r="D317" s="126">
        <f>+GETPIVOTDATA(" New Asc. avg",'Averages Pivot Table'!$A$3,"State","LA","Category2","Two-Year")</f>
        <v>57038.484258695644</v>
      </c>
      <c r="E317" s="118">
        <f t="shared" si="42"/>
        <v>3</v>
      </c>
      <c r="F317" s="126">
        <f>+GETPIVOTDATA(" New Ast. avg",'Averages Pivot Table'!$A$3,"State","LA","Category2","Two-Year")</f>
        <v>52048.089295934958</v>
      </c>
      <c r="G317" s="118">
        <f t="shared" si="37"/>
        <v>3</v>
      </c>
      <c r="H317" s="126">
        <f>+GETPIVOTDATA(" New Inst. avg",'Averages Pivot Table'!$A$3,"State","LA","Category2","Two-Year")</f>
        <v>44079.865383436852</v>
      </c>
      <c r="I317" s="118">
        <f t="shared" si="38"/>
        <v>4</v>
      </c>
      <c r="J317" s="126">
        <f>+GETPIVOTDATA(" New Undesg. avg",'Averages Pivot Table'!$A$3,"State","LA","Category2","Two-Year")</f>
        <v>0</v>
      </c>
      <c r="K317" s="118">
        <f t="shared" si="39"/>
        <v>0</v>
      </c>
      <c r="L317" s="126">
        <f>+GETPIVOTDATA(" New Single Rnk avg",'Averages Pivot Table'!$A$3,"State","LA","Category2","Two-Year")</f>
        <v>39229.520181818181</v>
      </c>
      <c r="M317" s="118">
        <f t="shared" si="40"/>
        <v>9</v>
      </c>
      <c r="N317" s="126">
        <f>+GETPIVOTDATA(" New All Ranks avg",'Averages Pivot Table'!$A$3,"State","LA","Category2","Two-Year")</f>
        <v>50202.046624006914</v>
      </c>
      <c r="O317" s="118">
        <f t="shared" si="41"/>
        <v>7</v>
      </c>
    </row>
    <row r="318" spans="1:19" ht="12.95" customHeight="1" x14ac:dyDescent="0.25">
      <c r="A318" s="132" t="s">
        <v>211</v>
      </c>
      <c r="B318" s="126">
        <f>+GETPIVOTDATA(" New Prof avg",'Averages Pivot Table'!$A$3,"State","MD","Category2","Two-Year")</f>
        <v>80968.454349917374</v>
      </c>
      <c r="C318" s="118">
        <f t="shared" si="42"/>
        <v>1</v>
      </c>
      <c r="D318" s="126">
        <f>+GETPIVOTDATA(" New Asc. avg",'Averages Pivot Table'!$A$3,"State","MD","Category2","Two-Year")</f>
        <v>64670.667492331864</v>
      </c>
      <c r="E318" s="118">
        <f t="shared" si="42"/>
        <v>1</v>
      </c>
      <c r="F318" s="126">
        <f>+GETPIVOTDATA(" New Ast. avg",'Averages Pivot Table'!$A$3,"State","MD","Category2","Two-Year")</f>
        <v>55912.075199791063</v>
      </c>
      <c r="G318" s="118">
        <f t="shared" si="37"/>
        <v>1</v>
      </c>
      <c r="H318" s="126">
        <f>+GETPIVOTDATA(" New Inst. avg",'Averages Pivot Table'!$A$3,"State","MD","Category2","Two-Year")</f>
        <v>48979.210804862036</v>
      </c>
      <c r="I318" s="118">
        <f t="shared" si="38"/>
        <v>3</v>
      </c>
      <c r="J318" s="126">
        <f>+GETPIVOTDATA(" New Undesg. avg",'Averages Pivot Table'!$A$3,"State","MD","Category2","Two-Year")</f>
        <v>44098.505720000001</v>
      </c>
      <c r="K318" s="118">
        <f t="shared" si="39"/>
        <v>3</v>
      </c>
      <c r="L318" s="126">
        <f>+GETPIVOTDATA(" New Single Rnk avg",'Averages Pivot Table'!$A$3,"State","MD","Category2","Two-Year")</f>
        <v>0</v>
      </c>
      <c r="M318" s="118">
        <f t="shared" si="40"/>
        <v>0</v>
      </c>
      <c r="N318" s="126">
        <f>+GETPIVOTDATA(" New All Ranks avg",'Averages Pivot Table'!$A$3,"State","MD","Category2","Two-Year")</f>
        <v>66084.629553953608</v>
      </c>
      <c r="O318" s="118">
        <f t="shared" si="41"/>
        <v>1</v>
      </c>
    </row>
    <row r="319" spans="1:19" ht="12.95" customHeight="1" x14ac:dyDescent="0.25">
      <c r="A319" s="132"/>
      <c r="B319" s="126"/>
      <c r="C319" s="118">
        <f t="shared" si="42"/>
        <v>0</v>
      </c>
      <c r="D319" s="126"/>
      <c r="E319" s="118">
        <f t="shared" si="42"/>
        <v>0</v>
      </c>
      <c r="F319" s="126"/>
      <c r="G319" s="118">
        <f t="shared" si="37"/>
        <v>0</v>
      </c>
      <c r="H319" s="126"/>
      <c r="I319" s="118">
        <f t="shared" si="38"/>
        <v>0</v>
      </c>
      <c r="J319" s="126"/>
      <c r="K319" s="118">
        <f t="shared" si="39"/>
        <v>0</v>
      </c>
      <c r="L319" s="126"/>
      <c r="M319" s="118">
        <f t="shared" si="40"/>
        <v>0</v>
      </c>
      <c r="N319" s="126"/>
      <c r="O319" s="118">
        <f t="shared" si="41"/>
        <v>0</v>
      </c>
    </row>
    <row r="320" spans="1:19" ht="12.95" customHeight="1" x14ac:dyDescent="0.25">
      <c r="A320" s="132" t="s">
        <v>212</v>
      </c>
      <c r="B320" s="126">
        <f>+GETPIVOTDATA(" New Prof avg",'Averages Pivot Table'!$A$3,"State","MS","Category2","Two-Year")</f>
        <v>0</v>
      </c>
      <c r="C320" s="118">
        <f t="shared" si="42"/>
        <v>0</v>
      </c>
      <c r="D320" s="126">
        <f>+GETPIVOTDATA(" New Asc. avg",'Averages Pivot Table'!$A$3,"State","MS","Category2","Two-Year")</f>
        <v>0</v>
      </c>
      <c r="E320" s="118">
        <f t="shared" si="42"/>
        <v>0</v>
      </c>
      <c r="F320" s="126">
        <f>+GETPIVOTDATA(" New Ast. avg",'Averages Pivot Table'!$A$3,"State","MS","Category2","Two-Year")</f>
        <v>0</v>
      </c>
      <c r="G320" s="118">
        <f t="shared" si="37"/>
        <v>0</v>
      </c>
      <c r="H320" s="126">
        <f>+GETPIVOTDATA(" New Inst. avg",'Averages Pivot Table'!$A$3,"State","MS","Category2","Two-Year")</f>
        <v>0</v>
      </c>
      <c r="I320" s="118">
        <f t="shared" si="38"/>
        <v>0</v>
      </c>
      <c r="J320" s="126">
        <f>+GETPIVOTDATA(" New Undesg. avg",'Averages Pivot Table'!$A$3,"State","MS","Category2","Two-Year")</f>
        <v>0</v>
      </c>
      <c r="K320" s="118">
        <f t="shared" si="39"/>
        <v>0</v>
      </c>
      <c r="L320" s="126">
        <f>+GETPIVOTDATA(" New Single Rnk avg",'Averages Pivot Table'!$A$3,"State","MS","Category2","Two-Year")</f>
        <v>49951.43258701772</v>
      </c>
      <c r="M320" s="118">
        <f t="shared" si="40"/>
        <v>5</v>
      </c>
      <c r="N320" s="126">
        <f>+GETPIVOTDATA(" New All Ranks avg",'Averages Pivot Table'!$A$3,"State","MS","Category2","Two-Year")</f>
        <v>49951.43258701772</v>
      </c>
      <c r="O320" s="118">
        <f t="shared" si="41"/>
        <v>8</v>
      </c>
    </row>
    <row r="321" spans="1:16" ht="12.95" customHeight="1" x14ac:dyDescent="0.25">
      <c r="A321" s="132" t="s">
        <v>213</v>
      </c>
      <c r="B321" s="126">
        <f>+GETPIVOTDATA(" New Prof avg",'Averages Pivot Table'!$A$3,"State","NC","Category2","Two-Year")</f>
        <v>0</v>
      </c>
      <c r="C321" s="118">
        <f t="shared" si="42"/>
        <v>0</v>
      </c>
      <c r="D321" s="126">
        <f>+GETPIVOTDATA(" New Asc. avg",'Averages Pivot Table'!$A$3,"State","NC","Category2","Two-Year")</f>
        <v>0</v>
      </c>
      <c r="E321" s="118">
        <f t="shared" si="42"/>
        <v>0</v>
      </c>
      <c r="F321" s="126">
        <f>+GETPIVOTDATA(" New Ast. avg",'Averages Pivot Table'!$A$3,"State","NC","Category2","Two-Year")</f>
        <v>0</v>
      </c>
      <c r="G321" s="118">
        <f t="shared" si="37"/>
        <v>0</v>
      </c>
      <c r="H321" s="126">
        <f>+GETPIVOTDATA(" New Inst. avg",'Averages Pivot Table'!$A$3,"State","NC","Category2","Two-Year")</f>
        <v>0</v>
      </c>
      <c r="I321" s="118">
        <f t="shared" si="38"/>
        <v>0</v>
      </c>
      <c r="J321" s="126">
        <f>+GETPIVOTDATA(" New Undesg. avg",'Averages Pivot Table'!$A$3,"State","NC","Category2","Two-Year")</f>
        <v>0</v>
      </c>
      <c r="K321" s="118">
        <f t="shared" si="39"/>
        <v>0</v>
      </c>
      <c r="L321" s="126">
        <f>+GETPIVOTDATA(" New Single Rnk avg",'Averages Pivot Table'!$A$3,"State","NC","Category2","Two-Year")</f>
        <v>47272.222963320462</v>
      </c>
      <c r="M321" s="118">
        <f t="shared" si="40"/>
        <v>7</v>
      </c>
      <c r="N321" s="126">
        <f>+GETPIVOTDATA(" New All Ranks avg",'Averages Pivot Table'!$A$3,"State","NC","Category2","Two-Year")</f>
        <v>47272.222963320462</v>
      </c>
      <c r="O321" s="118">
        <f t="shared" si="41"/>
        <v>12</v>
      </c>
    </row>
    <row r="322" spans="1:16" ht="12.95" customHeight="1" x14ac:dyDescent="0.25">
      <c r="A322" s="132" t="s">
        <v>214</v>
      </c>
      <c r="B322" s="126">
        <f>+GETPIVOTDATA(" New Prof avg",'Averages Pivot Table'!$A$3,"State","OK","Category2","Two-Year")</f>
        <v>0</v>
      </c>
      <c r="C322" s="118">
        <f t="shared" si="42"/>
        <v>0</v>
      </c>
      <c r="D322" s="126">
        <f>+GETPIVOTDATA(" New Asc. avg",'Averages Pivot Table'!$A$3,"State","OK","Category2","Two-Year")</f>
        <v>0</v>
      </c>
      <c r="E322" s="118">
        <f t="shared" si="42"/>
        <v>0</v>
      </c>
      <c r="F322" s="126">
        <f>+GETPIVOTDATA(" New Ast. avg",'Averages Pivot Table'!$A$3,"State","OK","Category2","Two-Year")</f>
        <v>0</v>
      </c>
      <c r="G322" s="118">
        <f t="shared" si="37"/>
        <v>0</v>
      </c>
      <c r="H322" s="126">
        <f>+GETPIVOTDATA(" New Inst. avg",'Averages Pivot Table'!$A$3,"State","OK","Category2","Two-Year")</f>
        <v>0</v>
      </c>
      <c r="I322" s="118">
        <f t="shared" si="38"/>
        <v>0</v>
      </c>
      <c r="J322" s="126">
        <f>+GETPIVOTDATA(" New Undesg. avg",'Averages Pivot Table'!$A$3,"State","OK","Category2","Two-Year")</f>
        <v>0</v>
      </c>
      <c r="K322" s="118">
        <f t="shared" si="39"/>
        <v>0</v>
      </c>
      <c r="L322" s="126">
        <f>+GETPIVOTDATA(" New Single Rnk avg",'Averages Pivot Table'!$A$3,"State","OK","Category2","Two-Year")</f>
        <v>49306.227374623319</v>
      </c>
      <c r="M322" s="118">
        <f t="shared" si="40"/>
        <v>6</v>
      </c>
      <c r="N322" s="126">
        <f>+GETPIVOTDATA(" New All Ranks avg",'Averages Pivot Table'!$A$3,"State","OK","Category2","Two-Year")</f>
        <v>49306.227374623319</v>
      </c>
      <c r="O322" s="118">
        <f t="shared" si="41"/>
        <v>10</v>
      </c>
    </row>
    <row r="323" spans="1:16" ht="12.95" customHeight="1" x14ac:dyDescent="0.25">
      <c r="A323" s="132" t="s">
        <v>215</v>
      </c>
      <c r="B323" s="126">
        <f>+GETPIVOTDATA(" New Prof avg",'Averages Pivot Table'!$A$3,"State","SC","Category2","Two-Year")</f>
        <v>67877.91849411765</v>
      </c>
      <c r="C323" s="118">
        <f t="shared" si="42"/>
        <v>4</v>
      </c>
      <c r="D323" s="126">
        <f>+GETPIVOTDATA(" New Asc. avg",'Averages Pivot Table'!$A$3,"State","SC","Category2","Two-Year")</f>
        <v>54628.946608333332</v>
      </c>
      <c r="E323" s="118">
        <f t="shared" si="42"/>
        <v>4</v>
      </c>
      <c r="F323" s="126">
        <f>+GETPIVOTDATA(" New Ast. avg",'Averages Pivot Table'!$A$3,"State","SC","Category2","Two-Year")</f>
        <v>46305.44222222222</v>
      </c>
      <c r="G323" s="118">
        <f t="shared" si="37"/>
        <v>5</v>
      </c>
      <c r="H323" s="126">
        <f>+GETPIVOTDATA(" New Inst. avg",'Averages Pivot Table'!$A$3,"State","SC","Category2","Two-Year")</f>
        <v>41710.419600000001</v>
      </c>
      <c r="I323" s="118">
        <f t="shared" si="38"/>
        <v>5</v>
      </c>
      <c r="J323" s="126">
        <f>+GETPIVOTDATA(" New Undesg. avg",'Averages Pivot Table'!$A$3,"State","SC","Category2","Two-Year")</f>
        <v>46249.62086513995</v>
      </c>
      <c r="K323" s="118">
        <f t="shared" si="39"/>
        <v>2</v>
      </c>
      <c r="L323" s="126">
        <f>+GETPIVOTDATA(" New Single Rnk avg",'Averages Pivot Table'!$A$3,"State","SC","Category2","Two-Year")</f>
        <v>0</v>
      </c>
      <c r="M323" s="118">
        <f t="shared" si="40"/>
        <v>0</v>
      </c>
      <c r="N323" s="126">
        <f>+GETPIVOTDATA(" New All Ranks avg",'Averages Pivot Table'!$A$3,"State","SC","Category2","Two-Year")</f>
        <v>46413.977644837483</v>
      </c>
      <c r="O323" s="118">
        <f t="shared" si="41"/>
        <v>15</v>
      </c>
    </row>
    <row r="324" spans="1:16" ht="12.95" customHeight="1" x14ac:dyDescent="0.25">
      <c r="A324" s="132"/>
      <c r="B324" s="126"/>
      <c r="C324" s="118">
        <f t="shared" si="42"/>
        <v>0</v>
      </c>
      <c r="D324" s="126"/>
      <c r="E324" s="118">
        <f t="shared" si="42"/>
        <v>0</v>
      </c>
      <c r="F324" s="126"/>
      <c r="G324" s="118">
        <f t="shared" si="37"/>
        <v>0</v>
      </c>
      <c r="H324" s="126"/>
      <c r="I324" s="118">
        <f t="shared" si="38"/>
        <v>0</v>
      </c>
      <c r="J324" s="126"/>
      <c r="K324" s="118">
        <f t="shared" si="39"/>
        <v>0</v>
      </c>
      <c r="L324" s="126"/>
      <c r="M324" s="118">
        <f t="shared" si="40"/>
        <v>0</v>
      </c>
      <c r="N324" s="126"/>
      <c r="O324" s="118">
        <f t="shared" si="41"/>
        <v>0</v>
      </c>
    </row>
    <row r="325" spans="1:16" ht="12.95" customHeight="1" x14ac:dyDescent="0.25">
      <c r="A325" s="132" t="s">
        <v>216</v>
      </c>
      <c r="B325" s="563">
        <f>+GETPIVOTDATA(" New Prof avg",'Averages Pivot Table'!$A$3,"State","TN","Category2","Two-Year")</f>
        <v>60662.772506161142</v>
      </c>
      <c r="C325" s="118">
        <f t="shared" si="42"/>
        <v>8</v>
      </c>
      <c r="D325" s="563">
        <f>+GETPIVOTDATA(" New Asc. avg",'Averages Pivot Table'!$A$3,"State","TN","Category2","Two-Year")</f>
        <v>50236.512836890652</v>
      </c>
      <c r="E325" s="118">
        <f t="shared" si="42"/>
        <v>9</v>
      </c>
      <c r="F325" s="563">
        <f>+GETPIVOTDATA(" New Ast. avg",'Averages Pivot Table'!$A$3,"State","TN","Category2","Two-Year")</f>
        <v>43163.413641782732</v>
      </c>
      <c r="G325" s="118">
        <f t="shared" si="37"/>
        <v>8</v>
      </c>
      <c r="H325" s="563">
        <f>+GETPIVOTDATA(" New Inst. avg",'Averages Pivot Table'!$A$3,"State","TN","Category2","Two-Year")</f>
        <v>38894.649013478258</v>
      </c>
      <c r="I325" s="118">
        <f t="shared" si="38"/>
        <v>9</v>
      </c>
      <c r="J325" s="563">
        <f>+GETPIVOTDATA(" New Undesg. avg",'Averages Pivot Table'!$A$3,"State","TN","Category2","Two-Year")</f>
        <v>0</v>
      </c>
      <c r="K325" s="118">
        <f t="shared" si="39"/>
        <v>0</v>
      </c>
      <c r="L325" s="563">
        <f>+GETPIVOTDATA(" New Single Rnk avg",'Averages Pivot Table'!$A$3,"State","TN","Category2","Two-Year")</f>
        <v>0</v>
      </c>
      <c r="M325" s="118">
        <f t="shared" si="40"/>
        <v>0</v>
      </c>
      <c r="N325" s="126">
        <f>+GETPIVOTDATA(" New All Ranks avg",'Averages Pivot Table'!$A$3,"State","TN","Category2","Two-Year")</f>
        <v>47130.554659362773</v>
      </c>
      <c r="O325" s="118">
        <f t="shared" si="41"/>
        <v>13</v>
      </c>
    </row>
    <row r="326" spans="1:16" ht="12.95" customHeight="1" x14ac:dyDescent="0.25">
      <c r="A326" s="132" t="s">
        <v>217</v>
      </c>
      <c r="B326" s="563">
        <f>+GETPIVOTDATA(" New Prof avg",'Averages Pivot Table'!$A$3,"State","TX","Category2","Two-Year")</f>
        <v>61679.413168999999</v>
      </c>
      <c r="C326" s="118">
        <f t="shared" si="42"/>
        <v>7</v>
      </c>
      <c r="D326" s="563">
        <f>+GETPIVOTDATA(" New Asc. avg",'Averages Pivot Table'!$A$3,"State","TX","Category2","Two-Year")</f>
        <v>51957.205272851068</v>
      </c>
      <c r="E326" s="118">
        <f t="shared" si="42"/>
        <v>8</v>
      </c>
      <c r="F326" s="563">
        <f>+GETPIVOTDATA(" New Ast. avg",'Averages Pivot Table'!$A$3,"State","TX","Category2","Two-Year")</f>
        <v>48417.921838572802</v>
      </c>
      <c r="G326" s="118">
        <f t="shared" si="37"/>
        <v>4</v>
      </c>
      <c r="H326" s="563">
        <f>+GETPIVOTDATA(" New Inst. avg",'Averages Pivot Table'!$A$3,"State","TX","Category2","Two-Year")</f>
        <v>49138.255098121859</v>
      </c>
      <c r="I326" s="118">
        <f t="shared" si="38"/>
        <v>2</v>
      </c>
      <c r="J326" s="563">
        <f>+GETPIVOTDATA(" New Undesg. avg",'Averages Pivot Table'!$A$3,"State","TX","Category2","Two-Year")</f>
        <v>40115.032626666667</v>
      </c>
      <c r="K326" s="118">
        <f t="shared" si="39"/>
        <v>4</v>
      </c>
      <c r="L326" s="563">
        <f>+GETPIVOTDATA(" New Single Rnk avg",'Averages Pivot Table'!$A$3,"State","TX","Category2","Two-Year")</f>
        <v>53796.049080997473</v>
      </c>
      <c r="M326" s="118">
        <f t="shared" si="40"/>
        <v>3</v>
      </c>
      <c r="N326" s="126">
        <f>+GETPIVOTDATA(" New All Ranks avg",'Averages Pivot Table'!$A$3,"State","TX","Category2","Two-Year")</f>
        <v>52818.063622660338</v>
      </c>
      <c r="O326" s="118">
        <f t="shared" si="41"/>
        <v>6</v>
      </c>
    </row>
    <row r="327" spans="1:16" ht="12.95" customHeight="1" x14ac:dyDescent="0.25">
      <c r="A327" s="132" t="s">
        <v>218</v>
      </c>
      <c r="B327" s="563">
        <f>+GETPIVOTDATA(" New Prof avg",'Averages Pivot Table'!$A$3,"State","VA","Category2","Two-Year")</f>
        <v>68382.932231277533</v>
      </c>
      <c r="C327" s="118">
        <f t="shared" si="42"/>
        <v>3</v>
      </c>
      <c r="D327" s="563">
        <f>+GETPIVOTDATA(" New Asc. avg",'Averages Pivot Table'!$A$3,"State","VA","Category2","Two-Year")</f>
        <v>61367.00115730337</v>
      </c>
      <c r="E327" s="118">
        <f t="shared" si="42"/>
        <v>2</v>
      </c>
      <c r="F327" s="563">
        <f>+GETPIVOTDATA(" New Ast. avg",'Averages Pivot Table'!$A$3,"State","VA","Category2","Two-Year")</f>
        <v>55087.071209302325</v>
      </c>
      <c r="G327" s="118">
        <f t="shared" si="37"/>
        <v>2</v>
      </c>
      <c r="H327" s="563">
        <f>+GETPIVOTDATA(" New Inst. avg",'Averages Pivot Table'!$A$3,"State","VA","Category2","Two-Year")</f>
        <v>49850.39902423077</v>
      </c>
      <c r="I327" s="118">
        <f t="shared" si="38"/>
        <v>1</v>
      </c>
      <c r="J327" s="563">
        <f>+GETPIVOTDATA(" New Undesg. avg",'Averages Pivot Table'!$A$3,"State","VA","Category2","Two-Year")</f>
        <v>53793.843800000002</v>
      </c>
      <c r="K327" s="118">
        <f t="shared" si="39"/>
        <v>1</v>
      </c>
      <c r="L327" s="563">
        <f>+GETPIVOTDATA(" New Single Rnk avg",'Averages Pivot Table'!$A$3,"State","VA","Category2","Two-Year")</f>
        <v>0</v>
      </c>
      <c r="M327" s="118">
        <f t="shared" si="40"/>
        <v>0</v>
      </c>
      <c r="N327" s="126">
        <f>+GETPIVOTDATA(" New All Ranks avg",'Averages Pivot Table'!$A$3,"State","VA","Category2","Two-Year")</f>
        <v>58362.313227777769</v>
      </c>
      <c r="O327" s="118">
        <f t="shared" si="41"/>
        <v>3</v>
      </c>
    </row>
    <row r="328" spans="1:16" ht="12.95" customHeight="1" x14ac:dyDescent="0.25">
      <c r="A328" s="6" t="s">
        <v>219</v>
      </c>
      <c r="B328" s="566">
        <f>+GETPIVOTDATA(" New Prof avg",'Averages Pivot Table'!$A$3,"State","WV","Category2","Two-Year")</f>
        <v>63582.117651282053</v>
      </c>
      <c r="C328" s="119">
        <f t="shared" si="42"/>
        <v>5</v>
      </c>
      <c r="D328" s="566">
        <f>+GETPIVOTDATA(" New Asc. avg",'Averages Pivot Table'!$A$3,"State","WV","Category2","Two-Year")</f>
        <v>54362.4645882353</v>
      </c>
      <c r="E328" s="119">
        <f t="shared" si="42"/>
        <v>5</v>
      </c>
      <c r="F328" s="566">
        <f>+GETPIVOTDATA(" New Ast. avg",'Averages Pivot Table'!$A$3,"State","WV","Category2","Two-Year")</f>
        <v>45723.055739354844</v>
      </c>
      <c r="G328" s="119">
        <f t="shared" si="37"/>
        <v>6</v>
      </c>
      <c r="H328" s="566">
        <f>+GETPIVOTDATA(" New Inst. avg",'Averages Pivot Table'!$A$3,"State","WV","Category2","Two-Year")</f>
        <v>39415.950432258069</v>
      </c>
      <c r="I328" s="119">
        <f t="shared" si="38"/>
        <v>8</v>
      </c>
      <c r="J328" s="566">
        <f>+GETPIVOTDATA(" New Undesg. avg",'Averages Pivot Table'!$A$3,"State","WV","Category2","Two-Year")</f>
        <v>39636.3653787234</v>
      </c>
      <c r="K328" s="119">
        <f t="shared" si="39"/>
        <v>5</v>
      </c>
      <c r="L328" s="566">
        <f>+GETPIVOTDATA(" New Single Rnk avg",'Averages Pivot Table'!$A$3,"State","WV","Category2","Two-Year")</f>
        <v>0</v>
      </c>
      <c r="M328" s="119">
        <f t="shared" si="40"/>
        <v>0</v>
      </c>
      <c r="N328" s="566">
        <f>+GETPIVOTDATA(" New All Ranks avg",'Averages Pivot Table'!$A$3,"State","WV","Category2","Two-Year")</f>
        <v>47848.350698080285</v>
      </c>
      <c r="O328" s="119">
        <f t="shared" si="41"/>
        <v>11</v>
      </c>
    </row>
    <row r="329" spans="1:16" ht="30" customHeight="1" x14ac:dyDescent="0.25">
      <c r="A329" s="670" t="s">
        <v>91</v>
      </c>
      <c r="B329" s="670"/>
      <c r="C329" s="670"/>
      <c r="D329" s="670"/>
      <c r="E329" s="670"/>
      <c r="F329" s="670"/>
      <c r="G329" s="670"/>
      <c r="H329" s="670"/>
      <c r="I329" s="670"/>
      <c r="J329" s="670"/>
      <c r="K329" s="670"/>
      <c r="L329" s="670"/>
      <c r="M329" s="670"/>
      <c r="N329" s="670"/>
      <c r="O329" s="670"/>
    </row>
    <row r="330" spans="1:16" x14ac:dyDescent="0.25">
      <c r="O330" s="157" t="s">
        <v>1083</v>
      </c>
    </row>
    <row r="331" spans="1:16" ht="18" x14ac:dyDescent="0.25">
      <c r="A331" s="544" t="s">
        <v>270</v>
      </c>
      <c r="B331" s="544"/>
      <c r="C331" s="544"/>
      <c r="D331" s="544"/>
      <c r="E331" s="544"/>
      <c r="F331" s="544"/>
      <c r="G331" s="544"/>
      <c r="H331" s="544"/>
      <c r="I331" s="544"/>
      <c r="J331" s="544"/>
      <c r="K331" s="544"/>
      <c r="L331" s="544"/>
      <c r="M331" s="544"/>
      <c r="N331" s="544"/>
      <c r="O331" s="544"/>
      <c r="P331" s="595" t="s">
        <v>223</v>
      </c>
    </row>
    <row r="332" spans="1:16" x14ac:dyDescent="0.25">
      <c r="A332" s="588"/>
      <c r="B332" s="93"/>
      <c r="C332" s="93"/>
      <c r="D332" s="93"/>
      <c r="E332" s="93"/>
      <c r="F332" s="93"/>
      <c r="G332" s="93"/>
      <c r="H332" s="93"/>
      <c r="I332" s="93"/>
      <c r="J332" s="93"/>
      <c r="K332" s="93"/>
      <c r="L332" s="93"/>
      <c r="M332" s="93"/>
      <c r="N332" s="93"/>
      <c r="O332" s="93"/>
    </row>
    <row r="333" spans="1:16" x14ac:dyDescent="0.25">
      <c r="A333" s="665" t="s">
        <v>220</v>
      </c>
      <c r="B333" s="665"/>
      <c r="C333" s="665"/>
      <c r="D333" s="665"/>
      <c r="E333" s="665"/>
      <c r="F333" s="665"/>
      <c r="G333" s="665"/>
      <c r="H333" s="665"/>
      <c r="I333" s="665"/>
      <c r="J333" s="665"/>
      <c r="K333" s="665"/>
      <c r="L333" s="665"/>
      <c r="M333" s="665"/>
      <c r="N333" s="665"/>
      <c r="O333" s="665"/>
    </row>
    <row r="334" spans="1:16" x14ac:dyDescent="0.25">
      <c r="A334" s="665" t="s">
        <v>1062</v>
      </c>
      <c r="B334" s="665"/>
      <c r="C334" s="665"/>
      <c r="D334" s="665"/>
      <c r="E334" s="665"/>
      <c r="F334" s="665"/>
      <c r="G334" s="665"/>
      <c r="H334" s="665"/>
      <c r="I334" s="665"/>
      <c r="J334" s="665"/>
      <c r="K334" s="665"/>
      <c r="L334" s="665"/>
      <c r="M334" s="665"/>
      <c r="N334" s="665"/>
      <c r="O334" s="665"/>
    </row>
    <row r="335" spans="1:16" x14ac:dyDescent="0.25">
      <c r="A335" s="132"/>
      <c r="B335" s="132"/>
      <c r="C335" s="132"/>
      <c r="D335" s="132"/>
      <c r="E335" s="132"/>
      <c r="F335" s="132"/>
      <c r="G335" s="132"/>
      <c r="H335" s="132"/>
      <c r="I335" s="132"/>
      <c r="J335" s="132"/>
      <c r="K335" s="132"/>
      <c r="L335" s="132"/>
      <c r="M335" s="132"/>
      <c r="N335" s="132"/>
      <c r="O335" s="132"/>
    </row>
    <row r="336" spans="1:16" ht="33" customHeight="1" x14ac:dyDescent="0.25">
      <c r="A336" s="547"/>
      <c r="B336" s="589" t="s">
        <v>99</v>
      </c>
      <c r="C336" s="142"/>
      <c r="D336" s="590" t="s">
        <v>100</v>
      </c>
      <c r="E336" s="591"/>
      <c r="F336" s="590" t="s">
        <v>101</v>
      </c>
      <c r="G336" s="591"/>
      <c r="H336" s="589" t="s">
        <v>102</v>
      </c>
      <c r="I336" s="142"/>
      <c r="J336" s="590" t="s">
        <v>226</v>
      </c>
      <c r="K336" s="591"/>
      <c r="L336" s="142" t="s">
        <v>82</v>
      </c>
      <c r="M336" s="142"/>
      <c r="N336" s="142" t="s">
        <v>84</v>
      </c>
      <c r="O336" s="142"/>
    </row>
    <row r="337" spans="1:19" x14ac:dyDescent="0.25">
      <c r="A337" s="551"/>
      <c r="B337" s="115" t="s">
        <v>103</v>
      </c>
      <c r="C337" s="143" t="s">
        <v>193</v>
      </c>
      <c r="D337" s="115" t="s">
        <v>103</v>
      </c>
      <c r="E337" s="143" t="s">
        <v>193</v>
      </c>
      <c r="F337" s="115" t="s">
        <v>103</v>
      </c>
      <c r="G337" s="143" t="s">
        <v>193</v>
      </c>
      <c r="H337" s="115" t="s">
        <v>103</v>
      </c>
      <c r="I337" s="143" t="s">
        <v>193</v>
      </c>
      <c r="J337" s="115" t="s">
        <v>103</v>
      </c>
      <c r="K337" s="143" t="s">
        <v>193</v>
      </c>
      <c r="L337" s="115" t="s">
        <v>103</v>
      </c>
      <c r="M337" s="143" t="s">
        <v>193</v>
      </c>
      <c r="N337" s="115" t="s">
        <v>103</v>
      </c>
      <c r="O337" s="143" t="s">
        <v>193</v>
      </c>
    </row>
    <row r="338" spans="1:19" s="556" customFormat="1" ht="18" customHeight="1" x14ac:dyDescent="0.25">
      <c r="A338" s="554" t="s">
        <v>222</v>
      </c>
      <c r="B338" s="146">
        <f>+GETPIVOTDATA(" New Prof avg",'Averages Pivot Table'!$A$3,"Category",7,"Category2","Two-Year")</f>
        <v>64908.180878918924</v>
      </c>
      <c r="C338" s="146"/>
      <c r="D338" s="146">
        <f>+GETPIVOTDATA(" New Asc. avg",'Averages Pivot Table'!$A$3,"Category",7,"Category2","Two-Year")</f>
        <v>52970.878771559634</v>
      </c>
      <c r="E338" s="146"/>
      <c r="F338" s="146">
        <f>+GETPIVOTDATA(" New Ast. avg",'Averages Pivot Table'!$A$3,"Category",7,"Category2","Two-Year")</f>
        <v>46449.791847457629</v>
      </c>
      <c r="G338" s="146"/>
      <c r="H338" s="146">
        <f>+GETPIVOTDATA(" New Inst. avg",'Averages Pivot Table'!$A$3,"Category",7,"Category2","Two-Year")</f>
        <v>49573.345764850616</v>
      </c>
      <c r="I338" s="146"/>
      <c r="J338" s="146">
        <f>+GETPIVOTDATA(" New Undesg. avg",'Averages Pivot Table'!$A$3,"Category",7,"Category2","Two-Year")</f>
        <v>35586.277443478255</v>
      </c>
      <c r="K338" s="146"/>
      <c r="L338" s="146">
        <f>+GETPIVOTDATA(" New Single Rnk avg",'Averages Pivot Table'!$A$3,"Category",7,"Category2","Two-Year")</f>
        <v>57132.507582381731</v>
      </c>
      <c r="M338" s="146"/>
      <c r="N338" s="146">
        <f>+GETPIVOTDATA(" New All Ranks avg",'Averages Pivot Table'!$A$3,"Category",7,"Category2","Two-Year")</f>
        <v>55030.933525737055</v>
      </c>
      <c r="O338" s="133"/>
      <c r="Q338" s="558"/>
      <c r="R338" s="558"/>
      <c r="S338" s="558"/>
    </row>
    <row r="339" spans="1:19" ht="12.95" customHeight="1" x14ac:dyDescent="0.25">
      <c r="A339" s="132"/>
      <c r="B339" s="123"/>
      <c r="C339" s="150"/>
      <c r="D339" s="123"/>
      <c r="E339" s="150"/>
      <c r="F339" s="123"/>
      <c r="G339" s="150"/>
      <c r="H339" s="123"/>
      <c r="I339" s="150"/>
      <c r="J339" s="123"/>
      <c r="K339" s="150"/>
      <c r="L339" s="123"/>
      <c r="M339" s="150"/>
      <c r="N339" s="123"/>
      <c r="O339" s="134"/>
    </row>
    <row r="340" spans="1:19" ht="12.95" customHeight="1" x14ac:dyDescent="0.25">
      <c r="A340" s="132" t="s">
        <v>205</v>
      </c>
      <c r="B340" s="126">
        <f>+GETPIVOTDATA(" New Prof avg",'Averages Pivot Table'!$A$3,"State","AL","Category",7,"Category2","Two-Year")</f>
        <v>0</v>
      </c>
      <c r="C340" s="118">
        <f>IF(B340&gt;0,(RANK(B340,B$340:B$358)),0)</f>
        <v>0</v>
      </c>
      <c r="D340" s="126">
        <f>+GETPIVOTDATA(" New Asc. avg",'Averages Pivot Table'!$A$3,"State","AL","Category",7,"Category2","Two-Year")</f>
        <v>0</v>
      </c>
      <c r="E340" s="118">
        <f>IF(D340&gt;0,(RANK(D340,D$340:D$358)),0)</f>
        <v>0</v>
      </c>
      <c r="F340" s="126">
        <f>+GETPIVOTDATA(" New Ast. avg",'Averages Pivot Table'!$A$3,"State","AL","Category",7,"Category2","Two-Year")</f>
        <v>0</v>
      </c>
      <c r="G340" s="118">
        <f t="shared" ref="G340:G358" si="43">IF(F340&gt;0,(RANK(F340,F$340:F$358)),0)</f>
        <v>0</v>
      </c>
      <c r="H340" s="126">
        <f>+GETPIVOTDATA(" New Inst. avg",'Averages Pivot Table'!$A$3,"State","AL","Category",7,"Category2","Two-Year")</f>
        <v>0</v>
      </c>
      <c r="I340" s="118">
        <f t="shared" ref="I340:I358" si="44">IF(H340&gt;0,(RANK(H340,H$340:H$358)),0)</f>
        <v>0</v>
      </c>
      <c r="J340" s="126">
        <f>+GETPIVOTDATA(" New Undesg. avg",'Averages Pivot Table'!$A$3,"State","AL","Category",7,"Category2","Two-Year")</f>
        <v>0</v>
      </c>
      <c r="K340" s="118">
        <f t="shared" ref="K340:K358" si="45">IF(J340&gt;0,(RANK(J340,J$340:J$358)),0)</f>
        <v>0</v>
      </c>
      <c r="L340" s="126">
        <f>+GETPIVOTDATA(" New Single Rnk avg",'Averages Pivot Table'!$A$3,"State","AL","Category",7,"Category2","Two-Year")</f>
        <v>0</v>
      </c>
      <c r="M340" s="118">
        <f t="shared" ref="M340:M358" si="46">IF(L340&gt;0,(RANK(L340,L$340:L$358)),0)</f>
        <v>0</v>
      </c>
      <c r="N340" s="126">
        <f>+GETPIVOTDATA(" New All Ranks avg",'Averages Pivot Table'!$A$3,"State","AL","Category",7,"Category2","Two-Year")</f>
        <v>0</v>
      </c>
      <c r="O340" s="118">
        <f t="shared" ref="O340:O358" si="47">IF(N340&gt;0,(RANK(N340,N$340:N$358)),0)</f>
        <v>0</v>
      </c>
    </row>
    <row r="341" spans="1:19" ht="12.95" customHeight="1" x14ac:dyDescent="0.25">
      <c r="A341" s="132" t="s">
        <v>206</v>
      </c>
      <c r="B341" s="126">
        <f>+GETPIVOTDATA(" New Prof avg",'Averages Pivot Table'!$A$3,"State","AR","Category",7,"Category2","Two-Year")</f>
        <v>0</v>
      </c>
      <c r="C341" s="118">
        <f t="shared" ref="C341:E358" si="48">IF(B341&gt;0,(RANK(B341,B$340:B$358)),0)</f>
        <v>0</v>
      </c>
      <c r="D341" s="126">
        <f>+GETPIVOTDATA(" New Asc. avg",'Averages Pivot Table'!$A$3,"State","AR","Category",7,"Category2","Two-Year")</f>
        <v>0</v>
      </c>
      <c r="E341" s="118">
        <f t="shared" si="48"/>
        <v>0</v>
      </c>
      <c r="F341" s="126">
        <f>+GETPIVOTDATA(" New Ast. avg",'Averages Pivot Table'!$A$3,"State","AR","Category",7,"Category2","Two-Year")</f>
        <v>0</v>
      </c>
      <c r="G341" s="118">
        <f t="shared" si="43"/>
        <v>0</v>
      </c>
      <c r="H341" s="126">
        <f>+GETPIVOTDATA(" New Inst. avg",'Averages Pivot Table'!$A$3,"State","AR","Category",7,"Category2","Two-Year")</f>
        <v>0</v>
      </c>
      <c r="I341" s="118">
        <f t="shared" si="44"/>
        <v>0</v>
      </c>
      <c r="J341" s="126">
        <f>+GETPIVOTDATA(" New Undesg. avg",'Averages Pivot Table'!$A$3,"State","AR","Category",7,"Category2","Two-Year")</f>
        <v>0</v>
      </c>
      <c r="K341" s="118">
        <f t="shared" si="45"/>
        <v>0</v>
      </c>
      <c r="L341" s="126">
        <f>+GETPIVOTDATA(" New Single Rnk avg",'Averages Pivot Table'!$A$3,"State","AR","Category",7,"Category2","Two-Year")</f>
        <v>0</v>
      </c>
      <c r="M341" s="118">
        <f t="shared" si="46"/>
        <v>0</v>
      </c>
      <c r="N341" s="126">
        <f>+GETPIVOTDATA(" New All Ranks avg",'Averages Pivot Table'!$A$3,"State","AR","Category",7,"Category2","Two-Year")</f>
        <v>0</v>
      </c>
      <c r="O341" s="118">
        <f t="shared" si="47"/>
        <v>0</v>
      </c>
    </row>
    <row r="342" spans="1:19" ht="12.95" customHeight="1" x14ac:dyDescent="0.25">
      <c r="A342" s="132" t="s">
        <v>221</v>
      </c>
      <c r="B342" s="126">
        <f>+GETPIVOTDATA(" New Prof avg",'Averages Pivot Table'!$A$3,"State","DE","Category",7,"Category2","Two-Year")</f>
        <v>0</v>
      </c>
      <c r="C342" s="118">
        <f t="shared" si="48"/>
        <v>0</v>
      </c>
      <c r="D342" s="126">
        <f>+GETPIVOTDATA(" New Asc. avg",'Averages Pivot Table'!$A$3,"State","DE","Category",7,"Category2","Two-Year")</f>
        <v>0</v>
      </c>
      <c r="E342" s="118">
        <f t="shared" si="48"/>
        <v>0</v>
      </c>
      <c r="F342" s="126">
        <f>+GETPIVOTDATA(" New Ast. avg",'Averages Pivot Table'!$A$3,"State","DE","Category",7,"Category2","Two-Year")</f>
        <v>0</v>
      </c>
      <c r="G342" s="118">
        <f t="shared" si="43"/>
        <v>0</v>
      </c>
      <c r="H342" s="126">
        <f>+GETPIVOTDATA(" New Inst. avg",'Averages Pivot Table'!$A$3,"State","DE","Category",7,"Category2","Two-Year")</f>
        <v>0</v>
      </c>
      <c r="I342" s="118">
        <f t="shared" si="44"/>
        <v>0</v>
      </c>
      <c r="J342" s="126">
        <f>+GETPIVOTDATA(" New Undesg. avg",'Averages Pivot Table'!$A$3,"State","DE","Category",7,"Category2","Two-Year")</f>
        <v>0</v>
      </c>
      <c r="K342" s="118">
        <f t="shared" si="45"/>
        <v>0</v>
      </c>
      <c r="L342" s="126">
        <f>+GETPIVOTDATA(" New Single Rnk avg",'Averages Pivot Table'!$A$3,"State","DE","Category",7,"Category2","Two-Year")</f>
        <v>0</v>
      </c>
      <c r="M342" s="118">
        <f t="shared" si="46"/>
        <v>0</v>
      </c>
      <c r="N342" s="126">
        <f>+GETPIVOTDATA(" New All Ranks avg",'Averages Pivot Table'!$A$3,"State","DE","Category",7,"Category2","Two-Year")</f>
        <v>0</v>
      </c>
      <c r="O342" s="118">
        <f t="shared" si="47"/>
        <v>0</v>
      </c>
    </row>
    <row r="343" spans="1:19" ht="12.95" customHeight="1" x14ac:dyDescent="0.25">
      <c r="A343" s="132" t="s">
        <v>207</v>
      </c>
      <c r="B343" s="126">
        <f>+GETPIVOTDATA(" New Prof avg",'Averages Pivot Table'!$A$3,"State","FL","Category",7,"Category2","Two-Year")</f>
        <v>0</v>
      </c>
      <c r="C343" s="118">
        <f t="shared" si="48"/>
        <v>0</v>
      </c>
      <c r="D343" s="126">
        <f>+GETPIVOTDATA(" New Asc. avg",'Averages Pivot Table'!$A$3,"State","FL","Category",7,"Category2","Two-Year")</f>
        <v>0</v>
      </c>
      <c r="E343" s="118">
        <f t="shared" si="48"/>
        <v>0</v>
      </c>
      <c r="F343" s="126">
        <f>+GETPIVOTDATA(" New Ast. avg",'Averages Pivot Table'!$A$3,"State","FL","Category",7,"Category2","Two-Year")</f>
        <v>0</v>
      </c>
      <c r="G343" s="118">
        <f t="shared" si="43"/>
        <v>0</v>
      </c>
      <c r="H343" s="126">
        <f>+GETPIVOTDATA(" New Inst. avg",'Averages Pivot Table'!$A$3,"State","FL","Category",7,"Category2","Two-Year")</f>
        <v>0</v>
      </c>
      <c r="I343" s="118">
        <f t="shared" si="44"/>
        <v>0</v>
      </c>
      <c r="J343" s="126">
        <f>+GETPIVOTDATA(" New Undesg. avg",'Averages Pivot Table'!$A$3,"State","FL","Category",7,"Category2","Two-Year")</f>
        <v>0</v>
      </c>
      <c r="K343" s="118">
        <f t="shared" si="45"/>
        <v>0</v>
      </c>
      <c r="L343" s="126">
        <f>+GETPIVOTDATA(" New Single Rnk avg",'Averages Pivot Table'!$A$3,"State","FL","Category",7,"Category2","Two-Year")</f>
        <v>57320.089237668159</v>
      </c>
      <c r="M343" s="118">
        <f t="shared" si="46"/>
        <v>1</v>
      </c>
      <c r="N343" s="126">
        <f>+GETPIVOTDATA(" New All Ranks avg",'Averages Pivot Table'!$A$3,"State","FL","Category",7,"Category2","Two-Year")</f>
        <v>57320.089237668159</v>
      </c>
      <c r="O343" s="118">
        <f t="shared" si="47"/>
        <v>1</v>
      </c>
    </row>
    <row r="344" spans="1:19" ht="12.95" customHeight="1" x14ac:dyDescent="0.25">
      <c r="A344" s="132"/>
      <c r="B344" s="126"/>
      <c r="C344" s="118">
        <f t="shared" si="48"/>
        <v>0</v>
      </c>
      <c r="D344" s="126"/>
      <c r="E344" s="118">
        <f t="shared" si="48"/>
        <v>0</v>
      </c>
      <c r="F344" s="126"/>
      <c r="G344" s="118">
        <f t="shared" si="43"/>
        <v>0</v>
      </c>
      <c r="H344" s="126"/>
      <c r="I344" s="118">
        <f t="shared" si="44"/>
        <v>0</v>
      </c>
      <c r="J344" s="126"/>
      <c r="K344" s="118">
        <f t="shared" si="45"/>
        <v>0</v>
      </c>
      <c r="L344" s="126"/>
      <c r="M344" s="118">
        <f t="shared" si="46"/>
        <v>0</v>
      </c>
      <c r="N344" s="126"/>
      <c r="O344" s="118">
        <f t="shared" si="47"/>
        <v>0</v>
      </c>
    </row>
    <row r="345" spans="1:19" ht="12.95" customHeight="1" x14ac:dyDescent="0.25">
      <c r="A345" s="132" t="s">
        <v>208</v>
      </c>
      <c r="B345" s="126">
        <f>+GETPIVOTDATA(" New Prof avg",'Averages Pivot Table'!$A$3,"State","GA","Category",7,"Category2","Two-Year")</f>
        <v>65817.522785365858</v>
      </c>
      <c r="C345" s="118">
        <f t="shared" si="48"/>
        <v>2</v>
      </c>
      <c r="D345" s="126">
        <f>+GETPIVOTDATA(" New Asc. avg",'Averages Pivot Table'!$A$3,"State","GA","Category",7,"Category2","Two-Year")</f>
        <v>53180.431160902255</v>
      </c>
      <c r="E345" s="118">
        <f t="shared" si="48"/>
        <v>2</v>
      </c>
      <c r="F345" s="126">
        <f>+GETPIVOTDATA(" New Ast. avg",'Averages Pivot Table'!$A$3,"State","GA","Category",7,"Category2","Two-Year")</f>
        <v>45379.460619565216</v>
      </c>
      <c r="G345" s="118">
        <f t="shared" si="43"/>
        <v>2</v>
      </c>
      <c r="H345" s="126">
        <f>+GETPIVOTDATA(" New Inst. avg",'Averages Pivot Table'!$A$3,"State","GA","Category",7,"Category2","Two-Year")</f>
        <v>41034.088235294119</v>
      </c>
      <c r="I345" s="118">
        <f t="shared" si="44"/>
        <v>2</v>
      </c>
      <c r="J345" s="126">
        <f>+GETPIVOTDATA(" New Undesg. avg",'Averages Pivot Table'!$A$3,"State","GA","Category",7,"Category2","Two-Year")</f>
        <v>35327.970588235294</v>
      </c>
      <c r="K345" s="118">
        <f t="shared" si="45"/>
        <v>2</v>
      </c>
      <c r="L345" s="126">
        <f>+GETPIVOTDATA(" New Single Rnk avg",'Averages Pivot Table'!$A$3,"State","GA","Category",7,"Category2","Two-Year")</f>
        <v>0</v>
      </c>
      <c r="M345" s="118">
        <f t="shared" si="46"/>
        <v>0</v>
      </c>
      <c r="N345" s="126">
        <f>+GETPIVOTDATA(" New All Ranks avg",'Averages Pivot Table'!$A$3,"State","GA","Category",7,"Category2","Two-Year")</f>
        <v>50141.680871092081</v>
      </c>
      <c r="O345" s="118">
        <f t="shared" si="47"/>
        <v>4</v>
      </c>
    </row>
    <row r="346" spans="1:19" ht="12.95" customHeight="1" x14ac:dyDescent="0.25">
      <c r="A346" s="132" t="s">
        <v>209</v>
      </c>
      <c r="B346" s="126">
        <f>+GETPIVOTDATA(" New Prof avg",'Averages Pivot Table'!$A$3,"State","KY","Category",7,"Category2","Two-Year")</f>
        <v>0</v>
      </c>
      <c r="C346" s="118">
        <f t="shared" si="48"/>
        <v>0</v>
      </c>
      <c r="D346" s="126">
        <f>+GETPIVOTDATA(" New Asc. avg",'Averages Pivot Table'!$A$3,"State","KY","Category",7,"Category2","Two-Year")</f>
        <v>0</v>
      </c>
      <c r="E346" s="118">
        <f t="shared" si="48"/>
        <v>0</v>
      </c>
      <c r="F346" s="126">
        <f>+GETPIVOTDATA(" New Ast. avg",'Averages Pivot Table'!$A$3,"State","KY","Category",7,"Category2","Two-Year")</f>
        <v>0</v>
      </c>
      <c r="G346" s="118">
        <f t="shared" si="43"/>
        <v>0</v>
      </c>
      <c r="H346" s="126">
        <f>+GETPIVOTDATA(" New Inst. avg",'Averages Pivot Table'!$A$3,"State","KY","Category",7,"Category2","Two-Year")</f>
        <v>0</v>
      </c>
      <c r="I346" s="118">
        <f t="shared" si="44"/>
        <v>0</v>
      </c>
      <c r="J346" s="126">
        <f>+GETPIVOTDATA(" New Undesg. avg",'Averages Pivot Table'!$A$3,"State","KY","Category",7,"Category2","Two-Year")</f>
        <v>0</v>
      </c>
      <c r="K346" s="118">
        <f t="shared" si="45"/>
        <v>0</v>
      </c>
      <c r="L346" s="126">
        <f>+GETPIVOTDATA(" New Single Rnk avg",'Averages Pivot Table'!$A$3,"State","KY","Category",7,"Category2","Two-Year")</f>
        <v>0</v>
      </c>
      <c r="M346" s="118">
        <f t="shared" si="46"/>
        <v>0</v>
      </c>
      <c r="N346" s="126">
        <f>+GETPIVOTDATA(" New All Ranks avg",'Averages Pivot Table'!$A$3,"State","KY","Category",7,"Category2","Two-Year")</f>
        <v>0</v>
      </c>
      <c r="O346" s="118">
        <f t="shared" si="47"/>
        <v>0</v>
      </c>
    </row>
    <row r="347" spans="1:19" ht="12.95" customHeight="1" x14ac:dyDescent="0.25">
      <c r="A347" s="132" t="s">
        <v>210</v>
      </c>
      <c r="B347" s="126">
        <f>+GETPIVOTDATA(" New Prof avg",'Averages Pivot Table'!$A$3,"State","LA","Category",7,"Category2","Two-Year")</f>
        <v>0</v>
      </c>
      <c r="C347" s="118">
        <f t="shared" si="48"/>
        <v>0</v>
      </c>
      <c r="D347" s="126">
        <f>+GETPIVOTDATA(" New Asc. avg",'Averages Pivot Table'!$A$3,"State","LA","Category",7,"Category2","Two-Year")</f>
        <v>0</v>
      </c>
      <c r="E347" s="118">
        <f t="shared" si="48"/>
        <v>0</v>
      </c>
      <c r="F347" s="126">
        <f>+GETPIVOTDATA(" New Ast. avg",'Averages Pivot Table'!$A$3,"State","LA","Category",7,"Category2","Two-Year")</f>
        <v>0</v>
      </c>
      <c r="G347" s="118">
        <f t="shared" si="43"/>
        <v>0</v>
      </c>
      <c r="H347" s="126">
        <f>+GETPIVOTDATA(" New Inst. avg",'Averages Pivot Table'!$A$3,"State","LA","Category",7,"Category2","Two-Year")</f>
        <v>0</v>
      </c>
      <c r="I347" s="118">
        <f t="shared" si="44"/>
        <v>0</v>
      </c>
      <c r="J347" s="126">
        <f>+GETPIVOTDATA(" New Undesg. avg",'Averages Pivot Table'!$A$3,"State","LA","Category",7,"Category2","Two-Year")</f>
        <v>0</v>
      </c>
      <c r="K347" s="118">
        <f t="shared" si="45"/>
        <v>0</v>
      </c>
      <c r="L347" s="126">
        <f>+GETPIVOTDATA(" New Single Rnk avg",'Averages Pivot Table'!$A$3,"State","LA","Category",7,"Category2","Two-Year")</f>
        <v>0</v>
      </c>
      <c r="M347" s="118">
        <f t="shared" si="46"/>
        <v>0</v>
      </c>
      <c r="N347" s="126">
        <f>+GETPIVOTDATA(" New All Ranks avg",'Averages Pivot Table'!$A$3,"State","LA","Category",7,"Category2","Two-Year")</f>
        <v>0</v>
      </c>
      <c r="O347" s="118">
        <f t="shared" si="47"/>
        <v>0</v>
      </c>
    </row>
    <row r="348" spans="1:19" ht="12.95" customHeight="1" x14ac:dyDescent="0.25">
      <c r="A348" s="132" t="s">
        <v>211</v>
      </c>
      <c r="B348" s="126">
        <f>+GETPIVOTDATA(" New Prof avg",'Averages Pivot Table'!$A$3,"State","MD","Category",7,"Category2","Two-Year")</f>
        <v>0</v>
      </c>
      <c r="C348" s="118">
        <f t="shared" si="48"/>
        <v>0</v>
      </c>
      <c r="D348" s="126">
        <f>+GETPIVOTDATA(" New Asc. avg",'Averages Pivot Table'!$A$3,"State","MD","Category",7,"Category2","Two-Year")</f>
        <v>0</v>
      </c>
      <c r="E348" s="118">
        <f t="shared" si="48"/>
        <v>0</v>
      </c>
      <c r="F348" s="126">
        <f>+GETPIVOTDATA(" New Ast. avg",'Averages Pivot Table'!$A$3,"State","MD","Category",7,"Category2","Two-Year")</f>
        <v>0</v>
      </c>
      <c r="G348" s="118">
        <f t="shared" si="43"/>
        <v>0</v>
      </c>
      <c r="H348" s="126">
        <f>+GETPIVOTDATA(" New Inst. avg",'Averages Pivot Table'!$A$3,"State","MD","Category",7,"Category2","Two-Year")</f>
        <v>0</v>
      </c>
      <c r="I348" s="118">
        <f t="shared" si="44"/>
        <v>0</v>
      </c>
      <c r="J348" s="126">
        <f>+GETPIVOTDATA(" New Undesg. avg",'Averages Pivot Table'!$A$3,"State","MD","Category",7,"Category2","Two-Year")</f>
        <v>0</v>
      </c>
      <c r="K348" s="118">
        <f t="shared" si="45"/>
        <v>0</v>
      </c>
      <c r="L348" s="126">
        <f>+GETPIVOTDATA(" New Single Rnk avg",'Averages Pivot Table'!$A$3,"State","MD","Category",7,"Category2","Two-Year")</f>
        <v>0</v>
      </c>
      <c r="M348" s="118">
        <f t="shared" si="46"/>
        <v>0</v>
      </c>
      <c r="N348" s="126">
        <f>+GETPIVOTDATA(" New All Ranks avg",'Averages Pivot Table'!$A$3,"State","MD","Category",7,"Category2","Two-Year")</f>
        <v>0</v>
      </c>
      <c r="O348" s="118">
        <f t="shared" si="47"/>
        <v>0</v>
      </c>
    </row>
    <row r="349" spans="1:19" ht="12.95" customHeight="1" x14ac:dyDescent="0.25">
      <c r="A349" s="132"/>
      <c r="B349" s="126"/>
      <c r="C349" s="118">
        <f t="shared" si="48"/>
        <v>0</v>
      </c>
      <c r="D349" s="126"/>
      <c r="E349" s="118">
        <f t="shared" si="48"/>
        <v>0</v>
      </c>
      <c r="F349" s="126"/>
      <c r="G349" s="118">
        <f t="shared" si="43"/>
        <v>0</v>
      </c>
      <c r="H349" s="126"/>
      <c r="I349" s="118">
        <f t="shared" si="44"/>
        <v>0</v>
      </c>
      <c r="J349" s="126"/>
      <c r="K349" s="118">
        <f t="shared" si="45"/>
        <v>0</v>
      </c>
      <c r="L349" s="126"/>
      <c r="M349" s="118">
        <f t="shared" si="46"/>
        <v>0</v>
      </c>
      <c r="N349" s="126"/>
      <c r="O349" s="118">
        <f t="shared" si="47"/>
        <v>0</v>
      </c>
    </row>
    <row r="350" spans="1:19" ht="12.95" customHeight="1" x14ac:dyDescent="0.25">
      <c r="A350" s="132" t="s">
        <v>212</v>
      </c>
      <c r="B350" s="126">
        <f>+GETPIVOTDATA(" New Prof avg",'Averages Pivot Table'!$A$3,"State","MS","Category",7,"Category2","Two-Year")</f>
        <v>0</v>
      </c>
      <c r="C350" s="118">
        <f t="shared" si="48"/>
        <v>0</v>
      </c>
      <c r="D350" s="126">
        <f>+GETPIVOTDATA(" New Asc. avg",'Averages Pivot Table'!$A$3,"State","MS","Category",7,"Category2","Two-Year")</f>
        <v>0</v>
      </c>
      <c r="E350" s="118">
        <f t="shared" si="48"/>
        <v>0</v>
      </c>
      <c r="F350" s="126">
        <f>+GETPIVOTDATA(" New Ast. avg",'Averages Pivot Table'!$A$3,"State","MS","Category",7,"Category2","Two-Year")</f>
        <v>0</v>
      </c>
      <c r="G350" s="118">
        <f t="shared" si="43"/>
        <v>0</v>
      </c>
      <c r="H350" s="126">
        <f>+GETPIVOTDATA(" New Inst. avg",'Averages Pivot Table'!$A$3,"State","MS","Category",7,"Category2","Two-Year")</f>
        <v>0</v>
      </c>
      <c r="I350" s="118">
        <f t="shared" si="44"/>
        <v>0</v>
      </c>
      <c r="J350" s="126">
        <f>+GETPIVOTDATA(" New Undesg. avg",'Averages Pivot Table'!$A$3,"State","MS","Category",7,"Category2","Two-Year")</f>
        <v>0</v>
      </c>
      <c r="K350" s="118">
        <f t="shared" si="45"/>
        <v>0</v>
      </c>
      <c r="L350" s="126">
        <f>+GETPIVOTDATA(" New Single Rnk avg",'Averages Pivot Table'!$A$3,"State","MS","Category",7,"Category2","Two-Year")</f>
        <v>0</v>
      </c>
      <c r="M350" s="118">
        <f t="shared" si="46"/>
        <v>0</v>
      </c>
      <c r="N350" s="126">
        <f>+GETPIVOTDATA(" New All Ranks avg",'Averages Pivot Table'!$A$3,"State","MS","Category",7,"Category2","Two-Year")</f>
        <v>0</v>
      </c>
      <c r="O350" s="118">
        <f t="shared" si="47"/>
        <v>0</v>
      </c>
    </row>
    <row r="351" spans="1:19" ht="12.95" customHeight="1" x14ac:dyDescent="0.25">
      <c r="A351" s="132" t="s">
        <v>213</v>
      </c>
      <c r="B351" s="126">
        <f>+GETPIVOTDATA(" New Prof avg",'Averages Pivot Table'!$A$3,"State","NC","Category",7,"Category2","Two-Year")</f>
        <v>0</v>
      </c>
      <c r="C351" s="118">
        <f t="shared" si="48"/>
        <v>0</v>
      </c>
      <c r="D351" s="126">
        <f>+GETPIVOTDATA(" New Asc. avg",'Averages Pivot Table'!$A$3,"State","NC","Category",7,"Category2","Two-Year")</f>
        <v>0</v>
      </c>
      <c r="E351" s="118">
        <f t="shared" si="48"/>
        <v>0</v>
      </c>
      <c r="F351" s="126">
        <f>+GETPIVOTDATA(" New Ast. avg",'Averages Pivot Table'!$A$3,"State","NC","Category",7,"Category2","Two-Year")</f>
        <v>0</v>
      </c>
      <c r="G351" s="118">
        <f t="shared" si="43"/>
        <v>0</v>
      </c>
      <c r="H351" s="126">
        <f>+GETPIVOTDATA(" New Inst. avg",'Averages Pivot Table'!$A$3,"State","NC","Category",7,"Category2","Two-Year")</f>
        <v>0</v>
      </c>
      <c r="I351" s="118">
        <f t="shared" si="44"/>
        <v>0</v>
      </c>
      <c r="J351" s="126">
        <f>+GETPIVOTDATA(" New Undesg. avg",'Averages Pivot Table'!$A$3,"State","NC","Category",7,"Category2","Two-Year")</f>
        <v>0</v>
      </c>
      <c r="K351" s="118">
        <f t="shared" si="45"/>
        <v>0</v>
      </c>
      <c r="L351" s="126">
        <f>+GETPIVOTDATA(" New Single Rnk avg",'Averages Pivot Table'!$A$3,"State","NC","Category",7,"Category2","Two-Year")</f>
        <v>0</v>
      </c>
      <c r="M351" s="118">
        <f t="shared" si="46"/>
        <v>0</v>
      </c>
      <c r="N351" s="126">
        <f>+GETPIVOTDATA(" New All Ranks avg",'Averages Pivot Table'!$A$3,"State","NC","Category",7,"Category2","Two-Year")</f>
        <v>0</v>
      </c>
      <c r="O351" s="118">
        <f t="shared" si="47"/>
        <v>0</v>
      </c>
    </row>
    <row r="352" spans="1:19" ht="12.95" customHeight="1" x14ac:dyDescent="0.25">
      <c r="A352" s="132" t="s">
        <v>214</v>
      </c>
      <c r="B352" s="126">
        <f>+GETPIVOTDATA(" New Prof avg",'Averages Pivot Table'!$A$3,"State","OK","Category",7,"Category2","Two-Year")</f>
        <v>0</v>
      </c>
      <c r="C352" s="118">
        <f t="shared" si="48"/>
        <v>0</v>
      </c>
      <c r="D352" s="126">
        <f>+GETPIVOTDATA(" New Asc. avg",'Averages Pivot Table'!$A$3,"State","OK","Category",7,"Category2","Two-Year")</f>
        <v>0</v>
      </c>
      <c r="E352" s="118">
        <f t="shared" si="48"/>
        <v>0</v>
      </c>
      <c r="F352" s="126">
        <f>+GETPIVOTDATA(" New Ast. avg",'Averages Pivot Table'!$A$3,"State","OK","Category",7,"Category2","Two-Year")</f>
        <v>0</v>
      </c>
      <c r="G352" s="118">
        <f t="shared" si="43"/>
        <v>0</v>
      </c>
      <c r="H352" s="126">
        <f>+GETPIVOTDATA(" New Inst. avg",'Averages Pivot Table'!$A$3,"State","OK","Category",7,"Category2","Two-Year")</f>
        <v>0</v>
      </c>
      <c r="I352" s="118">
        <f t="shared" si="44"/>
        <v>0</v>
      </c>
      <c r="J352" s="126">
        <f>+GETPIVOTDATA(" New Undesg. avg",'Averages Pivot Table'!$A$3,"State","OK","Category",7,"Category2","Two-Year")</f>
        <v>0</v>
      </c>
      <c r="K352" s="118">
        <f t="shared" si="45"/>
        <v>0</v>
      </c>
      <c r="L352" s="126">
        <f>+GETPIVOTDATA(" New Single Rnk avg",'Averages Pivot Table'!$A$3,"State","OK","Category",7,"Category2","Two-Year")</f>
        <v>55818.207547169812</v>
      </c>
      <c r="M352" s="118">
        <f t="shared" si="46"/>
        <v>2</v>
      </c>
      <c r="N352" s="126">
        <f>+GETPIVOTDATA(" New All Ranks avg",'Averages Pivot Table'!$A$3,"State","OK","Category",7,"Category2","Two-Year")</f>
        <v>55818.207547169812</v>
      </c>
      <c r="O352" s="118">
        <f t="shared" si="47"/>
        <v>2</v>
      </c>
    </row>
    <row r="353" spans="1:19" ht="12.95" customHeight="1" x14ac:dyDescent="0.25">
      <c r="A353" s="132" t="s">
        <v>215</v>
      </c>
      <c r="B353" s="126">
        <f>+GETPIVOTDATA(" New Prof avg",'Averages Pivot Table'!$A$3,"State","SC","Category",7,"Category2","Two-Year")</f>
        <v>0</v>
      </c>
      <c r="C353" s="118">
        <f t="shared" si="48"/>
        <v>0</v>
      </c>
      <c r="D353" s="126">
        <f>+GETPIVOTDATA(" New Asc. avg",'Averages Pivot Table'!$A$3,"State","SC","Category",7,"Category2","Two-Year")</f>
        <v>0</v>
      </c>
      <c r="E353" s="118">
        <f t="shared" si="48"/>
        <v>0</v>
      </c>
      <c r="F353" s="126">
        <f>+GETPIVOTDATA(" New Ast. avg",'Averages Pivot Table'!$A$3,"State","SC","Category",7,"Category2","Two-Year")</f>
        <v>0</v>
      </c>
      <c r="G353" s="118">
        <f t="shared" si="43"/>
        <v>0</v>
      </c>
      <c r="H353" s="126">
        <f>+GETPIVOTDATA(" New Inst. avg",'Averages Pivot Table'!$A$3,"State","SC","Category",7,"Category2","Two-Year")</f>
        <v>0</v>
      </c>
      <c r="I353" s="118">
        <f t="shared" si="44"/>
        <v>0</v>
      </c>
      <c r="J353" s="126">
        <f>+GETPIVOTDATA(" New Undesg. avg",'Averages Pivot Table'!$A$3,"State","SC","Category",7,"Category2","Two-Year")</f>
        <v>0</v>
      </c>
      <c r="K353" s="118">
        <f t="shared" si="45"/>
        <v>0</v>
      </c>
      <c r="L353" s="126">
        <f>+GETPIVOTDATA(" New Single Rnk avg",'Averages Pivot Table'!$A$3,"State","SC","Category",7,"Category2","Two-Year")</f>
        <v>0</v>
      </c>
      <c r="M353" s="118">
        <f t="shared" si="46"/>
        <v>0</v>
      </c>
      <c r="N353" s="126">
        <f>+GETPIVOTDATA(" New All Ranks avg",'Averages Pivot Table'!$A$3,"State","SC","Category",7,"Category2","Two-Year")</f>
        <v>0</v>
      </c>
      <c r="O353" s="118">
        <f t="shared" si="47"/>
        <v>0</v>
      </c>
    </row>
    <row r="354" spans="1:19" ht="12.95" customHeight="1" x14ac:dyDescent="0.25">
      <c r="A354" s="132"/>
      <c r="B354" s="126"/>
      <c r="C354" s="118">
        <f t="shared" si="48"/>
        <v>0</v>
      </c>
      <c r="D354" s="126"/>
      <c r="E354" s="118">
        <f t="shared" si="48"/>
        <v>0</v>
      </c>
      <c r="F354" s="126"/>
      <c r="G354" s="118">
        <f t="shared" si="43"/>
        <v>0</v>
      </c>
      <c r="H354" s="126"/>
      <c r="I354" s="118">
        <f t="shared" si="44"/>
        <v>0</v>
      </c>
      <c r="J354" s="126"/>
      <c r="K354" s="118">
        <f t="shared" si="45"/>
        <v>0</v>
      </c>
      <c r="L354" s="126"/>
      <c r="M354" s="118">
        <f t="shared" si="46"/>
        <v>0</v>
      </c>
      <c r="N354" s="126"/>
      <c r="O354" s="118">
        <f t="shared" si="47"/>
        <v>0</v>
      </c>
    </row>
    <row r="355" spans="1:19" ht="12.95" customHeight="1" x14ac:dyDescent="0.25">
      <c r="A355" s="132" t="s">
        <v>216</v>
      </c>
      <c r="B355" s="563">
        <f>+GETPIVOTDATA(" New Prof avg",'Averages Pivot Table'!$A$3,"State","TN","Category",7,"Category2","Two-Year")</f>
        <v>0</v>
      </c>
      <c r="C355" s="118">
        <f t="shared" si="48"/>
        <v>0</v>
      </c>
      <c r="D355" s="563">
        <f>+GETPIVOTDATA(" New Asc. avg",'Averages Pivot Table'!$A$3,"State","TN","Category",7,"Category2","Two-Year")</f>
        <v>0</v>
      </c>
      <c r="E355" s="118">
        <f t="shared" si="48"/>
        <v>0</v>
      </c>
      <c r="F355" s="563">
        <f>+GETPIVOTDATA(" New Ast. avg",'Averages Pivot Table'!$A$3,"State","TN","Category",7,"Category2","Two-Year")</f>
        <v>0</v>
      </c>
      <c r="G355" s="118">
        <f t="shared" si="43"/>
        <v>0</v>
      </c>
      <c r="H355" s="563">
        <f>+GETPIVOTDATA(" New Inst. avg",'Averages Pivot Table'!$A$3,"State","TN","Category",7,"Category2","Two-Year")</f>
        <v>0</v>
      </c>
      <c r="I355" s="118">
        <f t="shared" si="44"/>
        <v>0</v>
      </c>
      <c r="J355" s="563">
        <f>+GETPIVOTDATA(" New Undesg. avg",'Averages Pivot Table'!$A$3,"State","TN","Category",7,"Category2","Two-Year")</f>
        <v>0</v>
      </c>
      <c r="K355" s="118">
        <f t="shared" si="45"/>
        <v>0</v>
      </c>
      <c r="L355" s="563">
        <f>+GETPIVOTDATA(" New Single Rnk avg",'Averages Pivot Table'!$A$3,"State","TN","Category",7,"Category2","Two-Year")</f>
        <v>0</v>
      </c>
      <c r="M355" s="118">
        <f t="shared" si="46"/>
        <v>0</v>
      </c>
      <c r="N355" s="126">
        <f>+GETPIVOTDATA(" New All Ranks avg",'Averages Pivot Table'!$A$3,"State","TN","Category",7,"Category2","Two-Year")</f>
        <v>0</v>
      </c>
      <c r="O355" s="118">
        <f t="shared" si="47"/>
        <v>0</v>
      </c>
    </row>
    <row r="356" spans="1:19" ht="12.95" customHeight="1" x14ac:dyDescent="0.25">
      <c r="A356" s="132" t="s">
        <v>217</v>
      </c>
      <c r="B356" s="563">
        <f>+GETPIVOTDATA(" New Prof avg",'Averages Pivot Table'!$A$3,"State","TX","Category",7,"Category2","Two-Year")</f>
        <v>66057.148861290319</v>
      </c>
      <c r="C356" s="118">
        <f t="shared" si="48"/>
        <v>1</v>
      </c>
      <c r="D356" s="563">
        <f>+GETPIVOTDATA(" New Asc. avg",'Averages Pivot Table'!$A$3,"State","TX","Category",7,"Category2","Two-Year")</f>
        <v>52460.354429729727</v>
      </c>
      <c r="E356" s="118">
        <f t="shared" si="48"/>
        <v>3</v>
      </c>
      <c r="F356" s="563">
        <f>+GETPIVOTDATA(" New Ast. avg",'Averages Pivot Table'!$A$3,"State","TX","Category",7,"Category2","Two-Year")</f>
        <v>49566.0908375</v>
      </c>
      <c r="G356" s="118">
        <f t="shared" si="43"/>
        <v>1</v>
      </c>
      <c r="H356" s="563">
        <f>+GETPIVOTDATA(" New Inst. avg",'Averages Pivot Table'!$A$3,"State","TX","Category",7,"Category2","Two-Year")</f>
        <v>50921.499365863456</v>
      </c>
      <c r="I356" s="118">
        <f t="shared" si="44"/>
        <v>1</v>
      </c>
      <c r="J356" s="563">
        <f>+GETPIVOTDATA(" New Undesg. avg",'Averages Pivot Table'!$A$3,"State","TX","Category",7,"Category2","Two-Year")</f>
        <v>0</v>
      </c>
      <c r="K356" s="118">
        <f t="shared" si="45"/>
        <v>0</v>
      </c>
      <c r="L356" s="563">
        <f>+GETPIVOTDATA(" New Single Rnk avg",'Averages Pivot Table'!$A$3,"State","TX","Category",7,"Category2","Two-Year")</f>
        <v>43164.959199999998</v>
      </c>
      <c r="M356" s="118">
        <f t="shared" si="46"/>
        <v>3</v>
      </c>
      <c r="N356" s="126">
        <f>+GETPIVOTDATA(" New All Ranks avg",'Averages Pivot Table'!$A$3,"State","TX","Category",7,"Category2","Two-Year")</f>
        <v>52118.029006077348</v>
      </c>
      <c r="O356" s="118">
        <f t="shared" si="47"/>
        <v>3</v>
      </c>
    </row>
    <row r="357" spans="1:19" ht="12.95" customHeight="1" x14ac:dyDescent="0.25">
      <c r="A357" s="132" t="s">
        <v>218</v>
      </c>
      <c r="B357" s="563">
        <f>+GETPIVOTDATA(" New Prof avg",'Averages Pivot Table'!$A$3,"State","VA","Category",7,"Category2","Two-Year")</f>
        <v>0</v>
      </c>
      <c r="C357" s="118">
        <f t="shared" si="48"/>
        <v>0</v>
      </c>
      <c r="D357" s="563">
        <f>+GETPIVOTDATA(" New Asc. avg",'Averages Pivot Table'!$A$3,"State","VA","Category",7,"Category2","Two-Year")</f>
        <v>0</v>
      </c>
      <c r="E357" s="118">
        <f t="shared" si="48"/>
        <v>0</v>
      </c>
      <c r="F357" s="563">
        <f>+GETPIVOTDATA(" New Ast. avg",'Averages Pivot Table'!$A$3,"State","VA","Category",7,"Category2","Two-Year")</f>
        <v>0</v>
      </c>
      <c r="G357" s="118">
        <f t="shared" si="43"/>
        <v>0</v>
      </c>
      <c r="H357" s="563">
        <f>+GETPIVOTDATA(" New Inst. avg",'Averages Pivot Table'!$A$3,"State","VA","Category",7,"Category2","Two-Year")</f>
        <v>0</v>
      </c>
      <c r="I357" s="118">
        <f t="shared" si="44"/>
        <v>0</v>
      </c>
      <c r="J357" s="563">
        <f>+GETPIVOTDATA(" New Undesg. avg",'Averages Pivot Table'!$A$3,"State","VA","Category",7,"Category2","Two-Year")</f>
        <v>0</v>
      </c>
      <c r="K357" s="118">
        <f t="shared" si="45"/>
        <v>0</v>
      </c>
      <c r="L357" s="563">
        <f>+GETPIVOTDATA(" New Single Rnk avg",'Averages Pivot Table'!$A$3,"State","VA","Category",7,"Category2","Two-Year")</f>
        <v>0</v>
      </c>
      <c r="M357" s="118">
        <f t="shared" si="46"/>
        <v>0</v>
      </c>
      <c r="N357" s="126">
        <f>+GETPIVOTDATA(" New All Ranks avg",'Averages Pivot Table'!$A$3,"State","VA","Category",7,"Category2","Two-Year")</f>
        <v>0</v>
      </c>
      <c r="O357" s="118">
        <f t="shared" si="47"/>
        <v>0</v>
      </c>
    </row>
    <row r="358" spans="1:19" ht="12.95" customHeight="1" x14ac:dyDescent="0.25">
      <c r="A358" s="6" t="s">
        <v>219</v>
      </c>
      <c r="B358" s="566">
        <f>+GETPIVOTDATA(" New Prof avg",'Averages Pivot Table'!$A$3,"State","WV","Category",7,"Category2","Two-Year")</f>
        <v>61352.033287804879</v>
      </c>
      <c r="C358" s="119">
        <f t="shared" si="48"/>
        <v>3</v>
      </c>
      <c r="D358" s="566">
        <f>+GETPIVOTDATA(" New Asc. avg",'Averages Pivot Table'!$A$3,"State","WV","Category",7,"Category2","Two-Year")</f>
        <v>53871.63636363636</v>
      </c>
      <c r="E358" s="119">
        <f t="shared" si="48"/>
        <v>1</v>
      </c>
      <c r="F358" s="566">
        <f>+GETPIVOTDATA(" New Ast. avg",'Averages Pivot Table'!$A$3,"State","WV","Category",7,"Category2","Two-Year")</f>
        <v>44760.663677419354</v>
      </c>
      <c r="G358" s="119">
        <f t="shared" si="43"/>
        <v>3</v>
      </c>
      <c r="H358" s="566">
        <f>+GETPIVOTDATA(" New Inst. avg",'Averages Pivot Table'!$A$3,"State","WV","Category",7,"Category2","Two-Year")</f>
        <v>39274.812324324324</v>
      </c>
      <c r="I358" s="119">
        <f t="shared" si="44"/>
        <v>3</v>
      </c>
      <c r="J358" s="566">
        <f>+GETPIVOTDATA(" New Undesg. avg",'Averages Pivot Table'!$A$3,"State","WV","Category",7,"Category2","Two-Year")</f>
        <v>36318.14686666667</v>
      </c>
      <c r="K358" s="119">
        <f t="shared" si="45"/>
        <v>1</v>
      </c>
      <c r="L358" s="566">
        <f>+GETPIVOTDATA(" New Single Rnk avg",'Averages Pivot Table'!$A$3,"State","WV","Category",7,"Category2","Two-Year")</f>
        <v>0</v>
      </c>
      <c r="M358" s="119">
        <f t="shared" si="46"/>
        <v>0</v>
      </c>
      <c r="N358" s="566">
        <f>+GETPIVOTDATA(" New All Ranks avg",'Averages Pivot Table'!$A$3,"State","WV","Category",7,"Category2","Two-Year")</f>
        <v>48368.089069696965</v>
      </c>
      <c r="O358" s="119">
        <f t="shared" si="47"/>
        <v>5</v>
      </c>
    </row>
    <row r="359" spans="1:19" ht="30" customHeight="1" x14ac:dyDescent="0.25">
      <c r="A359" s="672" t="s">
        <v>91</v>
      </c>
      <c r="B359" s="672"/>
      <c r="C359" s="672"/>
      <c r="D359" s="672"/>
      <c r="E359" s="672"/>
      <c r="F359" s="672"/>
      <c r="G359" s="672"/>
      <c r="H359" s="672"/>
      <c r="I359" s="672"/>
      <c r="J359" s="672"/>
      <c r="K359" s="672"/>
      <c r="L359" s="672"/>
      <c r="M359" s="672"/>
      <c r="N359" s="672"/>
      <c r="O359" s="672"/>
    </row>
    <row r="360" spans="1:19" x14ac:dyDescent="0.25">
      <c r="O360" s="157" t="s">
        <v>1083</v>
      </c>
    </row>
    <row r="361" spans="1:19" ht="18" x14ac:dyDescent="0.25">
      <c r="A361" s="544" t="s">
        <v>271</v>
      </c>
      <c r="B361" s="544"/>
      <c r="C361" s="544"/>
      <c r="D361" s="544"/>
      <c r="E361" s="544"/>
      <c r="F361" s="544"/>
      <c r="G361" s="544"/>
      <c r="H361" s="544"/>
      <c r="I361" s="544"/>
      <c r="J361" s="544"/>
      <c r="K361" s="544"/>
      <c r="L361" s="544"/>
      <c r="M361" s="544"/>
      <c r="N361" s="544"/>
      <c r="O361" s="544"/>
    </row>
    <row r="362" spans="1:19" x14ac:dyDescent="0.25">
      <c r="A362" s="588"/>
      <c r="B362" s="93"/>
      <c r="C362" s="93"/>
      <c r="D362" s="93"/>
      <c r="E362" s="93"/>
      <c r="F362" s="93"/>
      <c r="G362" s="93"/>
      <c r="H362" s="93"/>
      <c r="I362" s="93"/>
      <c r="J362" s="93"/>
      <c r="K362" s="93"/>
      <c r="L362" s="93"/>
      <c r="M362" s="93"/>
      <c r="N362" s="93"/>
      <c r="O362" s="93"/>
    </row>
    <row r="363" spans="1:19" x14ac:dyDescent="0.25">
      <c r="A363" s="665" t="s">
        <v>220</v>
      </c>
      <c r="B363" s="665"/>
      <c r="C363" s="665"/>
      <c r="D363" s="665"/>
      <c r="E363" s="665"/>
      <c r="F363" s="665"/>
      <c r="G363" s="665"/>
      <c r="H363" s="665"/>
      <c r="I363" s="665"/>
      <c r="J363" s="665"/>
      <c r="K363" s="665"/>
      <c r="L363" s="665"/>
      <c r="M363" s="665"/>
      <c r="N363" s="665"/>
      <c r="O363" s="665"/>
    </row>
    <row r="364" spans="1:19" x14ac:dyDescent="0.25">
      <c r="A364" s="665" t="s">
        <v>1061</v>
      </c>
      <c r="B364" s="665"/>
      <c r="C364" s="665"/>
      <c r="D364" s="665"/>
      <c r="E364" s="665"/>
      <c r="F364" s="665"/>
      <c r="G364" s="665"/>
      <c r="H364" s="665"/>
      <c r="I364" s="665"/>
      <c r="J364" s="665"/>
      <c r="K364" s="665"/>
      <c r="L364" s="665"/>
      <c r="M364" s="665"/>
      <c r="N364" s="665"/>
      <c r="O364" s="665"/>
    </row>
    <row r="365" spans="1:19" x14ac:dyDescent="0.25">
      <c r="A365" s="132"/>
      <c r="B365" s="132"/>
      <c r="C365" s="132"/>
      <c r="D365" s="132"/>
      <c r="E365" s="132"/>
      <c r="F365" s="132"/>
      <c r="G365" s="132"/>
      <c r="H365" s="132"/>
      <c r="I365" s="132"/>
      <c r="J365" s="132"/>
      <c r="K365" s="132"/>
      <c r="L365" s="132"/>
      <c r="M365" s="132"/>
      <c r="N365" s="132"/>
      <c r="O365" s="132"/>
    </row>
    <row r="366" spans="1:19" ht="31.5" customHeight="1" x14ac:dyDescent="0.25">
      <c r="A366" s="547"/>
      <c r="B366" s="589" t="s">
        <v>99</v>
      </c>
      <c r="C366" s="142"/>
      <c r="D366" s="590" t="s">
        <v>100</v>
      </c>
      <c r="E366" s="591"/>
      <c r="F366" s="590" t="s">
        <v>101</v>
      </c>
      <c r="G366" s="591"/>
      <c r="H366" s="589" t="s">
        <v>102</v>
      </c>
      <c r="I366" s="142"/>
      <c r="J366" s="590" t="s">
        <v>226</v>
      </c>
      <c r="K366" s="591"/>
      <c r="L366" s="142" t="s">
        <v>82</v>
      </c>
      <c r="M366" s="142"/>
      <c r="N366" s="142" t="s">
        <v>84</v>
      </c>
      <c r="O366" s="142"/>
    </row>
    <row r="367" spans="1:19" x14ac:dyDescent="0.25">
      <c r="A367" s="551"/>
      <c r="B367" s="115" t="s">
        <v>103</v>
      </c>
      <c r="C367" s="143" t="s">
        <v>193</v>
      </c>
      <c r="D367" s="115" t="s">
        <v>103</v>
      </c>
      <c r="E367" s="143" t="s">
        <v>193</v>
      </c>
      <c r="F367" s="115" t="s">
        <v>103</v>
      </c>
      <c r="G367" s="143" t="s">
        <v>193</v>
      </c>
      <c r="H367" s="115" t="s">
        <v>103</v>
      </c>
      <c r="I367" s="143" t="s">
        <v>193</v>
      </c>
      <c r="J367" s="115" t="s">
        <v>103</v>
      </c>
      <c r="K367" s="143" t="s">
        <v>193</v>
      </c>
      <c r="L367" s="115" t="s">
        <v>103</v>
      </c>
      <c r="M367" s="143" t="s">
        <v>193</v>
      </c>
      <c r="N367" s="115" t="s">
        <v>103</v>
      </c>
      <c r="O367" s="143" t="s">
        <v>193</v>
      </c>
    </row>
    <row r="368" spans="1:19" s="556" customFormat="1" ht="18" customHeight="1" x14ac:dyDescent="0.25">
      <c r="A368" s="554" t="s">
        <v>222</v>
      </c>
      <c r="B368" s="146">
        <f>+GETPIVOTDATA(" New Prof avg",'Averages Pivot Table'!$A$3,"Category",8,"Category2","Two-Year")</f>
        <v>69083.011919248645</v>
      </c>
      <c r="C368" s="146"/>
      <c r="D368" s="146">
        <f>+GETPIVOTDATA(" New Asc. avg",'Averages Pivot Table'!$A$3,"Category",8,"Category2","Two-Year")</f>
        <v>55333.991709257527</v>
      </c>
      <c r="E368" s="146"/>
      <c r="F368" s="146">
        <f>+GETPIVOTDATA(" New Ast. avg",'Averages Pivot Table'!$A$3,"Category",8,"Category2","Two-Year")</f>
        <v>50890.016363594601</v>
      </c>
      <c r="G368" s="146"/>
      <c r="H368" s="146">
        <f>+GETPIVOTDATA(" New Inst. avg",'Averages Pivot Table'!$A$3,"Category",8,"Category2","Two-Year")</f>
        <v>48368.520904671925</v>
      </c>
      <c r="I368" s="146"/>
      <c r="J368" s="146">
        <f>+GETPIVOTDATA(" New Undesg. avg",'Averages Pivot Table'!$A$3,"Category",8,"Category2","Two-Year")</f>
        <v>46648.554935742977</v>
      </c>
      <c r="K368" s="146"/>
      <c r="L368" s="146">
        <f>+GETPIVOTDATA(" New Single Rnk avg",'Averages Pivot Table'!$A$3,"Category",8,"Category2","Two-Year")</f>
        <v>51753.772016042778</v>
      </c>
      <c r="M368" s="146"/>
      <c r="N368" s="146">
        <f>+GETPIVOTDATA(" New All Ranks avg",'Averages Pivot Table'!$A$3,"Category",8,"Category2","Two-Year")</f>
        <v>53354.246352021233</v>
      </c>
      <c r="O368" s="133"/>
      <c r="Q368" s="558"/>
      <c r="R368" s="558"/>
      <c r="S368" s="558"/>
    </row>
    <row r="369" spans="1:15" ht="12.95" customHeight="1" x14ac:dyDescent="0.25">
      <c r="A369" s="132"/>
      <c r="B369" s="123"/>
      <c r="C369" s="150"/>
      <c r="D369" s="123"/>
      <c r="E369" s="150"/>
      <c r="F369" s="123"/>
      <c r="G369" s="150"/>
      <c r="H369" s="123"/>
      <c r="I369" s="150"/>
      <c r="J369" s="123"/>
      <c r="K369" s="150"/>
      <c r="L369" s="123"/>
      <c r="M369" s="150"/>
      <c r="N369" s="123"/>
      <c r="O369" s="134"/>
    </row>
    <row r="370" spans="1:15" ht="12.95" customHeight="1" x14ac:dyDescent="0.25">
      <c r="A370" s="132" t="s">
        <v>205</v>
      </c>
      <c r="B370" s="126">
        <f>+GETPIVOTDATA(" New Prof avg",'Averages Pivot Table'!$A$3,"State","AL","Category",8,"Category2","Two-Year")</f>
        <v>0</v>
      </c>
      <c r="C370" s="118">
        <f>IF(B370&gt;0,(RANK(B370,B$370:B$388)),0)</f>
        <v>0</v>
      </c>
      <c r="D370" s="126">
        <f>+GETPIVOTDATA(" New Asc. avg",'Averages Pivot Table'!$A$3,"State","AL","Category",8,"Category2","Two-Year")</f>
        <v>0</v>
      </c>
      <c r="E370" s="118">
        <f>IF(D370&gt;0,(RANK(D370,D$370:D$388)),0)</f>
        <v>0</v>
      </c>
      <c r="F370" s="126">
        <f>+GETPIVOTDATA(" New Ast. avg",'Averages Pivot Table'!$A$3,"State","AL","Category",8,"Category2","Two-Year")</f>
        <v>0</v>
      </c>
      <c r="G370" s="118">
        <f t="shared" ref="G370:G388" si="49">IF(F370&gt;0,(RANK(F370,F$370:F$388)),0)</f>
        <v>0</v>
      </c>
      <c r="H370" s="126">
        <f>+GETPIVOTDATA(" New Inst. avg",'Averages Pivot Table'!$A$3,"State","AL","Category",8,"Category2","Two-Year")</f>
        <v>0</v>
      </c>
      <c r="I370" s="118">
        <f t="shared" ref="I370:I388" si="50">IF(H370&gt;0,(RANK(H370,H$370:H$388)),0)</f>
        <v>0</v>
      </c>
      <c r="J370" s="126">
        <f>+GETPIVOTDATA(" New Undesg. avg",'Averages Pivot Table'!$A$3,"State","AL","Category",8,"Category2","Two-Year")</f>
        <v>0</v>
      </c>
      <c r="K370" s="118">
        <f t="shared" ref="K370:K388" si="51">IF(J370&gt;0,(RANK(J370,J$370:J$388)),0)</f>
        <v>0</v>
      </c>
      <c r="L370" s="126">
        <f>+GETPIVOTDATA(" New Single Rnk avg",'Averages Pivot Table'!$A$3,"State","AL","Category",8,"Category2","Two-Year")</f>
        <v>53670.772453214289</v>
      </c>
      <c r="M370" s="118">
        <f t="shared" ref="M370:M388" si="52">IF(L370&gt;0,(RANK(L370,L$370:L$388)),0)</f>
        <v>4</v>
      </c>
      <c r="N370" s="126">
        <f>+GETPIVOTDATA(" New All Ranks avg",'Averages Pivot Table'!$A$3,"State","AL","Category",8,"Category2","Two-Year")</f>
        <v>53670.772453214289</v>
      </c>
      <c r="O370" s="118">
        <f t="shared" ref="O370:O388" si="53">IF(N370&gt;0,(RANK(N370,N$370:N$388)),0)</f>
        <v>5</v>
      </c>
    </row>
    <row r="371" spans="1:15" ht="12.95" customHeight="1" x14ac:dyDescent="0.25">
      <c r="A371" s="132" t="s">
        <v>206</v>
      </c>
      <c r="B371" s="126">
        <f>+GETPIVOTDATA(" New Prof avg",'Averages Pivot Table'!$A$3,"State","AR","Category",8,"Category2","Two-Year")</f>
        <v>0</v>
      </c>
      <c r="C371" s="118">
        <f t="shared" ref="C371:E388" si="54">IF(B371&gt;0,(RANK(B371,B$370:B$388)),0)</f>
        <v>0</v>
      </c>
      <c r="D371" s="126">
        <f>+GETPIVOTDATA(" New Asc. avg",'Averages Pivot Table'!$A$3,"State","AR","Category",8,"Category2","Two-Year")</f>
        <v>0</v>
      </c>
      <c r="E371" s="118">
        <f t="shared" si="54"/>
        <v>0</v>
      </c>
      <c r="F371" s="126">
        <f>+GETPIVOTDATA(" New Ast. avg",'Averages Pivot Table'!$A$3,"State","AR","Category",8,"Category2","Two-Year")</f>
        <v>0</v>
      </c>
      <c r="G371" s="118">
        <f t="shared" si="49"/>
        <v>0</v>
      </c>
      <c r="H371" s="126">
        <f>+GETPIVOTDATA(" New Inst. avg",'Averages Pivot Table'!$A$3,"State","AR","Category",8,"Category2","Two-Year")</f>
        <v>0</v>
      </c>
      <c r="I371" s="118">
        <f t="shared" si="50"/>
        <v>0</v>
      </c>
      <c r="J371" s="126">
        <f>+GETPIVOTDATA(" New Undesg. avg",'Averages Pivot Table'!$A$3,"State","AR","Category",8,"Category2","Two-Year")</f>
        <v>0</v>
      </c>
      <c r="K371" s="118">
        <f t="shared" si="51"/>
        <v>0</v>
      </c>
      <c r="L371" s="126">
        <f>+GETPIVOTDATA(" New Single Rnk avg",'Averages Pivot Table'!$A$3,"State","AR","Category",8,"Category2","Two-Year")</f>
        <v>50227.265255492355</v>
      </c>
      <c r="M371" s="118">
        <f t="shared" si="52"/>
        <v>6</v>
      </c>
      <c r="N371" s="126">
        <f>+GETPIVOTDATA(" New All Ranks avg",'Averages Pivot Table'!$A$3,"State","AR","Category",8,"Category2","Two-Year")</f>
        <v>50227.265255492355</v>
      </c>
      <c r="O371" s="118">
        <f t="shared" si="53"/>
        <v>9</v>
      </c>
    </row>
    <row r="372" spans="1:15" ht="12.95" customHeight="1" x14ac:dyDescent="0.25">
      <c r="A372" s="132" t="s">
        <v>221</v>
      </c>
      <c r="B372" s="126">
        <f>+GETPIVOTDATA(" New Prof avg",'Averages Pivot Table'!$A$3,"State","DE","Category",8,"Category2","Two-Year")</f>
        <v>0</v>
      </c>
      <c r="C372" s="118">
        <f t="shared" si="54"/>
        <v>0</v>
      </c>
      <c r="D372" s="126">
        <f>+GETPIVOTDATA(" New Asc. avg",'Averages Pivot Table'!$A$3,"State","DE","Category",8,"Category2","Two-Year")</f>
        <v>0</v>
      </c>
      <c r="E372" s="118">
        <f t="shared" si="54"/>
        <v>0</v>
      </c>
      <c r="F372" s="126">
        <f>+GETPIVOTDATA(" New Ast. avg",'Averages Pivot Table'!$A$3,"State","DE","Category",8,"Category2","Two-Year")</f>
        <v>0</v>
      </c>
      <c r="G372" s="118">
        <f t="shared" si="49"/>
        <v>0</v>
      </c>
      <c r="H372" s="126">
        <f>+GETPIVOTDATA(" New Inst. avg",'Averages Pivot Table'!$A$3,"State","DE","Category",8,"Category2","Two-Year")</f>
        <v>0</v>
      </c>
      <c r="I372" s="118">
        <f t="shared" si="50"/>
        <v>0</v>
      </c>
      <c r="J372" s="126">
        <f>+GETPIVOTDATA(" New Undesg. avg",'Averages Pivot Table'!$A$3,"State","DE","Category",8,"Category2","Two-Year")</f>
        <v>0</v>
      </c>
      <c r="K372" s="118">
        <f t="shared" si="51"/>
        <v>0</v>
      </c>
      <c r="L372" s="126">
        <f>+GETPIVOTDATA(" New Single Rnk avg",'Averages Pivot Table'!$A$3,"State","DE","Category",8,"Category2","Two-Year")</f>
        <v>64188.159506818185</v>
      </c>
      <c r="M372" s="118">
        <f t="shared" si="52"/>
        <v>1</v>
      </c>
      <c r="N372" s="126">
        <f>+GETPIVOTDATA(" New All Ranks avg",'Averages Pivot Table'!$A$3,"State","DE","Category",8,"Category2","Two-Year")</f>
        <v>64188.159506818185</v>
      </c>
      <c r="O372" s="118">
        <f t="shared" si="53"/>
        <v>2</v>
      </c>
    </row>
    <row r="373" spans="1:15" ht="12.95" customHeight="1" x14ac:dyDescent="0.25">
      <c r="A373" s="132" t="s">
        <v>207</v>
      </c>
      <c r="B373" s="126">
        <f>+GETPIVOTDATA(" New Prof avg",'Averages Pivot Table'!$A$3,"State","FL","Category",8,"Category2","Two-Year")</f>
        <v>0</v>
      </c>
      <c r="C373" s="118">
        <f t="shared" si="54"/>
        <v>0</v>
      </c>
      <c r="D373" s="126">
        <f>+GETPIVOTDATA(" New Asc. avg",'Averages Pivot Table'!$A$3,"State","FL","Category",8,"Category2","Two-Year")</f>
        <v>0</v>
      </c>
      <c r="E373" s="118">
        <f t="shared" si="54"/>
        <v>0</v>
      </c>
      <c r="F373" s="126">
        <f>+GETPIVOTDATA(" New Ast. avg",'Averages Pivot Table'!$A$3,"State","FL","Category",8,"Category2","Two-Year")</f>
        <v>0</v>
      </c>
      <c r="G373" s="118">
        <f t="shared" si="49"/>
        <v>0</v>
      </c>
      <c r="H373" s="126">
        <f>+GETPIVOTDATA(" New Inst. avg",'Averages Pivot Table'!$A$3,"State","FL","Category",8,"Category2","Two-Year")</f>
        <v>0</v>
      </c>
      <c r="I373" s="118">
        <f t="shared" si="50"/>
        <v>0</v>
      </c>
      <c r="J373" s="126">
        <f>+GETPIVOTDATA(" New Undesg. avg",'Averages Pivot Table'!$A$3,"State","FL","Category",8,"Category2","Two-Year")</f>
        <v>0</v>
      </c>
      <c r="K373" s="118">
        <f t="shared" si="51"/>
        <v>0</v>
      </c>
      <c r="L373" s="126">
        <f>+GETPIVOTDATA(" New Single Rnk avg",'Averages Pivot Table'!$A$3,"State","FL","Category",8,"Category2","Two-Year")</f>
        <v>53679.730678366519</v>
      </c>
      <c r="M373" s="118">
        <f t="shared" si="52"/>
        <v>3</v>
      </c>
      <c r="N373" s="126">
        <f>+GETPIVOTDATA(" New All Ranks avg",'Averages Pivot Table'!$A$3,"State","FL","Category",8,"Category2","Two-Year")</f>
        <v>53679.730678366519</v>
      </c>
      <c r="O373" s="118">
        <f t="shared" si="53"/>
        <v>4</v>
      </c>
    </row>
    <row r="374" spans="1:15" ht="12.95" customHeight="1" x14ac:dyDescent="0.25">
      <c r="A374" s="132"/>
      <c r="B374" s="126"/>
      <c r="C374" s="118">
        <f t="shared" si="54"/>
        <v>0</v>
      </c>
      <c r="D374" s="126"/>
      <c r="E374" s="118">
        <f t="shared" si="54"/>
        <v>0</v>
      </c>
      <c r="F374" s="126"/>
      <c r="G374" s="118">
        <f t="shared" si="49"/>
        <v>0</v>
      </c>
      <c r="H374" s="126"/>
      <c r="I374" s="118">
        <f t="shared" si="50"/>
        <v>0</v>
      </c>
      <c r="J374" s="126"/>
      <c r="K374" s="118">
        <f t="shared" si="51"/>
        <v>0</v>
      </c>
      <c r="L374" s="126"/>
      <c r="M374" s="118">
        <f t="shared" si="52"/>
        <v>0</v>
      </c>
      <c r="N374" s="126"/>
      <c r="O374" s="118">
        <f t="shared" si="53"/>
        <v>0</v>
      </c>
    </row>
    <row r="375" spans="1:15" ht="12.95" customHeight="1" x14ac:dyDescent="0.25">
      <c r="A375" s="132" t="s">
        <v>208</v>
      </c>
      <c r="B375" s="126">
        <f>+GETPIVOTDATA(" New Prof avg",'Averages Pivot Table'!$A$3,"State","GA","Category",8,"Category2","Two-Year")</f>
        <v>63044.922580645165</v>
      </c>
      <c r="C375" s="118">
        <f t="shared" si="54"/>
        <v>4</v>
      </c>
      <c r="D375" s="126">
        <f>+GETPIVOTDATA(" New Asc. avg",'Averages Pivot Table'!$A$3,"State","GA","Category",8,"Category2","Two-Year")</f>
        <v>55796.404343283582</v>
      </c>
      <c r="E375" s="118">
        <f t="shared" si="54"/>
        <v>3</v>
      </c>
      <c r="F375" s="126">
        <f>+GETPIVOTDATA(" New Ast. avg",'Averages Pivot Table'!$A$3,"State","GA","Category",8,"Category2","Two-Year")</f>
        <v>44878.817682758621</v>
      </c>
      <c r="G375" s="118">
        <f t="shared" si="49"/>
        <v>4</v>
      </c>
      <c r="H375" s="126">
        <f>+GETPIVOTDATA(" New Inst. avg",'Averages Pivot Table'!$A$3,"State","GA","Category",8,"Category2","Two-Year")</f>
        <v>38696.778364705882</v>
      </c>
      <c r="I375" s="118">
        <f t="shared" si="50"/>
        <v>6</v>
      </c>
      <c r="J375" s="126">
        <f>+GETPIVOTDATA(" New Undesg. avg",'Averages Pivot Table'!$A$3,"State","GA","Category",8,"Category2","Two-Year")</f>
        <v>36897.749450000003</v>
      </c>
      <c r="K375" s="118">
        <f t="shared" si="51"/>
        <v>4</v>
      </c>
      <c r="L375" s="126">
        <f>+GETPIVOTDATA(" New Single Rnk avg",'Averages Pivot Table'!$A$3,"State","GA","Category",8,"Category2","Two-Year")</f>
        <v>0</v>
      </c>
      <c r="M375" s="118">
        <f t="shared" si="52"/>
        <v>0</v>
      </c>
      <c r="N375" s="126">
        <f>+GETPIVOTDATA(" New All Ranks avg",'Averages Pivot Table'!$A$3,"State","GA","Category",8,"Category2","Two-Year")</f>
        <v>45201.627115881325</v>
      </c>
      <c r="O375" s="118">
        <f t="shared" si="53"/>
        <v>14</v>
      </c>
    </row>
    <row r="376" spans="1:15" ht="12.95" customHeight="1" x14ac:dyDescent="0.25">
      <c r="A376" s="132" t="s">
        <v>209</v>
      </c>
      <c r="B376" s="126">
        <f>+GETPIVOTDATA(" New Prof avg",'Averages Pivot Table'!$A$3,"State","KY","Category",8,"Category2","Two-Year")</f>
        <v>60494.964972151902</v>
      </c>
      <c r="C376" s="118">
        <f t="shared" si="54"/>
        <v>5</v>
      </c>
      <c r="D376" s="126">
        <f>+GETPIVOTDATA(" New Asc. avg",'Averages Pivot Table'!$A$3,"State","KY","Category",8,"Category2","Two-Year")</f>
        <v>49938.896699999998</v>
      </c>
      <c r="E376" s="118">
        <f t="shared" si="54"/>
        <v>6</v>
      </c>
      <c r="F376" s="126">
        <f>+GETPIVOTDATA(" New Ast. avg",'Averages Pivot Table'!$A$3,"State","KY","Category",8,"Category2","Two-Year")</f>
        <v>44111.146864285714</v>
      </c>
      <c r="G376" s="118">
        <f t="shared" si="49"/>
        <v>5</v>
      </c>
      <c r="H376" s="126">
        <f>+GETPIVOTDATA(" New Inst. avg",'Averages Pivot Table'!$A$3,"State","KY","Category",8,"Category2","Two-Year")</f>
        <v>40283.297955555558</v>
      </c>
      <c r="I376" s="118">
        <f t="shared" si="50"/>
        <v>4</v>
      </c>
      <c r="J376" s="126">
        <f>+GETPIVOTDATA(" New Undesg. avg",'Averages Pivot Table'!$A$3,"State","KY","Category",8,"Category2","Two-Year")</f>
        <v>0</v>
      </c>
      <c r="K376" s="118">
        <f t="shared" si="51"/>
        <v>0</v>
      </c>
      <c r="L376" s="126">
        <f>+GETPIVOTDATA(" New Single Rnk avg",'Averages Pivot Table'!$A$3,"State","KY","Category",8,"Category2","Two-Year")</f>
        <v>0</v>
      </c>
      <c r="M376" s="118">
        <f t="shared" si="52"/>
        <v>0</v>
      </c>
      <c r="N376" s="126">
        <f>+GETPIVOTDATA(" New All Ranks avg",'Averages Pivot Table'!$A$3,"State","KY","Category",8,"Category2","Two-Year")</f>
        <v>50840.615992366409</v>
      </c>
      <c r="O376" s="118">
        <f t="shared" si="53"/>
        <v>8</v>
      </c>
    </row>
    <row r="377" spans="1:15" ht="12.95" customHeight="1" x14ac:dyDescent="0.25">
      <c r="A377" s="132" t="s">
        <v>210</v>
      </c>
      <c r="B377" s="126">
        <f>+GETPIVOTDATA(" New Prof avg",'Averages Pivot Table'!$A$3,"State","LA","Category",8,"Category2","Two-Year")</f>
        <v>78542.045436619708</v>
      </c>
      <c r="C377" s="118">
        <f t="shared" si="54"/>
        <v>2</v>
      </c>
      <c r="D377" s="126">
        <f>+GETPIVOTDATA(" New Asc. avg",'Averages Pivot Table'!$A$3,"State","LA","Category",8,"Category2","Two-Year")</f>
        <v>61680.048303921569</v>
      </c>
      <c r="E377" s="118">
        <f t="shared" si="54"/>
        <v>2</v>
      </c>
      <c r="F377" s="126">
        <f>+GETPIVOTDATA(" New Ast. avg",'Averages Pivot Table'!$A$3,"State","LA","Category",8,"Category2","Two-Year")</f>
        <v>56961.514662857138</v>
      </c>
      <c r="G377" s="118">
        <f t="shared" si="49"/>
        <v>2</v>
      </c>
      <c r="H377" s="126">
        <f>+GETPIVOTDATA(" New Inst. avg",'Averages Pivot Table'!$A$3,"State","LA","Category",8,"Category2","Two-Year")</f>
        <v>47309.626957575754</v>
      </c>
      <c r="I377" s="118">
        <f t="shared" si="50"/>
        <v>3</v>
      </c>
      <c r="J377" s="126">
        <f>+GETPIVOTDATA(" New Undesg. avg",'Averages Pivot Table'!$A$3,"State","LA","Category",8,"Category2","Two-Year")</f>
        <v>0</v>
      </c>
      <c r="K377" s="118">
        <f t="shared" si="51"/>
        <v>0</v>
      </c>
      <c r="L377" s="126">
        <f>+GETPIVOTDATA(" New Single Rnk avg",'Averages Pivot Table'!$A$3,"State","LA","Category",8,"Category2","Two-Year")</f>
        <v>39229.520181818181</v>
      </c>
      <c r="M377" s="118">
        <f t="shared" si="52"/>
        <v>9</v>
      </c>
      <c r="N377" s="126">
        <f>+GETPIVOTDATA(" New All Ranks avg",'Averages Pivot Table'!$A$3,"State","LA","Category",8,"Category2","Two-Year")</f>
        <v>53410.162368421064</v>
      </c>
      <c r="O377" s="118">
        <f t="shared" si="53"/>
        <v>6</v>
      </c>
    </row>
    <row r="378" spans="1:15" ht="12.95" customHeight="1" x14ac:dyDescent="0.25">
      <c r="A378" s="132" t="s">
        <v>211</v>
      </c>
      <c r="B378" s="126">
        <f>+GETPIVOTDATA(" New Prof avg",'Averages Pivot Table'!$A$3,"State","MD","Category",8,"Category2","Two-Year")</f>
        <v>82928.053463774762</v>
      </c>
      <c r="C378" s="118">
        <f t="shared" si="54"/>
        <v>1</v>
      </c>
      <c r="D378" s="126">
        <f>+GETPIVOTDATA(" New Asc. avg",'Averages Pivot Table'!$A$3,"State","MD","Category",8,"Category2","Two-Year")</f>
        <v>65960.299677906369</v>
      </c>
      <c r="E378" s="118">
        <f t="shared" si="54"/>
        <v>1</v>
      </c>
      <c r="F378" s="126">
        <f>+GETPIVOTDATA(" New Ast. avg",'Averages Pivot Table'!$A$3,"State","MD","Category",8,"Category2","Two-Year")</f>
        <v>57761.058183433473</v>
      </c>
      <c r="G378" s="118">
        <f t="shared" si="49"/>
        <v>1</v>
      </c>
      <c r="H378" s="126">
        <f>+GETPIVOTDATA(" New Inst. avg",'Averages Pivot Table'!$A$3,"State","MD","Category",8,"Category2","Two-Year")</f>
        <v>51333.113549571695</v>
      </c>
      <c r="I378" s="118">
        <f t="shared" si="50"/>
        <v>1</v>
      </c>
      <c r="J378" s="126">
        <f>+GETPIVOTDATA(" New Undesg. avg",'Averages Pivot Table'!$A$3,"State","MD","Category",8,"Category2","Two-Year")</f>
        <v>49360.729500000001</v>
      </c>
      <c r="K378" s="118">
        <f t="shared" si="51"/>
        <v>1</v>
      </c>
      <c r="L378" s="126">
        <f>+GETPIVOTDATA(" New Single Rnk avg",'Averages Pivot Table'!$A$3,"State","MD","Category",8,"Category2","Two-Year")</f>
        <v>0</v>
      </c>
      <c r="M378" s="118">
        <f t="shared" si="52"/>
        <v>0</v>
      </c>
      <c r="N378" s="126">
        <f>+GETPIVOTDATA(" New All Ranks avg",'Averages Pivot Table'!$A$3,"State","MD","Category",8,"Category2","Two-Year")</f>
        <v>69163.877439217584</v>
      </c>
      <c r="O378" s="118">
        <f t="shared" si="53"/>
        <v>1</v>
      </c>
    </row>
    <row r="379" spans="1:15" ht="12.95" customHeight="1" x14ac:dyDescent="0.25">
      <c r="A379" s="132"/>
      <c r="B379" s="126"/>
      <c r="C379" s="118">
        <f t="shared" si="54"/>
        <v>0</v>
      </c>
      <c r="D379" s="126"/>
      <c r="E379" s="118">
        <f t="shared" si="54"/>
        <v>0</v>
      </c>
      <c r="F379" s="126"/>
      <c r="G379" s="118">
        <f t="shared" si="49"/>
        <v>0</v>
      </c>
      <c r="H379" s="126"/>
      <c r="I379" s="118">
        <f t="shared" si="50"/>
        <v>0</v>
      </c>
      <c r="J379" s="126"/>
      <c r="K379" s="118">
        <f t="shared" si="51"/>
        <v>0</v>
      </c>
      <c r="L379" s="126"/>
      <c r="M379" s="118">
        <f t="shared" si="52"/>
        <v>0</v>
      </c>
      <c r="N379" s="126"/>
      <c r="O379" s="118">
        <f t="shared" si="53"/>
        <v>0</v>
      </c>
    </row>
    <row r="380" spans="1:15" ht="12.95" customHeight="1" x14ac:dyDescent="0.25">
      <c r="A380" s="132" t="s">
        <v>212</v>
      </c>
      <c r="B380" s="126">
        <f>+GETPIVOTDATA(" New Prof avg",'Averages Pivot Table'!$A$3,"State","MS","Category",8,"Category2","Two-Year")</f>
        <v>0</v>
      </c>
      <c r="C380" s="118">
        <f t="shared" si="54"/>
        <v>0</v>
      </c>
      <c r="D380" s="126">
        <f>+GETPIVOTDATA(" New Asc. avg",'Averages Pivot Table'!$A$3,"State","MS","Category",8,"Category2","Two-Year")</f>
        <v>0</v>
      </c>
      <c r="E380" s="118">
        <f t="shared" si="54"/>
        <v>0</v>
      </c>
      <c r="F380" s="126">
        <f>+GETPIVOTDATA(" New Ast. avg",'Averages Pivot Table'!$A$3,"State","MS","Category",8,"Category2","Two-Year")</f>
        <v>0</v>
      </c>
      <c r="G380" s="118">
        <f t="shared" si="49"/>
        <v>0</v>
      </c>
      <c r="H380" s="126">
        <f>+GETPIVOTDATA(" New Inst. avg",'Averages Pivot Table'!$A$3,"State","MS","Category",8,"Category2","Two-Year")</f>
        <v>0</v>
      </c>
      <c r="I380" s="118">
        <f t="shared" si="50"/>
        <v>0</v>
      </c>
      <c r="J380" s="126">
        <f>+GETPIVOTDATA(" New Undesg. avg",'Averages Pivot Table'!$A$3,"State","MS","Category",8,"Category2","Two-Year")</f>
        <v>0</v>
      </c>
      <c r="K380" s="118">
        <f t="shared" si="51"/>
        <v>0</v>
      </c>
      <c r="L380" s="126">
        <f>+GETPIVOTDATA(" New Single Rnk avg",'Averages Pivot Table'!$A$3,"State","MS","Category",8,"Category2","Two-Year")</f>
        <v>49646.825981088681</v>
      </c>
      <c r="M380" s="118">
        <f t="shared" si="52"/>
        <v>7</v>
      </c>
      <c r="N380" s="126">
        <f>+GETPIVOTDATA(" New All Ranks avg",'Averages Pivot Table'!$A$3,"State","MS","Category",8,"Category2","Two-Year")</f>
        <v>49646.825981088681</v>
      </c>
      <c r="O380" s="118">
        <f t="shared" si="53"/>
        <v>10</v>
      </c>
    </row>
    <row r="381" spans="1:15" ht="12.95" customHeight="1" x14ac:dyDescent="0.25">
      <c r="A381" s="132" t="s">
        <v>213</v>
      </c>
      <c r="B381" s="126">
        <f>+GETPIVOTDATA(" New Prof avg",'Averages Pivot Table'!$A$3,"State","NC","Category",8,"Category2","Two-Year")</f>
        <v>0</v>
      </c>
      <c r="C381" s="118">
        <f t="shared" si="54"/>
        <v>0</v>
      </c>
      <c r="D381" s="126">
        <f>+GETPIVOTDATA(" New Asc. avg",'Averages Pivot Table'!$A$3,"State","NC","Category",8,"Category2","Two-Year")</f>
        <v>0</v>
      </c>
      <c r="E381" s="118">
        <f t="shared" si="54"/>
        <v>0</v>
      </c>
      <c r="F381" s="126">
        <f>+GETPIVOTDATA(" New Ast. avg",'Averages Pivot Table'!$A$3,"State","NC","Category",8,"Category2","Two-Year")</f>
        <v>0</v>
      </c>
      <c r="G381" s="118">
        <f t="shared" si="49"/>
        <v>0</v>
      </c>
      <c r="H381" s="126">
        <f>+GETPIVOTDATA(" New Inst. avg",'Averages Pivot Table'!$A$3,"State","NC","Category",8,"Category2","Two-Year")</f>
        <v>0</v>
      </c>
      <c r="I381" s="118">
        <f t="shared" si="50"/>
        <v>0</v>
      </c>
      <c r="J381" s="126">
        <f>+GETPIVOTDATA(" New Undesg. avg",'Averages Pivot Table'!$A$3,"State","NC","Category",8,"Category2","Two-Year")</f>
        <v>0</v>
      </c>
      <c r="K381" s="118">
        <f t="shared" si="51"/>
        <v>0</v>
      </c>
      <c r="L381" s="126">
        <f>+GETPIVOTDATA(" New Single Rnk avg",'Averages Pivot Table'!$A$3,"State","NC","Category",8,"Category2","Two-Year")</f>
        <v>47573.766972405749</v>
      </c>
      <c r="M381" s="118">
        <f t="shared" si="52"/>
        <v>8</v>
      </c>
      <c r="N381" s="126">
        <f>+GETPIVOTDATA(" New All Ranks avg",'Averages Pivot Table'!$A$3,"State","NC","Category",8,"Category2","Two-Year")</f>
        <v>47573.766972405749</v>
      </c>
      <c r="O381" s="118">
        <f t="shared" si="53"/>
        <v>11</v>
      </c>
    </row>
    <row r="382" spans="1:15" ht="12.95" customHeight="1" x14ac:dyDescent="0.25">
      <c r="A382" s="132" t="s">
        <v>214</v>
      </c>
      <c r="B382" s="126">
        <f>+GETPIVOTDATA(" New Prof avg",'Averages Pivot Table'!$A$3,"State","OK","Category",8,"Category2","Two-Year")</f>
        <v>0</v>
      </c>
      <c r="C382" s="118">
        <f t="shared" si="54"/>
        <v>0</v>
      </c>
      <c r="D382" s="126">
        <f>+GETPIVOTDATA(" New Asc. avg",'Averages Pivot Table'!$A$3,"State","OK","Category",8,"Category2","Two-Year")</f>
        <v>0</v>
      </c>
      <c r="E382" s="118">
        <f t="shared" si="54"/>
        <v>0</v>
      </c>
      <c r="F382" s="126">
        <f>+GETPIVOTDATA(" New Ast. avg",'Averages Pivot Table'!$A$3,"State","OK","Category",8,"Category2","Two-Year")</f>
        <v>0</v>
      </c>
      <c r="G382" s="118">
        <f t="shared" si="49"/>
        <v>0</v>
      </c>
      <c r="H382" s="126">
        <f>+GETPIVOTDATA(" New Inst. avg",'Averages Pivot Table'!$A$3,"State","OK","Category",8,"Category2","Two-Year")</f>
        <v>0</v>
      </c>
      <c r="I382" s="118">
        <f t="shared" si="50"/>
        <v>0</v>
      </c>
      <c r="J382" s="126">
        <f>+GETPIVOTDATA(" New Undesg. avg",'Averages Pivot Table'!$A$3,"State","OK","Category",8,"Category2","Two-Year")</f>
        <v>0</v>
      </c>
      <c r="K382" s="118">
        <f t="shared" si="51"/>
        <v>0</v>
      </c>
      <c r="L382" s="126">
        <f>+GETPIVOTDATA(" New Single Rnk avg",'Averages Pivot Table'!$A$3,"State","OK","Category",8,"Category2","Two-Year")</f>
        <v>51283.13160807018</v>
      </c>
      <c r="M382" s="118">
        <f t="shared" si="52"/>
        <v>5</v>
      </c>
      <c r="N382" s="126">
        <f>+GETPIVOTDATA(" New All Ranks avg",'Averages Pivot Table'!$A$3,"State","OK","Category",8,"Category2","Two-Year")</f>
        <v>51283.13160807018</v>
      </c>
      <c r="O382" s="118">
        <f t="shared" si="53"/>
        <v>7</v>
      </c>
    </row>
    <row r="383" spans="1:15" ht="12.95" customHeight="1" x14ac:dyDescent="0.25">
      <c r="A383" s="132" t="s">
        <v>215</v>
      </c>
      <c r="B383" s="126">
        <f>+GETPIVOTDATA(" New Prof avg",'Averages Pivot Table'!$A$3,"State","SC","Category",8,"Category2","Two-Year")</f>
        <v>0</v>
      </c>
      <c r="C383" s="118">
        <f t="shared" si="54"/>
        <v>0</v>
      </c>
      <c r="D383" s="126">
        <f>+GETPIVOTDATA(" New Asc. avg",'Averages Pivot Table'!$A$3,"State","SC","Category",8,"Category2","Two-Year")</f>
        <v>0</v>
      </c>
      <c r="E383" s="118">
        <f t="shared" si="54"/>
        <v>0</v>
      </c>
      <c r="F383" s="126">
        <f>+GETPIVOTDATA(" New Ast. avg",'Averages Pivot Table'!$A$3,"State","SC","Category",8,"Category2","Two-Year")</f>
        <v>0</v>
      </c>
      <c r="G383" s="118">
        <f t="shared" si="49"/>
        <v>0</v>
      </c>
      <c r="H383" s="126">
        <f>+GETPIVOTDATA(" New Inst. avg",'Averages Pivot Table'!$A$3,"State","SC","Category",8,"Category2","Two-Year")</f>
        <v>0</v>
      </c>
      <c r="I383" s="118">
        <f t="shared" si="50"/>
        <v>0</v>
      </c>
      <c r="J383" s="126">
        <f>+GETPIVOTDATA(" New Undesg. avg",'Averages Pivot Table'!$A$3,"State","SC","Category",8,"Category2","Two-Year")</f>
        <v>47240.54616724739</v>
      </c>
      <c r="K383" s="118">
        <f t="shared" si="51"/>
        <v>2</v>
      </c>
      <c r="L383" s="126">
        <f>+GETPIVOTDATA(" New Single Rnk avg",'Averages Pivot Table'!$A$3,"State","SC","Category",8,"Category2","Two-Year")</f>
        <v>0</v>
      </c>
      <c r="M383" s="118">
        <f t="shared" si="52"/>
        <v>0</v>
      </c>
      <c r="N383" s="126">
        <f>+GETPIVOTDATA(" New All Ranks avg",'Averages Pivot Table'!$A$3,"State","SC","Category",8,"Category2","Two-Year")</f>
        <v>47240.54616724739</v>
      </c>
      <c r="O383" s="118">
        <f t="shared" si="53"/>
        <v>12</v>
      </c>
    </row>
    <row r="384" spans="1:15" ht="12.95" customHeight="1" x14ac:dyDescent="0.25">
      <c r="A384" s="132"/>
      <c r="B384" s="126"/>
      <c r="C384" s="118">
        <f t="shared" si="54"/>
        <v>0</v>
      </c>
      <c r="D384" s="126"/>
      <c r="E384" s="118">
        <f t="shared" si="54"/>
        <v>0</v>
      </c>
      <c r="F384" s="126"/>
      <c r="G384" s="118">
        <f t="shared" si="49"/>
        <v>0</v>
      </c>
      <c r="H384" s="126"/>
      <c r="I384" s="118">
        <f t="shared" si="50"/>
        <v>0</v>
      </c>
      <c r="J384" s="126"/>
      <c r="K384" s="118">
        <f t="shared" si="51"/>
        <v>0</v>
      </c>
      <c r="L384" s="126"/>
      <c r="M384" s="118">
        <f t="shared" si="52"/>
        <v>0</v>
      </c>
      <c r="N384" s="126"/>
      <c r="O384" s="118">
        <f t="shared" si="53"/>
        <v>0</v>
      </c>
    </row>
    <row r="385" spans="1:19" ht="12.95" customHeight="1" x14ac:dyDescent="0.25">
      <c r="A385" s="132" t="s">
        <v>216</v>
      </c>
      <c r="B385" s="563">
        <f>+GETPIVOTDATA(" New Prof avg",'Averages Pivot Table'!$A$3,"State","TN","Category",8,"Category2","Two-Year")</f>
        <v>59940.656569642852</v>
      </c>
      <c r="C385" s="118">
        <f t="shared" si="54"/>
        <v>6</v>
      </c>
      <c r="D385" s="563">
        <f>+GETPIVOTDATA(" New Asc. avg",'Averages Pivot Table'!$A$3,"State","TN","Category",8,"Category2","Two-Year")</f>
        <v>50044.407451612904</v>
      </c>
      <c r="E385" s="118">
        <f t="shared" si="54"/>
        <v>5</v>
      </c>
      <c r="F385" s="563">
        <f>+GETPIVOTDATA(" New Ast. avg",'Averages Pivot Table'!$A$3,"State","TN","Category",8,"Category2","Two-Year")</f>
        <v>43702.388555056183</v>
      </c>
      <c r="G385" s="118">
        <f t="shared" si="49"/>
        <v>6</v>
      </c>
      <c r="H385" s="563">
        <f>+GETPIVOTDATA(" New Inst. avg",'Averages Pivot Table'!$A$3,"State","TN","Category",8,"Category2","Two-Year")</f>
        <v>38989.131494915258</v>
      </c>
      <c r="I385" s="118">
        <f t="shared" si="50"/>
        <v>5</v>
      </c>
      <c r="J385" s="563">
        <f>+GETPIVOTDATA(" New Undesg. avg",'Averages Pivot Table'!$A$3,"State","TN","Category",8,"Category2","Two-Year")</f>
        <v>0</v>
      </c>
      <c r="K385" s="118">
        <f t="shared" si="51"/>
        <v>0</v>
      </c>
      <c r="L385" s="563">
        <f>+GETPIVOTDATA(" New Single Rnk avg",'Averages Pivot Table'!$A$3,"State","TN","Category",8,"Category2","Two-Year")</f>
        <v>0</v>
      </c>
      <c r="M385" s="118">
        <f t="shared" si="52"/>
        <v>0</v>
      </c>
      <c r="N385" s="126">
        <f>+GETPIVOTDATA(" New All Ranks avg",'Averages Pivot Table'!$A$3,"State","TN","Category",8,"Category2","Two-Year")</f>
        <v>46722.741591700411</v>
      </c>
      <c r="O385" s="118">
        <f t="shared" si="53"/>
        <v>13</v>
      </c>
    </row>
    <row r="386" spans="1:19" ht="12.95" customHeight="1" x14ac:dyDescent="0.25">
      <c r="A386" s="132" t="s">
        <v>217</v>
      </c>
      <c r="B386" s="563">
        <f>+GETPIVOTDATA(" New Prof avg",'Averages Pivot Table'!$A$3,"State","TX","Category",8,"Category2","Two-Year")</f>
        <v>64789.206722976189</v>
      </c>
      <c r="C386" s="118">
        <f t="shared" si="54"/>
        <v>3</v>
      </c>
      <c r="D386" s="563">
        <f>+GETPIVOTDATA(" New Asc. avg",'Averages Pivot Table'!$A$3,"State","TX","Category",8,"Category2","Two-Year")</f>
        <v>52403.836539354837</v>
      </c>
      <c r="E386" s="118">
        <f t="shared" si="54"/>
        <v>4</v>
      </c>
      <c r="F386" s="563">
        <f>+GETPIVOTDATA(" New Ast. avg",'Averages Pivot Table'!$A$3,"State","TX","Category",8,"Category2","Two-Year")</f>
        <v>48521.161527864584</v>
      </c>
      <c r="G386" s="118">
        <f t="shared" si="49"/>
        <v>3</v>
      </c>
      <c r="H386" s="563">
        <f>+GETPIVOTDATA(" New Inst. avg",'Averages Pivot Table'!$A$3,"State","TX","Category",8,"Category2","Two-Year")</f>
        <v>50869.826808674108</v>
      </c>
      <c r="I386" s="118">
        <f t="shared" si="50"/>
        <v>2</v>
      </c>
      <c r="J386" s="563">
        <f>+GETPIVOTDATA(" New Undesg. avg",'Averages Pivot Table'!$A$3,"State","TX","Category",8,"Category2","Two-Year")</f>
        <v>40115.032626666667</v>
      </c>
      <c r="K386" s="118">
        <f t="shared" si="51"/>
        <v>3</v>
      </c>
      <c r="L386" s="563">
        <f>+GETPIVOTDATA(" New Single Rnk avg",'Averages Pivot Table'!$A$3,"State","TX","Category",8,"Category2","Two-Year")</f>
        <v>54406.965926520686</v>
      </c>
      <c r="M386" s="118">
        <f t="shared" si="52"/>
        <v>2</v>
      </c>
      <c r="N386" s="126">
        <f>+GETPIVOTDATA(" New All Ranks avg",'Averages Pivot Table'!$A$3,"State","TX","Category",8,"Category2","Two-Year")</f>
        <v>54577.667080959232</v>
      </c>
      <c r="O386" s="118">
        <f t="shared" si="53"/>
        <v>3</v>
      </c>
    </row>
    <row r="387" spans="1:19" ht="12.95" customHeight="1" x14ac:dyDescent="0.25">
      <c r="A387" s="132" t="s">
        <v>218</v>
      </c>
      <c r="B387" s="563">
        <f>+GETPIVOTDATA(" New Prof avg",'Averages Pivot Table'!$A$3,"State","VA","Category",8,"Category2","Two-Year")</f>
        <v>0</v>
      </c>
      <c r="C387" s="118">
        <f t="shared" si="54"/>
        <v>0</v>
      </c>
      <c r="D387" s="563">
        <f>+GETPIVOTDATA(" New Asc. avg",'Averages Pivot Table'!$A$3,"State","VA","Category",8,"Category2","Two-Year")</f>
        <v>0</v>
      </c>
      <c r="E387" s="118">
        <f t="shared" si="54"/>
        <v>0</v>
      </c>
      <c r="F387" s="563">
        <f>+GETPIVOTDATA(" New Ast. avg",'Averages Pivot Table'!$A$3,"State","VA","Category",8,"Category2","Two-Year")</f>
        <v>0</v>
      </c>
      <c r="G387" s="118">
        <f t="shared" si="49"/>
        <v>0</v>
      </c>
      <c r="H387" s="563">
        <f>+GETPIVOTDATA(" New Inst. avg",'Averages Pivot Table'!$A$3,"State","VA","Category",8,"Category2","Two-Year")</f>
        <v>0</v>
      </c>
      <c r="I387" s="118">
        <f t="shared" si="50"/>
        <v>0</v>
      </c>
      <c r="J387" s="563">
        <f>+GETPIVOTDATA(" New Undesg. avg",'Averages Pivot Table'!$A$3,"State","VA","Category",8,"Category2","Two-Year")</f>
        <v>0</v>
      </c>
      <c r="K387" s="118">
        <f t="shared" si="51"/>
        <v>0</v>
      </c>
      <c r="L387" s="563">
        <f>+GETPIVOTDATA(" New Single Rnk avg",'Averages Pivot Table'!$A$3,"State","VA","Category",8,"Category2","Two-Year")</f>
        <v>0</v>
      </c>
      <c r="M387" s="118">
        <f t="shared" si="52"/>
        <v>0</v>
      </c>
      <c r="N387" s="126">
        <f>+GETPIVOTDATA(" New All Ranks avg",'Averages Pivot Table'!$A$3,"State","VA","Category",8,"Category2","Two-Year")</f>
        <v>0</v>
      </c>
      <c r="O387" s="118">
        <f t="shared" si="53"/>
        <v>0</v>
      </c>
    </row>
    <row r="388" spans="1:19" ht="12.95" customHeight="1" x14ac:dyDescent="0.25">
      <c r="A388" s="6" t="s">
        <v>219</v>
      </c>
      <c r="B388" s="566">
        <f>+GETPIVOTDATA(" New Prof avg",'Averages Pivot Table'!$A$3,"State","WV","Category",8,"Category2","Two-Year")</f>
        <v>0</v>
      </c>
      <c r="C388" s="119">
        <f t="shared" si="54"/>
        <v>0</v>
      </c>
      <c r="D388" s="566">
        <f>+GETPIVOTDATA(" New Asc. avg",'Averages Pivot Table'!$A$3,"State","WV","Category",8,"Category2","Two-Year")</f>
        <v>0</v>
      </c>
      <c r="E388" s="119">
        <f t="shared" si="54"/>
        <v>0</v>
      </c>
      <c r="F388" s="566">
        <f>+GETPIVOTDATA(" New Ast. avg",'Averages Pivot Table'!$A$3,"State","WV","Category",8,"Category2","Two-Year")</f>
        <v>0</v>
      </c>
      <c r="G388" s="119">
        <f t="shared" si="49"/>
        <v>0</v>
      </c>
      <c r="H388" s="566">
        <f>+GETPIVOTDATA(" New Inst. avg",'Averages Pivot Table'!$A$3,"State","WV","Category",8,"Category2","Two-Year")</f>
        <v>0</v>
      </c>
      <c r="I388" s="119">
        <f t="shared" si="50"/>
        <v>0</v>
      </c>
      <c r="J388" s="566">
        <f>+GETPIVOTDATA(" New Undesg. avg",'Averages Pivot Table'!$A$3,"State","WV","Category",8,"Category2","Two-Year")</f>
        <v>0</v>
      </c>
      <c r="K388" s="119">
        <f t="shared" si="51"/>
        <v>0</v>
      </c>
      <c r="L388" s="566">
        <f>+GETPIVOTDATA(" New Single Rnk avg",'Averages Pivot Table'!$A$3,"State","WV","Category",8,"Category2","Two-Year")</f>
        <v>0</v>
      </c>
      <c r="M388" s="119">
        <f t="shared" si="52"/>
        <v>0</v>
      </c>
      <c r="N388" s="566">
        <f>+GETPIVOTDATA(" New All Ranks avg",'Averages Pivot Table'!$A$3,"State","WV","Category",8,"Category2","Two-Year")</f>
        <v>0</v>
      </c>
      <c r="O388" s="119">
        <f t="shared" si="53"/>
        <v>0</v>
      </c>
    </row>
    <row r="389" spans="1:19" ht="30" customHeight="1" x14ac:dyDescent="0.25">
      <c r="A389" s="668" t="s">
        <v>91</v>
      </c>
      <c r="B389" s="668"/>
      <c r="C389" s="668"/>
      <c r="D389" s="668"/>
      <c r="E389" s="668"/>
      <c r="F389" s="668"/>
      <c r="G389" s="668"/>
      <c r="H389" s="668"/>
      <c r="I389" s="668"/>
      <c r="J389" s="668"/>
      <c r="K389" s="668"/>
      <c r="L389" s="668"/>
      <c r="M389" s="668"/>
      <c r="N389" s="668"/>
      <c r="O389" s="668"/>
    </row>
    <row r="390" spans="1:19" x14ac:dyDescent="0.25">
      <c r="O390" s="157" t="s">
        <v>1083</v>
      </c>
    </row>
    <row r="391" spans="1:19" ht="18" x14ac:dyDescent="0.25">
      <c r="A391" s="544" t="s">
        <v>272</v>
      </c>
      <c r="B391" s="544"/>
      <c r="C391" s="544"/>
      <c r="D391" s="544"/>
      <c r="E391" s="544"/>
      <c r="F391" s="544"/>
      <c r="G391" s="544"/>
      <c r="H391" s="544"/>
      <c r="I391" s="544"/>
      <c r="J391" s="544"/>
      <c r="K391" s="544"/>
      <c r="L391" s="544"/>
      <c r="M391" s="544"/>
      <c r="N391" s="544"/>
      <c r="O391" s="544"/>
    </row>
    <row r="392" spans="1:19" x14ac:dyDescent="0.25">
      <c r="A392" s="588"/>
      <c r="B392" s="93"/>
      <c r="C392" s="93"/>
      <c r="D392" s="93"/>
      <c r="E392" s="93"/>
      <c r="F392" s="93"/>
      <c r="G392" s="93"/>
      <c r="H392" s="93"/>
      <c r="I392" s="93"/>
      <c r="J392" s="93"/>
      <c r="K392" s="93"/>
      <c r="L392" s="93"/>
      <c r="M392" s="93"/>
      <c r="N392" s="93"/>
      <c r="O392" s="93"/>
    </row>
    <row r="393" spans="1:19" x14ac:dyDescent="0.25">
      <c r="A393" s="665" t="s">
        <v>220</v>
      </c>
      <c r="B393" s="665"/>
      <c r="C393" s="665"/>
      <c r="D393" s="665"/>
      <c r="E393" s="665"/>
      <c r="F393" s="665"/>
      <c r="G393" s="665"/>
      <c r="H393" s="665"/>
      <c r="I393" s="665"/>
      <c r="J393" s="665"/>
      <c r="K393" s="665"/>
      <c r="L393" s="665"/>
      <c r="M393" s="665"/>
      <c r="N393" s="665"/>
      <c r="O393" s="665"/>
    </row>
    <row r="394" spans="1:19" x14ac:dyDescent="0.25">
      <c r="A394" s="665" t="s">
        <v>1060</v>
      </c>
      <c r="B394" s="665"/>
      <c r="C394" s="665"/>
      <c r="D394" s="665"/>
      <c r="E394" s="665"/>
      <c r="F394" s="665"/>
      <c r="G394" s="665"/>
      <c r="H394" s="665"/>
      <c r="I394" s="665"/>
      <c r="J394" s="665"/>
      <c r="K394" s="665"/>
      <c r="L394" s="665"/>
      <c r="M394" s="665"/>
      <c r="N394" s="665"/>
      <c r="O394" s="665"/>
    </row>
    <row r="395" spans="1:19" x14ac:dyDescent="0.25">
      <c r="A395" s="132"/>
      <c r="B395" s="132"/>
      <c r="C395" s="132"/>
      <c r="D395" s="132"/>
      <c r="E395" s="132"/>
      <c r="F395" s="132"/>
      <c r="G395" s="132"/>
      <c r="H395" s="132"/>
      <c r="I395" s="132"/>
      <c r="J395" s="132"/>
      <c r="K395" s="132"/>
      <c r="L395" s="132"/>
      <c r="M395" s="132"/>
      <c r="N395" s="132"/>
      <c r="O395" s="132"/>
    </row>
    <row r="396" spans="1:19" ht="33.75" customHeight="1" x14ac:dyDescent="0.25">
      <c r="A396" s="547"/>
      <c r="B396" s="589" t="s">
        <v>99</v>
      </c>
      <c r="C396" s="142"/>
      <c r="D396" s="590" t="s">
        <v>100</v>
      </c>
      <c r="E396" s="591"/>
      <c r="F396" s="590" t="s">
        <v>101</v>
      </c>
      <c r="G396" s="591"/>
      <c r="H396" s="589" t="s">
        <v>102</v>
      </c>
      <c r="I396" s="142"/>
      <c r="J396" s="590" t="s">
        <v>226</v>
      </c>
      <c r="K396" s="591"/>
      <c r="L396" s="142" t="s">
        <v>82</v>
      </c>
      <c r="M396" s="142"/>
      <c r="N396" s="142" t="s">
        <v>84</v>
      </c>
      <c r="O396" s="142"/>
    </row>
    <row r="397" spans="1:19" x14ac:dyDescent="0.25">
      <c r="A397" s="551"/>
      <c r="B397" s="115" t="s">
        <v>103</v>
      </c>
      <c r="C397" s="143" t="s">
        <v>193</v>
      </c>
      <c r="D397" s="115" t="s">
        <v>103</v>
      </c>
      <c r="E397" s="143" t="s">
        <v>193</v>
      </c>
      <c r="F397" s="115" t="s">
        <v>103</v>
      </c>
      <c r="G397" s="143" t="s">
        <v>193</v>
      </c>
      <c r="H397" s="115" t="s">
        <v>103</v>
      </c>
      <c r="I397" s="143" t="s">
        <v>193</v>
      </c>
      <c r="J397" s="115" t="s">
        <v>103</v>
      </c>
      <c r="K397" s="143" t="s">
        <v>193</v>
      </c>
      <c r="L397" s="115" t="s">
        <v>103</v>
      </c>
      <c r="M397" s="143" t="s">
        <v>193</v>
      </c>
      <c r="N397" s="115" t="s">
        <v>103</v>
      </c>
      <c r="O397" s="143" t="s">
        <v>193</v>
      </c>
    </row>
    <row r="398" spans="1:19" s="556" customFormat="1" ht="18" customHeight="1" x14ac:dyDescent="0.25">
      <c r="A398" s="554" t="s">
        <v>222</v>
      </c>
      <c r="B398" s="146">
        <f>+GETPIVOTDATA(" New Prof avg",'Averages Pivot Table'!$A$3,"Category",9,"Category2","Two-Year")</f>
        <v>57755.653077146373</v>
      </c>
      <c r="C398" s="146"/>
      <c r="D398" s="146">
        <f>+GETPIVOTDATA(" New Asc. avg",'Averages Pivot Table'!$A$3,"Category",9,"Category2","Two-Year")</f>
        <v>51222.42138953587</v>
      </c>
      <c r="E398" s="146"/>
      <c r="F398" s="146">
        <f>+GETPIVOTDATA(" New Ast. avg",'Averages Pivot Table'!$A$3,"Category",9,"Category2","Two-Year")</f>
        <v>46283.299285308567</v>
      </c>
      <c r="G398" s="146"/>
      <c r="H398" s="146">
        <f>+GETPIVOTDATA(" New Inst. avg",'Averages Pivot Table'!$A$3,"Category",9,"Category2","Two-Year")</f>
        <v>44132.092978485147</v>
      </c>
      <c r="I398" s="146"/>
      <c r="J398" s="146">
        <f>+GETPIVOTDATA(" New Undesg. avg",'Averages Pivot Table'!$A$3,"Category",9,"Category2","Two-Year")</f>
        <v>44936.826132413793</v>
      </c>
      <c r="K398" s="146"/>
      <c r="L398" s="146">
        <f>+GETPIVOTDATA(" New Single Rnk avg",'Averages Pivot Table'!$A$3,"Category",9,"Category2","Two-Year")</f>
        <v>49722.601490756017</v>
      </c>
      <c r="M398" s="146"/>
      <c r="N398" s="146">
        <f>+GETPIVOTDATA(" New All Ranks avg",'Averages Pivot Table'!$A$3,"Category",9,"Category2","Two-Year")</f>
        <v>49077.743279136754</v>
      </c>
      <c r="O398" s="133"/>
      <c r="Q398" s="558"/>
      <c r="R398" s="558"/>
      <c r="S398" s="558"/>
    </row>
    <row r="399" spans="1:19" ht="12.95" customHeight="1" x14ac:dyDescent="0.25">
      <c r="A399" s="132"/>
      <c r="B399" s="123"/>
      <c r="C399" s="150"/>
      <c r="D399" s="123"/>
      <c r="E399" s="150"/>
      <c r="F399" s="123"/>
      <c r="G399" s="150"/>
      <c r="H399" s="123"/>
      <c r="I399" s="150"/>
      <c r="J399" s="123"/>
      <c r="K399" s="150"/>
      <c r="L399" s="123"/>
      <c r="M399" s="150"/>
      <c r="N399" s="123"/>
      <c r="O399" s="134"/>
    </row>
    <row r="400" spans="1:19" ht="12.95" customHeight="1" x14ac:dyDescent="0.25">
      <c r="A400" s="132" t="s">
        <v>205</v>
      </c>
      <c r="B400" s="126">
        <f>+GETPIVOTDATA(" New Prof avg",'Averages Pivot Table'!$A$3,"State","AL","Category",9,"Category2","Two-Year")</f>
        <v>0</v>
      </c>
      <c r="C400" s="118">
        <f>IF(B400&gt;0,(RANK(B400,B$400:B$418)),0)</f>
        <v>0</v>
      </c>
      <c r="D400" s="126">
        <f>+GETPIVOTDATA(" New Asc. avg",'Averages Pivot Table'!$A$3,"State","AL","Category",9,"Category2","Two-Year")</f>
        <v>0</v>
      </c>
      <c r="E400" s="118">
        <f>IF(D400&gt;0,(RANK(D400,D$400:D$418)),0)</f>
        <v>0</v>
      </c>
      <c r="F400" s="126">
        <f>+GETPIVOTDATA(" New Ast. avg",'Averages Pivot Table'!$A$3,"State","AL","Category",9,"Category2","Two-Year")</f>
        <v>0</v>
      </c>
      <c r="G400" s="118">
        <f t="shared" ref="G400:G418" si="55">IF(F400&gt;0,(RANK(F400,F$400:F$418)),0)</f>
        <v>0</v>
      </c>
      <c r="H400" s="126">
        <f>+GETPIVOTDATA(" New Inst. avg",'Averages Pivot Table'!$A$3,"State","AL","Category",9,"Category2","Two-Year")</f>
        <v>0</v>
      </c>
      <c r="I400" s="118">
        <f t="shared" ref="I400:I418" si="56">IF(H400&gt;0,(RANK(H400,H$400:H$418)),0)</f>
        <v>0</v>
      </c>
      <c r="J400" s="126">
        <f>+GETPIVOTDATA(" New Undesg. avg",'Averages Pivot Table'!$A$3,"State","AL","Category",9,"Category2","Two-Year")</f>
        <v>0</v>
      </c>
      <c r="K400" s="118">
        <f t="shared" ref="K400:K418" si="57">IF(J400&gt;0,(RANK(J400,J$400:J$418)),0)</f>
        <v>0</v>
      </c>
      <c r="L400" s="126">
        <f>+GETPIVOTDATA(" New Single Rnk avg",'Averages Pivot Table'!$A$3,"State","AL","Category",9,"Category2","Two-Year")</f>
        <v>53168.077911677283</v>
      </c>
      <c r="M400" s="118">
        <f t="shared" ref="M400:M418" si="58">IF(L400&gt;0,(RANK(L400,L$400:L$418)),0)</f>
        <v>2</v>
      </c>
      <c r="N400" s="126">
        <f>+GETPIVOTDATA(" New All Ranks avg",'Averages Pivot Table'!$A$3,"State","AL","Category",9,"Category2","Two-Year")</f>
        <v>53168.077911677283</v>
      </c>
      <c r="O400" s="118">
        <f t="shared" ref="O400:O418" si="59">IF(N400&gt;0,(RANK(N400,N$400:N$418)),0)</f>
        <v>3</v>
      </c>
    </row>
    <row r="401" spans="1:15" ht="12.95" customHeight="1" x14ac:dyDescent="0.25">
      <c r="A401" s="132" t="s">
        <v>206</v>
      </c>
      <c r="B401" s="126">
        <f>+GETPIVOTDATA(" New Prof avg",'Averages Pivot Table'!$A$3,"State","AR","Category",9,"Category2","Two-Year")</f>
        <v>46380.800000000003</v>
      </c>
      <c r="C401" s="118">
        <f t="shared" ref="C401:E418" si="60">IF(B401&gt;0,(RANK(B401,B$400:B$418)),0)</f>
        <v>8</v>
      </c>
      <c r="D401" s="126">
        <f>+GETPIVOTDATA(" New Asc. avg",'Averages Pivot Table'!$A$3,"State","AR","Category",9,"Category2","Two-Year")</f>
        <v>55515.918220000007</v>
      </c>
      <c r="E401" s="118">
        <f t="shared" si="60"/>
        <v>3</v>
      </c>
      <c r="F401" s="126">
        <f>+GETPIVOTDATA(" New Ast. avg",'Averages Pivot Table'!$A$3,"State","AR","Category",9,"Category2","Two-Year")</f>
        <v>45569.826518749993</v>
      </c>
      <c r="G401" s="118">
        <f t="shared" si="55"/>
        <v>4</v>
      </c>
      <c r="H401" s="126">
        <f>+GETPIVOTDATA(" New Inst. avg",'Averages Pivot Table'!$A$3,"State","AR","Category",9,"Category2","Two-Year")</f>
        <v>40492.052722108107</v>
      </c>
      <c r="I401" s="118">
        <f t="shared" si="56"/>
        <v>5</v>
      </c>
      <c r="J401" s="126">
        <f>+GETPIVOTDATA(" New Undesg. avg",'Averages Pivot Table'!$A$3,"State","AR","Category",9,"Category2","Two-Year")</f>
        <v>0</v>
      </c>
      <c r="K401" s="118">
        <f t="shared" si="57"/>
        <v>0</v>
      </c>
      <c r="L401" s="126">
        <f>+GETPIVOTDATA(" New Single Rnk avg",'Averages Pivot Table'!$A$3,"State","AR","Category",9,"Category2","Two-Year")</f>
        <v>43056.377430927831</v>
      </c>
      <c r="M401" s="118">
        <f t="shared" si="58"/>
        <v>8</v>
      </c>
      <c r="N401" s="126">
        <f>+GETPIVOTDATA(" New All Ranks avg",'Averages Pivot Table'!$A$3,"State","AR","Category",9,"Category2","Two-Year")</f>
        <v>43202.652032275233</v>
      </c>
      <c r="O401" s="118">
        <f t="shared" si="59"/>
        <v>15</v>
      </c>
    </row>
    <row r="402" spans="1:15" ht="12.95" customHeight="1" x14ac:dyDescent="0.25">
      <c r="A402" s="132" t="s">
        <v>221</v>
      </c>
      <c r="B402" s="126">
        <f>+GETPIVOTDATA(" New Prof avg",'Averages Pivot Table'!$A$3,"State","DE","Category",9,"Category2","Two-Year")</f>
        <v>0</v>
      </c>
      <c r="C402" s="118">
        <f t="shared" si="60"/>
        <v>0</v>
      </c>
      <c r="D402" s="126">
        <f>+GETPIVOTDATA(" New Asc. avg",'Averages Pivot Table'!$A$3,"State","DE","Category",9,"Category2","Two-Year")</f>
        <v>0</v>
      </c>
      <c r="E402" s="118">
        <f t="shared" si="60"/>
        <v>0</v>
      </c>
      <c r="F402" s="126">
        <f>+GETPIVOTDATA(" New Ast. avg",'Averages Pivot Table'!$A$3,"State","DE","Category",9,"Category2","Two-Year")</f>
        <v>0</v>
      </c>
      <c r="G402" s="118">
        <f t="shared" si="55"/>
        <v>0</v>
      </c>
      <c r="H402" s="126">
        <f>+GETPIVOTDATA(" New Inst. avg",'Averages Pivot Table'!$A$3,"State","DE","Category",9,"Category2","Two-Year")</f>
        <v>0</v>
      </c>
      <c r="I402" s="118">
        <f t="shared" si="56"/>
        <v>0</v>
      </c>
      <c r="J402" s="126">
        <f>+GETPIVOTDATA(" New Undesg. avg",'Averages Pivot Table'!$A$3,"State","DE","Category",9,"Category2","Two-Year")</f>
        <v>0</v>
      </c>
      <c r="K402" s="118">
        <f t="shared" si="57"/>
        <v>0</v>
      </c>
      <c r="L402" s="126">
        <f>+GETPIVOTDATA(" New Single Rnk avg",'Averages Pivot Table'!$A$3,"State","DE","Category",9,"Category2","Two-Year")</f>
        <v>64815.738647540988</v>
      </c>
      <c r="M402" s="118">
        <f t="shared" si="58"/>
        <v>1</v>
      </c>
      <c r="N402" s="126">
        <f>+GETPIVOTDATA(" New All Ranks avg",'Averages Pivot Table'!$A$3,"State","DE","Category",9,"Category2","Two-Year")</f>
        <v>64815.738647540988</v>
      </c>
      <c r="O402" s="118">
        <f t="shared" si="59"/>
        <v>1</v>
      </c>
    </row>
    <row r="403" spans="1:15" ht="12.95" customHeight="1" x14ac:dyDescent="0.25">
      <c r="A403" s="132" t="s">
        <v>207</v>
      </c>
      <c r="B403" s="126">
        <f>+GETPIVOTDATA(" New Prof avg",'Averages Pivot Table'!$A$3,"State","FL","Category",9,"Category2","Two-Year")</f>
        <v>0</v>
      </c>
      <c r="C403" s="118">
        <f t="shared" si="60"/>
        <v>0</v>
      </c>
      <c r="D403" s="126">
        <f>+GETPIVOTDATA(" New Asc. avg",'Averages Pivot Table'!$A$3,"State","FL","Category",9,"Category2","Two-Year")</f>
        <v>0</v>
      </c>
      <c r="E403" s="118">
        <f t="shared" si="60"/>
        <v>0</v>
      </c>
      <c r="F403" s="126">
        <f>+GETPIVOTDATA(" New Ast. avg",'Averages Pivot Table'!$A$3,"State","FL","Category",9,"Category2","Two-Year")</f>
        <v>0</v>
      </c>
      <c r="G403" s="118">
        <f t="shared" si="55"/>
        <v>0</v>
      </c>
      <c r="H403" s="126">
        <f>+GETPIVOTDATA(" New Inst. avg",'Averages Pivot Table'!$A$3,"State","FL","Category",9,"Category2","Two-Year")</f>
        <v>0</v>
      </c>
      <c r="I403" s="118">
        <f t="shared" si="56"/>
        <v>0</v>
      </c>
      <c r="J403" s="126">
        <f>+GETPIVOTDATA(" New Undesg. avg",'Averages Pivot Table'!$A$3,"State","FL","Category",9,"Category2","Two-Year")</f>
        <v>0</v>
      </c>
      <c r="K403" s="118">
        <f t="shared" si="57"/>
        <v>0</v>
      </c>
      <c r="L403" s="126">
        <f>+GETPIVOTDATA(" New Single Rnk avg",'Averages Pivot Table'!$A$3,"State","FL","Category",9,"Category2","Two-Year")</f>
        <v>47575.791383219956</v>
      </c>
      <c r="M403" s="118">
        <f t="shared" si="58"/>
        <v>5</v>
      </c>
      <c r="N403" s="126">
        <f>+GETPIVOTDATA(" New All Ranks avg",'Averages Pivot Table'!$A$3,"State","FL","Category",9,"Category2","Two-Year")</f>
        <v>47575.791383219956</v>
      </c>
      <c r="O403" s="118">
        <f t="shared" si="59"/>
        <v>9</v>
      </c>
    </row>
    <row r="404" spans="1:15" ht="12.95" customHeight="1" x14ac:dyDescent="0.25">
      <c r="A404" s="132"/>
      <c r="B404" s="126"/>
      <c r="C404" s="118">
        <f t="shared" si="60"/>
        <v>0</v>
      </c>
      <c r="D404" s="126"/>
      <c r="E404" s="118">
        <f t="shared" si="60"/>
        <v>0</v>
      </c>
      <c r="F404" s="126"/>
      <c r="G404" s="118">
        <f t="shared" si="55"/>
        <v>0</v>
      </c>
      <c r="H404" s="126"/>
      <c r="I404" s="118">
        <f t="shared" si="56"/>
        <v>0</v>
      </c>
      <c r="J404" s="126"/>
      <c r="K404" s="118">
        <f t="shared" si="57"/>
        <v>0</v>
      </c>
      <c r="L404" s="126"/>
      <c r="M404" s="118">
        <f t="shared" si="58"/>
        <v>0</v>
      </c>
      <c r="N404" s="126"/>
      <c r="O404" s="118">
        <f t="shared" si="59"/>
        <v>0</v>
      </c>
    </row>
    <row r="405" spans="1:15" ht="12.95" customHeight="1" x14ac:dyDescent="0.25">
      <c r="A405" s="132" t="s">
        <v>208</v>
      </c>
      <c r="B405" s="126">
        <f>+GETPIVOTDATA(" New Prof avg",'Averages Pivot Table'!$A$3,"State","GA","Category",9,"Category2","Two-Year")</f>
        <v>60783.103926315787</v>
      </c>
      <c r="C405" s="118">
        <f t="shared" si="60"/>
        <v>4</v>
      </c>
      <c r="D405" s="126">
        <f>+GETPIVOTDATA(" New Asc. avg",'Averages Pivot Table'!$A$3,"State","GA","Category",9,"Category2","Two-Year")</f>
        <v>50740.356251006706</v>
      </c>
      <c r="E405" s="118">
        <f t="shared" si="60"/>
        <v>4</v>
      </c>
      <c r="F405" s="126">
        <f>+GETPIVOTDATA(" New Ast. avg",'Averages Pivot Table'!$A$3,"State","GA","Category",9,"Category2","Two-Year")</f>
        <v>44774.004882315116</v>
      </c>
      <c r="G405" s="118">
        <f t="shared" si="55"/>
        <v>5</v>
      </c>
      <c r="H405" s="126">
        <f>+GETPIVOTDATA(" New Inst. avg",'Averages Pivot Table'!$A$3,"State","GA","Category",9,"Category2","Two-Year")</f>
        <v>41626.422541899439</v>
      </c>
      <c r="I405" s="118">
        <f t="shared" si="56"/>
        <v>4</v>
      </c>
      <c r="J405" s="126">
        <f>+GETPIVOTDATA(" New Undesg. avg",'Averages Pivot Table'!$A$3,"State","GA","Category",9,"Category2","Two-Year")</f>
        <v>34156.294117647056</v>
      </c>
      <c r="K405" s="118">
        <f t="shared" si="57"/>
        <v>3</v>
      </c>
      <c r="L405" s="126">
        <f>+GETPIVOTDATA(" New Single Rnk avg",'Averages Pivot Table'!$A$3,"State","GA","Category",9,"Category2","Two-Year")</f>
        <v>0</v>
      </c>
      <c r="M405" s="118">
        <f t="shared" si="58"/>
        <v>0</v>
      </c>
      <c r="N405" s="126">
        <f>+GETPIVOTDATA(" New All Ranks avg",'Averages Pivot Table'!$A$3,"State","GA","Category",9,"Category2","Two-Year")</f>
        <v>45975.491998082187</v>
      </c>
      <c r="O405" s="118">
        <f t="shared" si="59"/>
        <v>11</v>
      </c>
    </row>
    <row r="406" spans="1:15" ht="12.95" customHeight="1" x14ac:dyDescent="0.25">
      <c r="A406" s="132" t="s">
        <v>209</v>
      </c>
      <c r="B406" s="126">
        <f>+GETPIVOTDATA(" New Prof avg",'Averages Pivot Table'!$A$3,"State","KY","Category",9,"Category2","Two-Year")</f>
        <v>59509.659220765025</v>
      </c>
      <c r="C406" s="118">
        <f t="shared" si="60"/>
        <v>5</v>
      </c>
      <c r="D406" s="126">
        <f>+GETPIVOTDATA(" New Asc. avg",'Averages Pivot Table'!$A$3,"State","KY","Category",9,"Category2","Two-Year")</f>
        <v>48030.448491793315</v>
      </c>
      <c r="E406" s="118">
        <f t="shared" si="60"/>
        <v>7</v>
      </c>
      <c r="F406" s="126">
        <f>+GETPIVOTDATA(" New Ast. avg",'Averages Pivot Table'!$A$3,"State","KY","Category",9,"Category2","Two-Year")</f>
        <v>40919.929538562094</v>
      </c>
      <c r="G406" s="118">
        <f t="shared" si="55"/>
        <v>7</v>
      </c>
      <c r="H406" s="126">
        <f>+GETPIVOTDATA(" New Inst. avg",'Averages Pivot Table'!$A$3,"State","KY","Category",9,"Category2","Two-Year")</f>
        <v>37649.295580291968</v>
      </c>
      <c r="I406" s="118">
        <f t="shared" si="56"/>
        <v>7</v>
      </c>
      <c r="J406" s="126">
        <f>+GETPIVOTDATA(" New Undesg. avg",'Averages Pivot Table'!$A$3,"State","KY","Category",9,"Category2","Two-Year")</f>
        <v>0</v>
      </c>
      <c r="K406" s="118">
        <f t="shared" si="57"/>
        <v>0</v>
      </c>
      <c r="L406" s="126">
        <f>+GETPIVOTDATA(" New Single Rnk avg",'Averages Pivot Table'!$A$3,"State","KY","Category",9,"Category2","Two-Year")</f>
        <v>0</v>
      </c>
      <c r="M406" s="118">
        <f t="shared" si="58"/>
        <v>0</v>
      </c>
      <c r="N406" s="126">
        <f>+GETPIVOTDATA(" New All Ranks avg",'Averages Pivot Table'!$A$3,"State","KY","Category",9,"Category2","Two-Year")</f>
        <v>48270.239783422468</v>
      </c>
      <c r="O406" s="118">
        <f t="shared" si="59"/>
        <v>7</v>
      </c>
    </row>
    <row r="407" spans="1:15" ht="12.95" customHeight="1" x14ac:dyDescent="0.25">
      <c r="A407" s="132" t="s">
        <v>210</v>
      </c>
      <c r="B407" s="126">
        <f>+GETPIVOTDATA(" New Prof avg",'Averages Pivot Table'!$A$3,"State","LA","Category",9,"Category2","Two-Year")</f>
        <v>64910.004112820512</v>
      </c>
      <c r="C407" s="118">
        <f t="shared" si="60"/>
        <v>2</v>
      </c>
      <c r="D407" s="126">
        <f>+GETPIVOTDATA(" New Asc. avg",'Averages Pivot Table'!$A$3,"State","LA","Category",9,"Category2","Two-Year")</f>
        <v>56835.156333333332</v>
      </c>
      <c r="E407" s="118">
        <f t="shared" si="60"/>
        <v>2</v>
      </c>
      <c r="F407" s="126">
        <f>+GETPIVOTDATA(" New Ast. avg",'Averages Pivot Table'!$A$3,"State","LA","Category",9,"Category2","Two-Year")</f>
        <v>50109.055555555555</v>
      </c>
      <c r="G407" s="118">
        <f t="shared" si="55"/>
        <v>2</v>
      </c>
      <c r="H407" s="126">
        <f>+GETPIVOTDATA(" New Inst. avg",'Averages Pivot Table'!$A$3,"State","LA","Category",9,"Category2","Two-Year")</f>
        <v>43982.853366896547</v>
      </c>
      <c r="I407" s="118">
        <f t="shared" si="56"/>
        <v>3</v>
      </c>
      <c r="J407" s="126">
        <f>+GETPIVOTDATA(" New Undesg. avg",'Averages Pivot Table'!$A$3,"State","LA","Category",9,"Category2","Two-Year")</f>
        <v>0</v>
      </c>
      <c r="K407" s="118">
        <f t="shared" si="57"/>
        <v>0</v>
      </c>
      <c r="L407" s="126">
        <f>+GETPIVOTDATA(" New Single Rnk avg",'Averages Pivot Table'!$A$3,"State","LA","Category",9,"Category2","Two-Year")</f>
        <v>0</v>
      </c>
      <c r="M407" s="118">
        <f t="shared" si="58"/>
        <v>0</v>
      </c>
      <c r="N407" s="126">
        <f>+GETPIVOTDATA(" New All Ranks avg",'Averages Pivot Table'!$A$3,"State","LA","Category",9,"Category2","Two-Year")</f>
        <v>49839.826275781248</v>
      </c>
      <c r="O407" s="118">
        <f t="shared" si="59"/>
        <v>5</v>
      </c>
    </row>
    <row r="408" spans="1:15" ht="12.95" customHeight="1" x14ac:dyDescent="0.25">
      <c r="A408" s="132" t="s">
        <v>211</v>
      </c>
      <c r="B408" s="126">
        <f>+GETPIVOTDATA(" New Prof avg",'Averages Pivot Table'!$A$3,"State","MD","Category",9,"Category2","Two-Year")</f>
        <v>73990.972708804722</v>
      </c>
      <c r="C408" s="118">
        <f t="shared" si="60"/>
        <v>1</v>
      </c>
      <c r="D408" s="126">
        <f>+GETPIVOTDATA(" New Asc. avg",'Averages Pivot Table'!$A$3,"State","MD","Category",9,"Category2","Two-Year")</f>
        <v>60966.16991543625</v>
      </c>
      <c r="E408" s="118">
        <f t="shared" si="60"/>
        <v>1</v>
      </c>
      <c r="F408" s="126">
        <f>+GETPIVOTDATA(" New Ast. avg",'Averages Pivot Table'!$A$3,"State","MD","Category",9,"Category2","Two-Year")</f>
        <v>53106.188626823576</v>
      </c>
      <c r="G408" s="118">
        <f t="shared" si="55"/>
        <v>1</v>
      </c>
      <c r="H408" s="126">
        <f>+GETPIVOTDATA(" New Inst. avg",'Averages Pivot Table'!$A$3,"State","MD","Category",9,"Category2","Two-Year")</f>
        <v>44746.657397796975</v>
      </c>
      <c r="I408" s="118">
        <f t="shared" si="56"/>
        <v>2</v>
      </c>
      <c r="J408" s="126">
        <f>+GETPIVOTDATA(" New Undesg. avg",'Averages Pivot Table'!$A$3,"State","MD","Category",9,"Category2","Two-Year")</f>
        <v>41740.472999999998</v>
      </c>
      <c r="K408" s="118">
        <f t="shared" si="57"/>
        <v>2</v>
      </c>
      <c r="L408" s="126">
        <f>+GETPIVOTDATA(" New Single Rnk avg",'Averages Pivot Table'!$A$3,"State","MD","Category",9,"Category2","Two-Year")</f>
        <v>0</v>
      </c>
      <c r="M408" s="118">
        <f t="shared" si="58"/>
        <v>0</v>
      </c>
      <c r="N408" s="126">
        <f>+GETPIVOTDATA(" New All Ranks avg",'Averages Pivot Table'!$A$3,"State","MD","Category",9,"Category2","Two-Year")</f>
        <v>58458.815147491601</v>
      </c>
      <c r="O408" s="118">
        <f t="shared" si="59"/>
        <v>2</v>
      </c>
    </row>
    <row r="409" spans="1:15" ht="12.95" customHeight="1" x14ac:dyDescent="0.25">
      <c r="A409" s="132"/>
      <c r="B409" s="126"/>
      <c r="C409" s="118">
        <f t="shared" si="60"/>
        <v>0</v>
      </c>
      <c r="D409" s="126"/>
      <c r="E409" s="118">
        <f t="shared" si="60"/>
        <v>0</v>
      </c>
      <c r="F409" s="126"/>
      <c r="G409" s="118">
        <f t="shared" si="55"/>
        <v>0</v>
      </c>
      <c r="H409" s="126"/>
      <c r="I409" s="118">
        <f t="shared" si="56"/>
        <v>0</v>
      </c>
      <c r="J409" s="126"/>
      <c r="K409" s="118">
        <f t="shared" si="57"/>
        <v>0</v>
      </c>
      <c r="L409" s="126"/>
      <c r="M409" s="118">
        <f t="shared" si="58"/>
        <v>0</v>
      </c>
      <c r="N409" s="126"/>
      <c r="O409" s="118">
        <f t="shared" si="59"/>
        <v>0</v>
      </c>
    </row>
    <row r="410" spans="1:15" ht="12.95" customHeight="1" x14ac:dyDescent="0.25">
      <c r="A410" s="132" t="s">
        <v>212</v>
      </c>
      <c r="B410" s="126">
        <f>+GETPIVOTDATA(" New Prof avg",'Averages Pivot Table'!$A$3,"State","MS","Category",9,"Category2","Two-Year")</f>
        <v>0</v>
      </c>
      <c r="C410" s="118">
        <f t="shared" si="60"/>
        <v>0</v>
      </c>
      <c r="D410" s="126">
        <f>+GETPIVOTDATA(" New Asc. avg",'Averages Pivot Table'!$A$3,"State","MS","Category",9,"Category2","Two-Year")</f>
        <v>0</v>
      </c>
      <c r="E410" s="118">
        <f t="shared" si="60"/>
        <v>0</v>
      </c>
      <c r="F410" s="126">
        <f>+GETPIVOTDATA(" New Ast. avg",'Averages Pivot Table'!$A$3,"State","MS","Category",9,"Category2","Two-Year")</f>
        <v>0</v>
      </c>
      <c r="G410" s="118">
        <f t="shared" si="55"/>
        <v>0</v>
      </c>
      <c r="H410" s="126">
        <f>+GETPIVOTDATA(" New Inst. avg",'Averages Pivot Table'!$A$3,"State","MS","Category",9,"Category2","Two-Year")</f>
        <v>0</v>
      </c>
      <c r="I410" s="118">
        <f t="shared" si="56"/>
        <v>0</v>
      </c>
      <c r="J410" s="126">
        <f>+GETPIVOTDATA(" New Undesg. avg",'Averages Pivot Table'!$A$3,"State","MS","Category",9,"Category2","Two-Year")</f>
        <v>0</v>
      </c>
      <c r="K410" s="118">
        <f t="shared" si="57"/>
        <v>0</v>
      </c>
      <c r="L410" s="126">
        <f>+GETPIVOTDATA(" New Single Rnk avg",'Averages Pivot Table'!$A$3,"State","MS","Category",9,"Category2","Two-Year")</f>
        <v>50652.287640033363</v>
      </c>
      <c r="M410" s="118">
        <f t="shared" si="58"/>
        <v>4</v>
      </c>
      <c r="N410" s="126">
        <f>+GETPIVOTDATA(" New All Ranks avg",'Averages Pivot Table'!$A$3,"State","MS","Category",9,"Category2","Two-Year")</f>
        <v>50652.287640033363</v>
      </c>
      <c r="O410" s="118">
        <f t="shared" si="59"/>
        <v>4</v>
      </c>
    </row>
    <row r="411" spans="1:15" ht="12.95" customHeight="1" x14ac:dyDescent="0.25">
      <c r="A411" s="132" t="s">
        <v>213</v>
      </c>
      <c r="B411" s="126">
        <f>+GETPIVOTDATA(" New Prof avg",'Averages Pivot Table'!$A$3,"State","NC","Category",9,"Category2","Two-Year")</f>
        <v>0</v>
      </c>
      <c r="C411" s="118">
        <f t="shared" si="60"/>
        <v>0</v>
      </c>
      <c r="D411" s="126">
        <f>+GETPIVOTDATA(" New Asc. avg",'Averages Pivot Table'!$A$3,"State","NC","Category",9,"Category2","Two-Year")</f>
        <v>0</v>
      </c>
      <c r="E411" s="118">
        <f t="shared" si="60"/>
        <v>0</v>
      </c>
      <c r="F411" s="126">
        <f>+GETPIVOTDATA(" New Ast. avg",'Averages Pivot Table'!$A$3,"State","NC","Category",9,"Category2","Two-Year")</f>
        <v>0</v>
      </c>
      <c r="G411" s="118">
        <f t="shared" si="55"/>
        <v>0</v>
      </c>
      <c r="H411" s="126">
        <f>+GETPIVOTDATA(" New Inst. avg",'Averages Pivot Table'!$A$3,"State","NC","Category",9,"Category2","Two-Year")</f>
        <v>0</v>
      </c>
      <c r="I411" s="118">
        <f t="shared" si="56"/>
        <v>0</v>
      </c>
      <c r="J411" s="126">
        <f>+GETPIVOTDATA(" New Undesg. avg",'Averages Pivot Table'!$A$3,"State","NC","Category",9,"Category2","Two-Year")</f>
        <v>0</v>
      </c>
      <c r="K411" s="118">
        <f t="shared" si="57"/>
        <v>0</v>
      </c>
      <c r="L411" s="126">
        <f>+GETPIVOTDATA(" New Single Rnk avg",'Averages Pivot Table'!$A$3,"State","NC","Category",9,"Category2","Two-Year")</f>
        <v>47321.805585513073</v>
      </c>
      <c r="M411" s="118">
        <f t="shared" si="58"/>
        <v>6</v>
      </c>
      <c r="N411" s="126">
        <f>+GETPIVOTDATA(" New All Ranks avg",'Averages Pivot Table'!$A$3,"State","NC","Category",9,"Category2","Two-Year")</f>
        <v>47321.805585513073</v>
      </c>
      <c r="O411" s="118">
        <f t="shared" si="59"/>
        <v>10</v>
      </c>
    </row>
    <row r="412" spans="1:15" ht="12.95" customHeight="1" x14ac:dyDescent="0.25">
      <c r="A412" s="132" t="s">
        <v>214</v>
      </c>
      <c r="B412" s="126">
        <f>+GETPIVOTDATA(" New Prof avg",'Averages Pivot Table'!$A$3,"State","OK","Category",9,"Category2","Two-Year")</f>
        <v>0</v>
      </c>
      <c r="C412" s="118">
        <f t="shared" si="60"/>
        <v>0</v>
      </c>
      <c r="D412" s="126">
        <f>+GETPIVOTDATA(" New Asc. avg",'Averages Pivot Table'!$A$3,"State","OK","Category",9,"Category2","Two-Year")</f>
        <v>0</v>
      </c>
      <c r="E412" s="118">
        <f t="shared" si="60"/>
        <v>0</v>
      </c>
      <c r="F412" s="126">
        <f>+GETPIVOTDATA(" New Ast. avg",'Averages Pivot Table'!$A$3,"State","OK","Category",9,"Category2","Two-Year")</f>
        <v>0</v>
      </c>
      <c r="G412" s="118">
        <f t="shared" si="55"/>
        <v>0</v>
      </c>
      <c r="H412" s="126">
        <f>+GETPIVOTDATA(" New Inst. avg",'Averages Pivot Table'!$A$3,"State","OK","Category",9,"Category2","Two-Year")</f>
        <v>0</v>
      </c>
      <c r="I412" s="118">
        <f t="shared" si="56"/>
        <v>0</v>
      </c>
      <c r="J412" s="126">
        <f>+GETPIVOTDATA(" New Undesg. avg",'Averages Pivot Table'!$A$3,"State","OK","Category",9,"Category2","Two-Year")</f>
        <v>0</v>
      </c>
      <c r="K412" s="118">
        <f t="shared" si="57"/>
        <v>0</v>
      </c>
      <c r="L412" s="126">
        <f>+GETPIVOTDATA(" New Single Rnk avg",'Averages Pivot Table'!$A$3,"State","OK","Category",9,"Category2","Two-Year")</f>
        <v>45582.347686315792</v>
      </c>
      <c r="M412" s="118">
        <f t="shared" si="58"/>
        <v>7</v>
      </c>
      <c r="N412" s="126">
        <f>+GETPIVOTDATA(" New All Ranks avg",'Averages Pivot Table'!$A$3,"State","OK","Category",9,"Category2","Two-Year")</f>
        <v>45582.347686315792</v>
      </c>
      <c r="O412" s="118">
        <f t="shared" si="59"/>
        <v>12</v>
      </c>
    </row>
    <row r="413" spans="1:15" ht="12.95" customHeight="1" x14ac:dyDescent="0.25">
      <c r="A413" s="132" t="s">
        <v>215</v>
      </c>
      <c r="B413" s="126">
        <f>+GETPIVOTDATA(" New Prof avg",'Averages Pivot Table'!$A$3,"State","SC","Category",9,"Category2","Two-Year")</f>
        <v>0</v>
      </c>
      <c r="C413" s="118">
        <f t="shared" si="60"/>
        <v>0</v>
      </c>
      <c r="D413" s="126">
        <f>+GETPIVOTDATA(" New Asc. avg",'Averages Pivot Table'!$A$3,"State","SC","Category",9,"Category2","Two-Year")</f>
        <v>0</v>
      </c>
      <c r="E413" s="118">
        <f t="shared" si="60"/>
        <v>0</v>
      </c>
      <c r="F413" s="126">
        <f>+GETPIVOTDATA(" New Ast. avg",'Averages Pivot Table'!$A$3,"State","SC","Category",9,"Category2","Two-Year")</f>
        <v>0</v>
      </c>
      <c r="G413" s="118">
        <f t="shared" si="55"/>
        <v>0</v>
      </c>
      <c r="H413" s="126">
        <f>+GETPIVOTDATA(" New Inst. avg",'Averages Pivot Table'!$A$3,"State","SC","Category",9,"Category2","Two-Year")</f>
        <v>0</v>
      </c>
      <c r="I413" s="118">
        <f t="shared" si="56"/>
        <v>0</v>
      </c>
      <c r="J413" s="126">
        <f>+GETPIVOTDATA(" New Undesg. avg",'Averages Pivot Table'!$A$3,"State","SC","Category",9,"Category2","Two-Year")</f>
        <v>45478.089985486215</v>
      </c>
      <c r="K413" s="118">
        <f t="shared" si="57"/>
        <v>1</v>
      </c>
      <c r="L413" s="126">
        <f>+GETPIVOTDATA(" New Single Rnk avg",'Averages Pivot Table'!$A$3,"State","SC","Category",9,"Category2","Two-Year")</f>
        <v>0</v>
      </c>
      <c r="M413" s="118">
        <f t="shared" si="58"/>
        <v>0</v>
      </c>
      <c r="N413" s="126">
        <f>+GETPIVOTDATA(" New All Ranks avg",'Averages Pivot Table'!$A$3,"State","SC","Category",9,"Category2","Two-Year")</f>
        <v>45478.089985486215</v>
      </c>
      <c r="O413" s="118">
        <f t="shared" si="59"/>
        <v>13</v>
      </c>
    </row>
    <row r="414" spans="1:15" ht="12.95" customHeight="1" x14ac:dyDescent="0.25">
      <c r="A414" s="132"/>
      <c r="B414" s="126"/>
      <c r="C414" s="118">
        <f t="shared" si="60"/>
        <v>0</v>
      </c>
      <c r="D414" s="126"/>
      <c r="E414" s="118">
        <f t="shared" si="60"/>
        <v>0</v>
      </c>
      <c r="F414" s="126"/>
      <c r="G414" s="118">
        <f t="shared" si="55"/>
        <v>0</v>
      </c>
      <c r="H414" s="126"/>
      <c r="I414" s="118">
        <f t="shared" si="56"/>
        <v>0</v>
      </c>
      <c r="J414" s="126"/>
      <c r="K414" s="118">
        <f t="shared" si="57"/>
        <v>0</v>
      </c>
      <c r="L414" s="126"/>
      <c r="M414" s="118">
        <f t="shared" si="58"/>
        <v>0</v>
      </c>
      <c r="N414" s="126"/>
      <c r="O414" s="118">
        <f t="shared" si="59"/>
        <v>0</v>
      </c>
    </row>
    <row r="415" spans="1:15" ht="12.95" customHeight="1" x14ac:dyDescent="0.25">
      <c r="A415" s="132" t="s">
        <v>216</v>
      </c>
      <c r="B415" s="563">
        <f>+GETPIVOTDATA(" New Prof avg",'Averages Pivot Table'!$A$3,"State","TN","Category",9,"Category2","Two-Year")</f>
        <v>61479.711747474743</v>
      </c>
      <c r="C415" s="118">
        <f t="shared" si="60"/>
        <v>3</v>
      </c>
      <c r="D415" s="563">
        <f>+GETPIVOTDATA(" New Asc. avg",'Averages Pivot Table'!$A$3,"State","TN","Category",9,"Category2","Two-Year")</f>
        <v>50453.980449999995</v>
      </c>
      <c r="E415" s="118">
        <f t="shared" si="60"/>
        <v>5</v>
      </c>
      <c r="F415" s="563">
        <f>+GETPIVOTDATA(" New Ast. avg",'Averages Pivot Table'!$A$3,"State","TN","Category",9,"Category2","Two-Year")</f>
        <v>42633.372014364642</v>
      </c>
      <c r="G415" s="118">
        <f t="shared" si="55"/>
        <v>6</v>
      </c>
      <c r="H415" s="563">
        <f>+GETPIVOTDATA(" New Inst. avg",'Averages Pivot Table'!$A$3,"State","TN","Category",9,"Category2","Two-Year")</f>
        <v>38725.72578909091</v>
      </c>
      <c r="I415" s="118">
        <f t="shared" si="56"/>
        <v>6</v>
      </c>
      <c r="J415" s="563">
        <f>+GETPIVOTDATA(" New Undesg. avg",'Averages Pivot Table'!$A$3,"State","TN","Category",9,"Category2","Two-Year")</f>
        <v>0</v>
      </c>
      <c r="K415" s="118">
        <f t="shared" si="57"/>
        <v>0</v>
      </c>
      <c r="L415" s="563">
        <f>+GETPIVOTDATA(" New Single Rnk avg",'Averages Pivot Table'!$A$3,"State","TN","Category",9,"Category2","Two-Year")</f>
        <v>0</v>
      </c>
      <c r="M415" s="118">
        <f t="shared" si="58"/>
        <v>0</v>
      </c>
      <c r="N415" s="126">
        <f>+GETPIVOTDATA(" New All Ranks avg",'Averages Pivot Table'!$A$3,"State","TN","Category",9,"Category2","Two-Year")</f>
        <v>47633.575022471916</v>
      </c>
      <c r="O415" s="118">
        <f t="shared" si="59"/>
        <v>8</v>
      </c>
    </row>
    <row r="416" spans="1:15" ht="12.95" customHeight="1" x14ac:dyDescent="0.25">
      <c r="A416" s="132" t="s">
        <v>217</v>
      </c>
      <c r="B416" s="563">
        <f>+GETPIVOTDATA(" New Prof avg",'Averages Pivot Table'!$A$3,"State","TX","Category",9,"Category2","Two-Year")</f>
        <v>49020.9745625</v>
      </c>
      <c r="C416" s="118">
        <f t="shared" si="60"/>
        <v>7</v>
      </c>
      <c r="D416" s="563">
        <f>+GETPIVOTDATA(" New Asc. avg",'Averages Pivot Table'!$A$3,"State","TX","Category",9,"Category2","Two-Year")</f>
        <v>49413.609140136061</v>
      </c>
      <c r="E416" s="118">
        <f t="shared" si="60"/>
        <v>6</v>
      </c>
      <c r="F416" s="563">
        <f>+GETPIVOTDATA(" New Ast. avg",'Averages Pivot Table'!$A$3,"State","TX","Category",9,"Category2","Two-Year")</f>
        <v>46824.012402666667</v>
      </c>
      <c r="G416" s="118">
        <f t="shared" si="55"/>
        <v>3</v>
      </c>
      <c r="H416" s="563">
        <f>+GETPIVOTDATA(" New Inst. avg",'Averages Pivot Table'!$A$3,"State","TX","Category",9,"Category2","Two-Year")</f>
        <v>47459.899409392259</v>
      </c>
      <c r="I416" s="118">
        <f t="shared" si="56"/>
        <v>1</v>
      </c>
      <c r="J416" s="563">
        <f>+GETPIVOTDATA(" New Undesg. avg",'Averages Pivot Table'!$A$3,"State","TX","Category",9,"Category2","Two-Year")</f>
        <v>0</v>
      </c>
      <c r="K416" s="118">
        <f t="shared" si="57"/>
        <v>0</v>
      </c>
      <c r="L416" s="563">
        <f>+GETPIVOTDATA(" New Single Rnk avg",'Averages Pivot Table'!$A$3,"State","TX","Category",9,"Category2","Two-Year")</f>
        <v>52308.973296602664</v>
      </c>
      <c r="M416" s="118">
        <f t="shared" si="58"/>
        <v>3</v>
      </c>
      <c r="N416" s="126">
        <f>+GETPIVOTDATA(" New All Ranks avg",'Averages Pivot Table'!$A$3,"State","TX","Category",9,"Category2","Two-Year")</f>
        <v>49126.186142032529</v>
      </c>
      <c r="O416" s="118">
        <f t="shared" si="59"/>
        <v>6</v>
      </c>
    </row>
    <row r="417" spans="1:19" ht="12.95" customHeight="1" x14ac:dyDescent="0.25">
      <c r="A417" s="132" t="s">
        <v>218</v>
      </c>
      <c r="B417" s="563">
        <f>+GETPIVOTDATA(" New Prof avg",'Averages Pivot Table'!$A$3,"State","VA","Category",9,"Category2","Two-Year")</f>
        <v>0</v>
      </c>
      <c r="C417" s="118">
        <f t="shared" si="60"/>
        <v>0</v>
      </c>
      <c r="D417" s="563">
        <f>+GETPIVOTDATA(" New Asc. avg",'Averages Pivot Table'!$A$3,"State","VA","Category",9,"Category2","Two-Year")</f>
        <v>0</v>
      </c>
      <c r="E417" s="118">
        <f t="shared" si="60"/>
        <v>0</v>
      </c>
      <c r="F417" s="563">
        <f>+GETPIVOTDATA(" New Ast. avg",'Averages Pivot Table'!$A$3,"State","VA","Category",9,"Category2","Two-Year")</f>
        <v>0</v>
      </c>
      <c r="G417" s="118">
        <f t="shared" si="55"/>
        <v>0</v>
      </c>
      <c r="H417" s="563">
        <f>+GETPIVOTDATA(" New Inst. avg",'Averages Pivot Table'!$A$3,"State","VA","Category",9,"Category2","Two-Year")</f>
        <v>0</v>
      </c>
      <c r="I417" s="118">
        <f t="shared" si="56"/>
        <v>0</v>
      </c>
      <c r="J417" s="563">
        <f>+GETPIVOTDATA(" New Undesg. avg",'Averages Pivot Table'!$A$3,"State","VA","Category",9,"Category2","Two-Year")</f>
        <v>0</v>
      </c>
      <c r="K417" s="118">
        <f t="shared" si="57"/>
        <v>0</v>
      </c>
      <c r="L417" s="563">
        <f>+GETPIVOTDATA(" New Single Rnk avg",'Averages Pivot Table'!$A$3,"State","VA","Category",9,"Category2","Two-Year")</f>
        <v>0</v>
      </c>
      <c r="M417" s="118">
        <f t="shared" si="58"/>
        <v>0</v>
      </c>
      <c r="N417" s="126">
        <f>+GETPIVOTDATA(" New All Ranks avg",'Averages Pivot Table'!$A$3,"State","VA","Category",9,"Category2","Two-Year")</f>
        <v>0</v>
      </c>
      <c r="O417" s="118">
        <f t="shared" si="59"/>
        <v>0</v>
      </c>
    </row>
    <row r="418" spans="1:19" ht="12.95" customHeight="1" x14ac:dyDescent="0.25">
      <c r="A418" s="6" t="s">
        <v>219</v>
      </c>
      <c r="B418" s="566">
        <f>+GETPIVOTDATA(" New Prof avg",'Averages Pivot Table'!$A$3,"State","WV","Category",9,"Category2","Two-Year")</f>
        <v>58966</v>
      </c>
      <c r="C418" s="119">
        <f t="shared" si="60"/>
        <v>6</v>
      </c>
      <c r="D418" s="566">
        <f>+GETPIVOTDATA(" New Asc. avg",'Averages Pivot Table'!$A$3,"State","WV","Category",9,"Category2","Two-Year")</f>
        <v>47293</v>
      </c>
      <c r="E418" s="119">
        <f t="shared" si="60"/>
        <v>8</v>
      </c>
      <c r="F418" s="566">
        <f>+GETPIVOTDATA(" New Ast. avg",'Averages Pivot Table'!$A$3,"State","WV","Category",9,"Category2","Two-Year")</f>
        <v>40597.585714285713</v>
      </c>
      <c r="G418" s="119">
        <f t="shared" si="55"/>
        <v>8</v>
      </c>
      <c r="H418" s="566">
        <f>+GETPIVOTDATA(" New Inst. avg",'Averages Pivot Table'!$A$3,"State","WV","Category",9,"Category2","Two-Year")</f>
        <v>33852.75</v>
      </c>
      <c r="I418" s="119">
        <f t="shared" si="56"/>
        <v>8</v>
      </c>
      <c r="J418" s="566">
        <f>+GETPIVOTDATA(" New Undesg. avg",'Averages Pivot Table'!$A$3,"State","WV","Category",9,"Category2","Two-Year")</f>
        <v>0</v>
      </c>
      <c r="K418" s="119">
        <f t="shared" si="57"/>
        <v>0</v>
      </c>
      <c r="L418" s="566">
        <f>+GETPIVOTDATA(" New Single Rnk avg",'Averages Pivot Table'!$A$3,"State","WV","Category",9,"Category2","Two-Year")</f>
        <v>0</v>
      </c>
      <c r="M418" s="119">
        <f t="shared" si="58"/>
        <v>0</v>
      </c>
      <c r="N418" s="566">
        <f>+GETPIVOTDATA(" New All Ranks avg",'Averages Pivot Table'!$A$3,"State","WV","Category",9,"Category2","Two-Year")</f>
        <v>45476.420967741935</v>
      </c>
      <c r="O418" s="119">
        <f t="shared" si="59"/>
        <v>14</v>
      </c>
    </row>
    <row r="419" spans="1:19" ht="30" customHeight="1" x14ac:dyDescent="0.25">
      <c r="A419" s="670" t="s">
        <v>91</v>
      </c>
      <c r="B419" s="670"/>
      <c r="C419" s="670"/>
      <c r="D419" s="670"/>
      <c r="E419" s="670"/>
      <c r="F419" s="670"/>
      <c r="G419" s="670"/>
      <c r="H419" s="670"/>
      <c r="I419" s="670"/>
      <c r="J419" s="670"/>
      <c r="K419" s="670"/>
      <c r="L419" s="670"/>
      <c r="M419" s="670"/>
      <c r="N419" s="670"/>
      <c r="O419" s="670"/>
    </row>
    <row r="420" spans="1:19" x14ac:dyDescent="0.25">
      <c r="O420" s="157" t="s">
        <v>1083</v>
      </c>
    </row>
    <row r="421" spans="1:19" ht="18" x14ac:dyDescent="0.25">
      <c r="A421" s="544" t="s">
        <v>273</v>
      </c>
      <c r="B421" s="544"/>
      <c r="C421" s="544"/>
      <c r="D421" s="544"/>
      <c r="E421" s="544"/>
      <c r="F421" s="544"/>
      <c r="G421" s="544"/>
      <c r="H421" s="544"/>
      <c r="I421" s="544"/>
      <c r="J421" s="544"/>
      <c r="K421" s="544"/>
      <c r="L421" s="544"/>
      <c r="M421" s="544"/>
      <c r="N421" s="544"/>
      <c r="O421" s="544"/>
    </row>
    <row r="422" spans="1:19" x14ac:dyDescent="0.25">
      <c r="A422" s="588"/>
      <c r="B422" s="93"/>
      <c r="C422" s="93"/>
      <c r="D422" s="93"/>
      <c r="E422" s="93"/>
      <c r="F422" s="93"/>
      <c r="G422" s="93"/>
      <c r="H422" s="93"/>
      <c r="I422" s="93"/>
      <c r="J422" s="93"/>
      <c r="K422" s="93"/>
      <c r="L422" s="93"/>
      <c r="M422" s="93"/>
      <c r="N422" s="93"/>
      <c r="O422" s="93"/>
    </row>
    <row r="423" spans="1:19" x14ac:dyDescent="0.25">
      <c r="A423" s="665" t="s">
        <v>220</v>
      </c>
      <c r="B423" s="665"/>
      <c r="C423" s="665"/>
      <c r="D423" s="665"/>
      <c r="E423" s="665"/>
      <c r="F423" s="665"/>
      <c r="G423" s="665"/>
      <c r="H423" s="665"/>
      <c r="I423" s="665"/>
      <c r="J423" s="665"/>
      <c r="K423" s="665"/>
      <c r="L423" s="665"/>
      <c r="M423" s="665"/>
      <c r="N423" s="665"/>
      <c r="O423" s="665"/>
    </row>
    <row r="424" spans="1:19" x14ac:dyDescent="0.25">
      <c r="A424" s="665" t="s">
        <v>1059</v>
      </c>
      <c r="B424" s="665"/>
      <c r="C424" s="665"/>
      <c r="D424" s="665"/>
      <c r="E424" s="665"/>
      <c r="F424" s="665"/>
      <c r="G424" s="665"/>
      <c r="H424" s="665"/>
      <c r="I424" s="665"/>
      <c r="J424" s="665"/>
      <c r="K424" s="665"/>
      <c r="L424" s="665"/>
      <c r="M424" s="665"/>
      <c r="N424" s="665"/>
      <c r="O424" s="665"/>
    </row>
    <row r="425" spans="1:19" x14ac:dyDescent="0.25">
      <c r="A425" s="132"/>
      <c r="B425" s="132"/>
      <c r="C425" s="132"/>
      <c r="D425" s="132"/>
      <c r="E425" s="132"/>
      <c r="F425" s="132"/>
      <c r="G425" s="132"/>
      <c r="H425" s="132"/>
      <c r="I425" s="132"/>
      <c r="J425" s="132"/>
      <c r="K425" s="132"/>
      <c r="L425" s="132"/>
      <c r="M425" s="132"/>
      <c r="N425" s="132"/>
      <c r="O425" s="132"/>
    </row>
    <row r="426" spans="1:19" ht="33" customHeight="1" x14ac:dyDescent="0.25">
      <c r="A426" s="547"/>
      <c r="B426" s="589" t="s">
        <v>99</v>
      </c>
      <c r="C426" s="142"/>
      <c r="D426" s="590" t="s">
        <v>100</v>
      </c>
      <c r="E426" s="591"/>
      <c r="F426" s="590" t="s">
        <v>101</v>
      </c>
      <c r="G426" s="591"/>
      <c r="H426" s="589" t="s">
        <v>102</v>
      </c>
      <c r="I426" s="142"/>
      <c r="J426" s="590" t="s">
        <v>226</v>
      </c>
      <c r="K426" s="591"/>
      <c r="L426" s="142" t="s">
        <v>82</v>
      </c>
      <c r="M426" s="142"/>
      <c r="N426" s="142" t="s">
        <v>84</v>
      </c>
      <c r="O426" s="142"/>
    </row>
    <row r="427" spans="1:19" x14ac:dyDescent="0.25">
      <c r="A427" s="551"/>
      <c r="B427" s="115" t="s">
        <v>103</v>
      </c>
      <c r="C427" s="143" t="s">
        <v>193</v>
      </c>
      <c r="D427" s="115" t="s">
        <v>103</v>
      </c>
      <c r="E427" s="143" t="s">
        <v>193</v>
      </c>
      <c r="F427" s="115" t="s">
        <v>103</v>
      </c>
      <c r="G427" s="143" t="s">
        <v>193</v>
      </c>
      <c r="H427" s="115" t="s">
        <v>103</v>
      </c>
      <c r="I427" s="143" t="s">
        <v>193</v>
      </c>
      <c r="J427" s="115" t="s">
        <v>103</v>
      </c>
      <c r="K427" s="143" t="s">
        <v>193</v>
      </c>
      <c r="L427" s="115" t="s">
        <v>103</v>
      </c>
      <c r="M427" s="143" t="s">
        <v>193</v>
      </c>
      <c r="N427" s="115" t="s">
        <v>103</v>
      </c>
      <c r="O427" s="143" t="s">
        <v>193</v>
      </c>
    </row>
    <row r="428" spans="1:19" s="556" customFormat="1" ht="18" customHeight="1" x14ac:dyDescent="0.25">
      <c r="A428" s="554" t="s">
        <v>222</v>
      </c>
      <c r="B428" s="146">
        <f>+GETPIVOTDATA(" New Prof avg",'Averages Pivot Table'!$A$3,"Category",10,"Category2","Two-Year")</f>
        <v>61293.719690344828</v>
      </c>
      <c r="C428" s="146"/>
      <c r="D428" s="146">
        <f>+GETPIVOTDATA(" New Asc. avg",'Averages Pivot Table'!$A$3,"Category",10,"Category2","Two-Year")</f>
        <v>52775.497355102038</v>
      </c>
      <c r="E428" s="146"/>
      <c r="F428" s="146">
        <f>+GETPIVOTDATA(" New Ast. avg",'Averages Pivot Table'!$A$3,"Category",10,"Category2","Two-Year")</f>
        <v>45443.293556770404</v>
      </c>
      <c r="G428" s="146"/>
      <c r="H428" s="146">
        <f>+GETPIVOTDATA(" New Inst. avg",'Averages Pivot Table'!$A$3,"Category",10,"Category2","Two-Year")</f>
        <v>39950.218470314496</v>
      </c>
      <c r="I428" s="146"/>
      <c r="J428" s="146">
        <f>+GETPIVOTDATA(" New Undesg. avg",'Averages Pivot Table'!$A$3,"Category",10,"Category2","Two-Year")</f>
        <v>41265.90426744186</v>
      </c>
      <c r="K428" s="146"/>
      <c r="L428" s="146">
        <f>+GETPIVOTDATA(" New Single Rnk avg",'Averages Pivot Table'!$A$3,"Category",10,"Category2","Two-Year")</f>
        <v>46002.439544702916</v>
      </c>
      <c r="M428" s="146"/>
      <c r="N428" s="146">
        <f>+GETPIVOTDATA(" New All Ranks avg",'Averages Pivot Table'!$A$3,"Category",10,"Category2","Two-Year")</f>
        <v>46030.460778177585</v>
      </c>
      <c r="O428" s="133"/>
      <c r="Q428" s="558"/>
      <c r="R428" s="558"/>
      <c r="S428" s="558"/>
    </row>
    <row r="429" spans="1:19" ht="12.95" customHeight="1" x14ac:dyDescent="0.25">
      <c r="A429" s="132"/>
      <c r="B429" s="123"/>
      <c r="C429" s="150"/>
      <c r="D429" s="123"/>
      <c r="E429" s="150"/>
      <c r="F429" s="123"/>
      <c r="G429" s="150"/>
      <c r="H429" s="123"/>
      <c r="I429" s="150"/>
      <c r="J429" s="123"/>
      <c r="K429" s="150"/>
      <c r="L429" s="123"/>
      <c r="M429" s="150"/>
      <c r="N429" s="123"/>
      <c r="O429" s="134"/>
    </row>
    <row r="430" spans="1:19" ht="12.95" customHeight="1" x14ac:dyDescent="0.25">
      <c r="A430" s="132" t="s">
        <v>205</v>
      </c>
      <c r="B430" s="126">
        <f>+GETPIVOTDATA(" New Prof avg",'Averages Pivot Table'!$A$3,"State","AL","Category",10,"Category2","Two-Year")</f>
        <v>0</v>
      </c>
      <c r="C430" s="118">
        <f>IF(B430&gt;0,(RANK(B430,B$430:B$448)),0)</f>
        <v>0</v>
      </c>
      <c r="D430" s="126">
        <f>+GETPIVOTDATA(" New Asc. avg",'Averages Pivot Table'!$A$3,"State","AL","Category",10,"Category2","Two-Year")</f>
        <v>0</v>
      </c>
      <c r="E430" s="118">
        <f>IF(D430&gt;0,(RANK(D430,D$430:D$448)),0)</f>
        <v>0</v>
      </c>
      <c r="F430" s="126">
        <f>+GETPIVOTDATA(" New Ast. avg",'Averages Pivot Table'!$A$3,"State","AL","Category",10,"Category2","Two-Year")</f>
        <v>0</v>
      </c>
      <c r="G430" s="118">
        <f t="shared" ref="G430:G448" si="61">IF(F430&gt;0,(RANK(F430,F$430:F$448)),0)</f>
        <v>0</v>
      </c>
      <c r="H430" s="126">
        <f>+GETPIVOTDATA(" New Inst. avg",'Averages Pivot Table'!$A$3,"State","AL","Category",10,"Category2","Two-Year")</f>
        <v>0</v>
      </c>
      <c r="I430" s="118">
        <f t="shared" ref="I430:I448" si="62">IF(H430&gt;0,(RANK(H430,H$430:H$448)),0)</f>
        <v>0</v>
      </c>
      <c r="J430" s="126">
        <f>+GETPIVOTDATA(" New Undesg. avg",'Averages Pivot Table'!$A$3,"State","AL","Category",10,"Category2","Two-Year")</f>
        <v>0</v>
      </c>
      <c r="K430" s="118">
        <f t="shared" ref="K430:K448" si="63">IF(J430&gt;0,(RANK(J430,J$430:J$448)),0)</f>
        <v>0</v>
      </c>
      <c r="L430" s="126">
        <f>+GETPIVOTDATA(" New Single Rnk avg",'Averages Pivot Table'!$A$3,"State","AL","Category",10,"Category2","Two-Year")</f>
        <v>52098.867070110704</v>
      </c>
      <c r="M430" s="118">
        <f t="shared" ref="M430:M448" si="64">IF(L430&gt;0,(RANK(L430,L$430:L$448)),0)</f>
        <v>2</v>
      </c>
      <c r="N430" s="126">
        <f>+GETPIVOTDATA(" New All Ranks avg",'Averages Pivot Table'!$A$3,"State","AL","Category",10,"Category2","Two-Year")</f>
        <v>52098.867070110704</v>
      </c>
      <c r="O430" s="118">
        <f t="shared" ref="O430:O448" si="65">IF(N430&gt;0,(RANK(N430,N$430:N$448)),0)</f>
        <v>4</v>
      </c>
    </row>
    <row r="431" spans="1:19" ht="12.95" customHeight="1" x14ac:dyDescent="0.25">
      <c r="A431" s="132" t="s">
        <v>206</v>
      </c>
      <c r="B431" s="126">
        <f>+GETPIVOTDATA(" New Prof avg",'Averages Pivot Table'!$A$3,"State","AR","Category",10,"Category2","Two-Year")</f>
        <v>54407.963973333332</v>
      </c>
      <c r="C431" s="118">
        <f t="shared" ref="C431:E448" si="66">IF(B431&gt;0,(RANK(B431,B$430:B$448)),0)</f>
        <v>7</v>
      </c>
      <c r="D431" s="126">
        <f>+GETPIVOTDATA(" New Asc. avg",'Averages Pivot Table'!$A$3,"State","AR","Category",10,"Category2","Two-Year")</f>
        <v>46242.490250000003</v>
      </c>
      <c r="E431" s="118">
        <f t="shared" si="66"/>
        <v>9</v>
      </c>
      <c r="F431" s="126">
        <f>+GETPIVOTDATA(" New Ast. avg",'Averages Pivot Table'!$A$3,"State","AR","Category",10,"Category2","Two-Year")</f>
        <v>38750.757269409085</v>
      </c>
      <c r="G431" s="118">
        <f t="shared" si="61"/>
        <v>9</v>
      </c>
      <c r="H431" s="126">
        <f>+GETPIVOTDATA(" New Inst. avg",'Averages Pivot Table'!$A$3,"State","AR","Category",10,"Category2","Two-Year")</f>
        <v>39760.003378702699</v>
      </c>
      <c r="I431" s="118">
        <f t="shared" si="62"/>
        <v>5</v>
      </c>
      <c r="J431" s="126">
        <f>+GETPIVOTDATA(" New Undesg. avg",'Averages Pivot Table'!$A$3,"State","AR","Category",10,"Category2","Two-Year")</f>
        <v>0</v>
      </c>
      <c r="K431" s="118">
        <f t="shared" si="63"/>
        <v>0</v>
      </c>
      <c r="L431" s="126">
        <f>+GETPIVOTDATA(" New Single Rnk avg",'Averages Pivot Table'!$A$3,"State","AR","Category",10,"Category2","Two-Year")</f>
        <v>42182.48224828962</v>
      </c>
      <c r="M431" s="118">
        <f t="shared" si="64"/>
        <v>7</v>
      </c>
      <c r="N431" s="126">
        <f>+GETPIVOTDATA(" New All Ranks avg",'Averages Pivot Table'!$A$3,"State","AR","Category",10,"Category2","Two-Year")</f>
        <v>41939.359957216337</v>
      </c>
      <c r="O431" s="118">
        <f t="shared" si="65"/>
        <v>14</v>
      </c>
    </row>
    <row r="432" spans="1:19" ht="12.95" customHeight="1" x14ac:dyDescent="0.25">
      <c r="A432" s="132" t="s">
        <v>221</v>
      </c>
      <c r="B432" s="126">
        <f>+GETPIVOTDATA(" New Prof avg",'Averages Pivot Table'!$A$3,"State","DE","Category",10,"Category2","Two-Year")</f>
        <v>0</v>
      </c>
      <c r="C432" s="118">
        <f t="shared" si="66"/>
        <v>0</v>
      </c>
      <c r="D432" s="126">
        <f>+GETPIVOTDATA(" New Asc. avg",'Averages Pivot Table'!$A$3,"State","DE","Category",10,"Category2","Two-Year")</f>
        <v>0</v>
      </c>
      <c r="E432" s="118">
        <f t="shared" si="66"/>
        <v>0</v>
      </c>
      <c r="F432" s="126">
        <f>+GETPIVOTDATA(" New Ast. avg",'Averages Pivot Table'!$A$3,"State","DE","Category",10,"Category2","Two-Year")</f>
        <v>0</v>
      </c>
      <c r="G432" s="118">
        <f t="shared" si="61"/>
        <v>0</v>
      </c>
      <c r="H432" s="126">
        <f>+GETPIVOTDATA(" New Inst. avg",'Averages Pivot Table'!$A$3,"State","DE","Category",10,"Category2","Two-Year")</f>
        <v>0</v>
      </c>
      <c r="I432" s="118">
        <f t="shared" si="62"/>
        <v>0</v>
      </c>
      <c r="J432" s="126">
        <f>+GETPIVOTDATA(" New Undesg. avg",'Averages Pivot Table'!$A$3,"State","DE","Category",10,"Category2","Two-Year")</f>
        <v>0</v>
      </c>
      <c r="K432" s="118">
        <f t="shared" si="63"/>
        <v>0</v>
      </c>
      <c r="L432" s="126">
        <f>+GETPIVOTDATA(" New Single Rnk avg",'Averages Pivot Table'!$A$3,"State","DE","Category",10,"Category2","Two-Year")</f>
        <v>63190.528305882355</v>
      </c>
      <c r="M432" s="118">
        <f t="shared" si="64"/>
        <v>1</v>
      </c>
      <c r="N432" s="126">
        <f>+GETPIVOTDATA(" New All Ranks avg",'Averages Pivot Table'!$A$3,"State","DE","Category",10,"Category2","Two-Year")</f>
        <v>63190.528305882355</v>
      </c>
      <c r="O432" s="118">
        <f t="shared" si="65"/>
        <v>1</v>
      </c>
    </row>
    <row r="433" spans="1:15" ht="12.95" customHeight="1" x14ac:dyDescent="0.25">
      <c r="A433" s="132" t="s">
        <v>207</v>
      </c>
      <c r="B433" s="126">
        <f>+GETPIVOTDATA(" New Prof avg",'Averages Pivot Table'!$A$3,"State","FL","Category",10,"Category2","Two-Year")</f>
        <v>0</v>
      </c>
      <c r="C433" s="118">
        <f t="shared" si="66"/>
        <v>0</v>
      </c>
      <c r="D433" s="126">
        <f>+GETPIVOTDATA(" New Asc. avg",'Averages Pivot Table'!$A$3,"State","FL","Category",10,"Category2","Two-Year")</f>
        <v>0</v>
      </c>
      <c r="E433" s="118">
        <f t="shared" si="66"/>
        <v>0</v>
      </c>
      <c r="F433" s="126">
        <f>+GETPIVOTDATA(" New Ast. avg",'Averages Pivot Table'!$A$3,"State","FL","Category",10,"Category2","Two-Year")</f>
        <v>0</v>
      </c>
      <c r="G433" s="118">
        <f t="shared" si="61"/>
        <v>0</v>
      </c>
      <c r="H433" s="126">
        <f>+GETPIVOTDATA(" New Inst. avg",'Averages Pivot Table'!$A$3,"State","FL","Category",10,"Category2","Two-Year")</f>
        <v>0</v>
      </c>
      <c r="I433" s="118">
        <f t="shared" si="62"/>
        <v>0</v>
      </c>
      <c r="J433" s="126">
        <f>+GETPIVOTDATA(" New Undesg. avg",'Averages Pivot Table'!$A$3,"State","FL","Category",10,"Category2","Two-Year")</f>
        <v>0</v>
      </c>
      <c r="K433" s="118">
        <f t="shared" si="63"/>
        <v>0</v>
      </c>
      <c r="L433" s="126">
        <f>+GETPIVOTDATA(" New Single Rnk avg",'Averages Pivot Table'!$A$3,"State","FL","Category",10,"Category2","Two-Year")</f>
        <v>48943.15789473684</v>
      </c>
      <c r="M433" s="118">
        <f t="shared" si="64"/>
        <v>3</v>
      </c>
      <c r="N433" s="126">
        <f>+GETPIVOTDATA(" New All Ranks avg",'Averages Pivot Table'!$A$3,"State","FL","Category",10,"Category2","Two-Year")</f>
        <v>48943.15789473684</v>
      </c>
      <c r="O433" s="118">
        <f t="shared" si="65"/>
        <v>6</v>
      </c>
    </row>
    <row r="434" spans="1:15" ht="12.95" customHeight="1" x14ac:dyDescent="0.25">
      <c r="A434" s="132"/>
      <c r="B434" s="126"/>
      <c r="C434" s="118">
        <f t="shared" si="66"/>
        <v>0</v>
      </c>
      <c r="D434" s="126"/>
      <c r="E434" s="118">
        <f t="shared" si="66"/>
        <v>0</v>
      </c>
      <c r="F434" s="126"/>
      <c r="G434" s="118">
        <f t="shared" si="61"/>
        <v>0</v>
      </c>
      <c r="H434" s="126"/>
      <c r="I434" s="118">
        <f t="shared" si="62"/>
        <v>0</v>
      </c>
      <c r="J434" s="126"/>
      <c r="K434" s="118">
        <f t="shared" si="63"/>
        <v>0</v>
      </c>
      <c r="L434" s="126"/>
      <c r="M434" s="118">
        <f t="shared" si="64"/>
        <v>0</v>
      </c>
      <c r="N434" s="126"/>
      <c r="O434" s="118">
        <f t="shared" si="65"/>
        <v>0</v>
      </c>
    </row>
    <row r="435" spans="1:15" ht="12.95" customHeight="1" x14ac:dyDescent="0.25">
      <c r="A435" s="132" t="s">
        <v>208</v>
      </c>
      <c r="B435" s="126">
        <f>+GETPIVOTDATA(" New Prof avg",'Averages Pivot Table'!$A$3,"State","GA","Category",10,"Category2","Two-Year")</f>
        <v>57801</v>
      </c>
      <c r="C435" s="118">
        <f t="shared" si="66"/>
        <v>6</v>
      </c>
      <c r="D435" s="126">
        <f>+GETPIVOTDATA(" New Asc. avg",'Averages Pivot Table'!$A$3,"State","GA","Category",10,"Category2","Two-Year")</f>
        <v>48408.333333333336</v>
      </c>
      <c r="E435" s="118">
        <f t="shared" si="66"/>
        <v>7</v>
      </c>
      <c r="F435" s="126">
        <f>+GETPIVOTDATA(" New Ast. avg",'Averages Pivot Table'!$A$3,"State","GA","Category",10,"Category2","Two-Year")</f>
        <v>42554</v>
      </c>
      <c r="G435" s="118">
        <f t="shared" si="61"/>
        <v>8</v>
      </c>
      <c r="H435" s="126">
        <f>+GETPIVOTDATA(" New Inst. avg",'Averages Pivot Table'!$A$3,"State","GA","Category",10,"Category2","Two-Year")</f>
        <v>37557.210526315786</v>
      </c>
      <c r="I435" s="118">
        <f t="shared" si="62"/>
        <v>7</v>
      </c>
      <c r="J435" s="126">
        <f>+GETPIVOTDATA(" New Undesg. avg",'Averages Pivot Table'!$A$3,"State","GA","Category",10,"Category2","Two-Year")</f>
        <v>39800</v>
      </c>
      <c r="K435" s="118">
        <f t="shared" si="63"/>
        <v>3</v>
      </c>
      <c r="L435" s="126">
        <f>+GETPIVOTDATA(" New Single Rnk avg",'Averages Pivot Table'!$A$3,"State","GA","Category",10,"Category2","Two-Year")</f>
        <v>0</v>
      </c>
      <c r="M435" s="118">
        <f t="shared" si="64"/>
        <v>0</v>
      </c>
      <c r="N435" s="126">
        <f>+GETPIVOTDATA(" New All Ranks avg",'Averages Pivot Table'!$A$3,"State","GA","Category",10,"Category2","Two-Year")</f>
        <v>42776.953125</v>
      </c>
      <c r="O435" s="118">
        <f t="shared" si="65"/>
        <v>12</v>
      </c>
    </row>
    <row r="436" spans="1:15" ht="12.95" customHeight="1" x14ac:dyDescent="0.25">
      <c r="A436" s="132" t="s">
        <v>209</v>
      </c>
      <c r="B436" s="126">
        <f>+GETPIVOTDATA(" New Prof avg",'Averages Pivot Table'!$A$3,"State","KY","Category",10,"Category2","Two-Year")</f>
        <v>59511.427653164559</v>
      </c>
      <c r="C436" s="118">
        <f t="shared" si="66"/>
        <v>5</v>
      </c>
      <c r="D436" s="126">
        <f>+GETPIVOTDATA(" New Asc. avg",'Averages Pivot Table'!$A$3,"State","KY","Category",10,"Category2","Two-Year")</f>
        <v>49140.222148571433</v>
      </c>
      <c r="E436" s="118">
        <f t="shared" si="66"/>
        <v>5</v>
      </c>
      <c r="F436" s="126">
        <f>+GETPIVOTDATA(" New Ast. avg",'Averages Pivot Table'!$A$3,"State","KY","Category",10,"Category2","Two-Year")</f>
        <v>43826.688273684216</v>
      </c>
      <c r="G436" s="118">
        <f t="shared" si="61"/>
        <v>6</v>
      </c>
      <c r="H436" s="126">
        <f>+GETPIVOTDATA(" New Inst. avg",'Averages Pivot Table'!$A$3,"State","KY","Category",10,"Category2","Two-Year")</f>
        <v>38877.028184615381</v>
      </c>
      <c r="I436" s="118">
        <f t="shared" si="62"/>
        <v>6</v>
      </c>
      <c r="J436" s="126">
        <f>+GETPIVOTDATA(" New Undesg. avg",'Averages Pivot Table'!$A$3,"State","KY","Category",10,"Category2","Two-Year")</f>
        <v>0</v>
      </c>
      <c r="K436" s="118">
        <f t="shared" si="63"/>
        <v>0</v>
      </c>
      <c r="L436" s="126">
        <f>+GETPIVOTDATA(" New Single Rnk avg",'Averages Pivot Table'!$A$3,"State","KY","Category",10,"Category2","Two-Year")</f>
        <v>0</v>
      </c>
      <c r="M436" s="118">
        <f t="shared" si="64"/>
        <v>0</v>
      </c>
      <c r="N436" s="126">
        <f>+GETPIVOTDATA(" New All Ranks avg",'Averages Pivot Table'!$A$3,"State","KY","Category",10,"Category2","Two-Year")</f>
        <v>51980.002325786169</v>
      </c>
      <c r="O436" s="118">
        <f t="shared" si="65"/>
        <v>5</v>
      </c>
    </row>
    <row r="437" spans="1:15" ht="12.95" customHeight="1" x14ac:dyDescent="0.25">
      <c r="A437" s="132" t="s">
        <v>210</v>
      </c>
      <c r="B437" s="126">
        <f>+GETPIVOTDATA(" New Prof avg",'Averages Pivot Table'!$A$3,"State","LA","Category",10,"Category2","Two-Year")</f>
        <v>49266.900828571423</v>
      </c>
      <c r="C437" s="118">
        <f t="shared" si="66"/>
        <v>9</v>
      </c>
      <c r="D437" s="126">
        <f>+GETPIVOTDATA(" New Asc. avg",'Averages Pivot Table'!$A$3,"State","LA","Category",10,"Category2","Two-Year")</f>
        <v>46905.44670869565</v>
      </c>
      <c r="E437" s="118">
        <f t="shared" si="66"/>
        <v>8</v>
      </c>
      <c r="F437" s="126">
        <f>+GETPIVOTDATA(" New Ast. avg",'Averages Pivot Table'!$A$3,"State","LA","Category",10,"Category2","Two-Year")</f>
        <v>43218.455914285711</v>
      </c>
      <c r="G437" s="118">
        <f t="shared" si="61"/>
        <v>7</v>
      </c>
      <c r="H437" s="126">
        <f>+GETPIVOTDATA(" New Inst. avg",'Averages Pivot Table'!$A$3,"State","LA","Category",10,"Category2","Two-Year")</f>
        <v>37238.667428037385</v>
      </c>
      <c r="I437" s="118">
        <f t="shared" si="62"/>
        <v>8</v>
      </c>
      <c r="J437" s="126">
        <f>+GETPIVOTDATA(" New Undesg. avg",'Averages Pivot Table'!$A$3,"State","LA","Category",10,"Category2","Two-Year")</f>
        <v>0</v>
      </c>
      <c r="K437" s="118">
        <f t="shared" si="63"/>
        <v>0</v>
      </c>
      <c r="L437" s="126">
        <f>+GETPIVOTDATA(" New Single Rnk avg",'Averages Pivot Table'!$A$3,"State","LA","Category",10,"Category2","Two-Year")</f>
        <v>0</v>
      </c>
      <c r="M437" s="118">
        <f t="shared" si="64"/>
        <v>0</v>
      </c>
      <c r="N437" s="126">
        <f>+GETPIVOTDATA(" New All Ranks avg",'Averages Pivot Table'!$A$3,"State","LA","Category",10,"Category2","Two-Year")</f>
        <v>41591.630755274258</v>
      </c>
      <c r="O437" s="118">
        <f t="shared" si="65"/>
        <v>15</v>
      </c>
    </row>
    <row r="438" spans="1:15" ht="12.95" customHeight="1" x14ac:dyDescent="0.25">
      <c r="A438" s="132" t="s">
        <v>211</v>
      </c>
      <c r="B438" s="126">
        <f>+GETPIVOTDATA(" New Prof avg",'Averages Pivot Table'!$A$3,"State","MD","Category",10,"Category2","Two-Year")</f>
        <v>70355.926757894733</v>
      </c>
      <c r="C438" s="118">
        <f t="shared" si="66"/>
        <v>1</v>
      </c>
      <c r="D438" s="126">
        <f>+GETPIVOTDATA(" New Asc. avg",'Averages Pivot Table'!$A$3,"State","MD","Category",10,"Category2","Two-Year")</f>
        <v>62223.867025641033</v>
      </c>
      <c r="E438" s="118">
        <f t="shared" si="66"/>
        <v>1</v>
      </c>
      <c r="F438" s="126">
        <f>+GETPIVOTDATA(" New Ast. avg",'Averages Pivot Table'!$A$3,"State","MD","Category",10,"Category2","Two-Year")</f>
        <v>51552.08643888888</v>
      </c>
      <c r="G438" s="118">
        <f t="shared" si="61"/>
        <v>1</v>
      </c>
      <c r="H438" s="126">
        <f>+GETPIVOTDATA(" New Inst. avg",'Averages Pivot Table'!$A$3,"State","MD","Category",10,"Category2","Two-Year")</f>
        <v>50968.199733333335</v>
      </c>
      <c r="I438" s="118">
        <f t="shared" si="62"/>
        <v>1</v>
      </c>
      <c r="J438" s="126">
        <f>+GETPIVOTDATA(" New Undesg. avg",'Averages Pivot Table'!$A$3,"State","MD","Category",10,"Category2","Two-Year")</f>
        <v>38290.123599999999</v>
      </c>
      <c r="K438" s="118">
        <f t="shared" si="63"/>
        <v>4</v>
      </c>
      <c r="L438" s="126">
        <f>+GETPIVOTDATA(" New Single Rnk avg",'Averages Pivot Table'!$A$3,"State","MD","Category",10,"Category2","Two-Year")</f>
        <v>0</v>
      </c>
      <c r="M438" s="118">
        <f t="shared" si="64"/>
        <v>0</v>
      </c>
      <c r="N438" s="126">
        <f>+GETPIVOTDATA(" New All Ranks avg",'Averages Pivot Table'!$A$3,"State","MD","Category",10,"Category2","Two-Year")</f>
        <v>60146.85474573644</v>
      </c>
      <c r="O438" s="118">
        <f t="shared" si="65"/>
        <v>2</v>
      </c>
    </row>
    <row r="439" spans="1:15" ht="12.95" customHeight="1" x14ac:dyDescent="0.25">
      <c r="A439" s="132"/>
      <c r="B439" s="126"/>
      <c r="C439" s="118">
        <f t="shared" si="66"/>
        <v>0</v>
      </c>
      <c r="D439" s="126"/>
      <c r="E439" s="118">
        <f t="shared" si="66"/>
        <v>0</v>
      </c>
      <c r="F439" s="126"/>
      <c r="G439" s="118">
        <f t="shared" si="61"/>
        <v>0</v>
      </c>
      <c r="H439" s="126"/>
      <c r="I439" s="118">
        <f t="shared" si="62"/>
        <v>0</v>
      </c>
      <c r="J439" s="126"/>
      <c r="K439" s="118">
        <f t="shared" si="63"/>
        <v>0</v>
      </c>
      <c r="L439" s="126"/>
      <c r="M439" s="118">
        <f t="shared" si="64"/>
        <v>0</v>
      </c>
      <c r="N439" s="126"/>
      <c r="O439" s="118">
        <f t="shared" si="65"/>
        <v>0</v>
      </c>
    </row>
    <row r="440" spans="1:15" ht="12.95" customHeight="1" x14ac:dyDescent="0.25">
      <c r="A440" s="132" t="s">
        <v>212</v>
      </c>
      <c r="B440" s="126">
        <f>+GETPIVOTDATA(" New Prof avg",'Averages Pivot Table'!$A$3,"State","MS","Category",10,"Category2","Two-Year")</f>
        <v>0</v>
      </c>
      <c r="C440" s="118">
        <f t="shared" si="66"/>
        <v>0</v>
      </c>
      <c r="D440" s="126">
        <f>+GETPIVOTDATA(" New Asc. avg",'Averages Pivot Table'!$A$3,"State","MS","Category",10,"Category2","Two-Year")</f>
        <v>0</v>
      </c>
      <c r="E440" s="118">
        <f t="shared" si="66"/>
        <v>0</v>
      </c>
      <c r="F440" s="126">
        <f>+GETPIVOTDATA(" New Ast. avg",'Averages Pivot Table'!$A$3,"State","MS","Category",10,"Category2","Two-Year")</f>
        <v>0</v>
      </c>
      <c r="G440" s="118">
        <f t="shared" si="61"/>
        <v>0</v>
      </c>
      <c r="H440" s="126">
        <f>+GETPIVOTDATA(" New Inst. avg",'Averages Pivot Table'!$A$3,"State","MS","Category",10,"Category2","Two-Year")</f>
        <v>0</v>
      </c>
      <c r="I440" s="118">
        <f t="shared" si="62"/>
        <v>0</v>
      </c>
      <c r="J440" s="126">
        <f>+GETPIVOTDATA(" New Undesg. avg",'Averages Pivot Table'!$A$3,"State","MS","Category",10,"Category2","Two-Year")</f>
        <v>0</v>
      </c>
      <c r="K440" s="118">
        <f t="shared" si="63"/>
        <v>0</v>
      </c>
      <c r="L440" s="126">
        <f>+GETPIVOTDATA(" New Single Rnk avg",'Averages Pivot Table'!$A$3,"State","MS","Category",10,"Category2","Two-Year")</f>
        <v>46711.516386577183</v>
      </c>
      <c r="M440" s="118">
        <f t="shared" si="64"/>
        <v>4</v>
      </c>
      <c r="N440" s="126">
        <f>+GETPIVOTDATA(" New All Ranks avg",'Averages Pivot Table'!$A$3,"State","MS","Category",10,"Category2","Two-Year")</f>
        <v>46711.516386577183</v>
      </c>
      <c r="O440" s="118">
        <f t="shared" si="65"/>
        <v>8</v>
      </c>
    </row>
    <row r="441" spans="1:15" ht="12.95" customHeight="1" x14ac:dyDescent="0.25">
      <c r="A441" s="132" t="s">
        <v>213</v>
      </c>
      <c r="B441" s="126">
        <f>+GETPIVOTDATA(" New Prof avg",'Averages Pivot Table'!$A$3,"State","NC","Category",10,"Category2","Two-Year")</f>
        <v>0</v>
      </c>
      <c r="C441" s="118">
        <f t="shared" si="66"/>
        <v>0</v>
      </c>
      <c r="D441" s="126">
        <f>+GETPIVOTDATA(" New Asc. avg",'Averages Pivot Table'!$A$3,"State","NC","Category",10,"Category2","Two-Year")</f>
        <v>0</v>
      </c>
      <c r="E441" s="118">
        <f t="shared" si="66"/>
        <v>0</v>
      </c>
      <c r="F441" s="126">
        <f>+GETPIVOTDATA(" New Ast. avg",'Averages Pivot Table'!$A$3,"State","NC","Category",10,"Category2","Two-Year")</f>
        <v>0</v>
      </c>
      <c r="G441" s="118">
        <f t="shared" si="61"/>
        <v>0</v>
      </c>
      <c r="H441" s="126">
        <f>+GETPIVOTDATA(" New Inst. avg",'Averages Pivot Table'!$A$3,"State","NC","Category",10,"Category2","Two-Year")</f>
        <v>0</v>
      </c>
      <c r="I441" s="118">
        <f t="shared" si="62"/>
        <v>0</v>
      </c>
      <c r="J441" s="126">
        <f>+GETPIVOTDATA(" New Undesg. avg",'Averages Pivot Table'!$A$3,"State","NC","Category",10,"Category2","Two-Year")</f>
        <v>0</v>
      </c>
      <c r="K441" s="118">
        <f t="shared" si="63"/>
        <v>0</v>
      </c>
      <c r="L441" s="126">
        <f>+GETPIVOTDATA(" New Single Rnk avg",'Averages Pivot Table'!$A$3,"State","NC","Category",10,"Category2","Two-Year")</f>
        <v>46495.810569948189</v>
      </c>
      <c r="M441" s="118">
        <f t="shared" si="64"/>
        <v>5</v>
      </c>
      <c r="N441" s="126">
        <f>+GETPIVOTDATA(" New All Ranks avg",'Averages Pivot Table'!$A$3,"State","NC","Category",10,"Category2","Two-Year")</f>
        <v>46495.810569948189</v>
      </c>
      <c r="O441" s="118">
        <f t="shared" si="65"/>
        <v>9</v>
      </c>
    </row>
    <row r="442" spans="1:15" ht="12.95" customHeight="1" x14ac:dyDescent="0.25">
      <c r="A442" s="132" t="s">
        <v>214</v>
      </c>
      <c r="B442" s="126">
        <f>+GETPIVOTDATA(" New Prof avg",'Averages Pivot Table'!$A$3,"State","OK","Category",10,"Category2","Two-Year")</f>
        <v>0</v>
      </c>
      <c r="C442" s="118">
        <f t="shared" si="66"/>
        <v>0</v>
      </c>
      <c r="D442" s="126">
        <f>+GETPIVOTDATA(" New Asc. avg",'Averages Pivot Table'!$A$3,"State","OK","Category",10,"Category2","Two-Year")</f>
        <v>0</v>
      </c>
      <c r="E442" s="118">
        <f t="shared" si="66"/>
        <v>0</v>
      </c>
      <c r="F442" s="126">
        <f>+GETPIVOTDATA(" New Ast. avg",'Averages Pivot Table'!$A$3,"State","OK","Category",10,"Category2","Two-Year")</f>
        <v>0</v>
      </c>
      <c r="G442" s="118">
        <f t="shared" si="61"/>
        <v>0</v>
      </c>
      <c r="H442" s="126">
        <f>+GETPIVOTDATA(" New Inst. avg",'Averages Pivot Table'!$A$3,"State","OK","Category",10,"Category2","Two-Year")</f>
        <v>0</v>
      </c>
      <c r="I442" s="118">
        <f t="shared" si="62"/>
        <v>0</v>
      </c>
      <c r="J442" s="126">
        <f>+GETPIVOTDATA(" New Undesg. avg",'Averages Pivot Table'!$A$3,"State","OK","Category",10,"Category2","Two-Year")</f>
        <v>0</v>
      </c>
      <c r="K442" s="118">
        <f t="shared" si="63"/>
        <v>0</v>
      </c>
      <c r="L442" s="126">
        <f>+GETPIVOTDATA(" New Single Rnk avg",'Averages Pivot Table'!$A$3,"State","OK","Category",10,"Category2","Two-Year")</f>
        <v>43697.8767515625</v>
      </c>
      <c r="M442" s="118">
        <f t="shared" si="64"/>
        <v>6</v>
      </c>
      <c r="N442" s="126">
        <f>+GETPIVOTDATA(" New All Ranks avg",'Averages Pivot Table'!$A$3,"State","OK","Category",10,"Category2","Two-Year")</f>
        <v>43697.8767515625</v>
      </c>
      <c r="O442" s="118">
        <f t="shared" si="65"/>
        <v>11</v>
      </c>
    </row>
    <row r="443" spans="1:15" ht="12.95" customHeight="1" x14ac:dyDescent="0.25">
      <c r="A443" s="132" t="s">
        <v>215</v>
      </c>
      <c r="B443" s="126">
        <f>+GETPIVOTDATA(" New Prof avg",'Averages Pivot Table'!$A$3,"State","SC","Category",10,"Category2","Two-Year")</f>
        <v>67877.91849411765</v>
      </c>
      <c r="C443" s="118">
        <f t="shared" si="66"/>
        <v>2</v>
      </c>
      <c r="D443" s="126">
        <f>+GETPIVOTDATA(" New Asc. avg",'Averages Pivot Table'!$A$3,"State","SC","Category",10,"Category2","Two-Year")</f>
        <v>54628.946608333332</v>
      </c>
      <c r="E443" s="118">
        <f t="shared" si="66"/>
        <v>3</v>
      </c>
      <c r="F443" s="126">
        <f>+GETPIVOTDATA(" New Ast. avg",'Averages Pivot Table'!$A$3,"State","SC","Category",10,"Category2","Two-Year")</f>
        <v>46305.44222222222</v>
      </c>
      <c r="G443" s="118">
        <f t="shared" si="61"/>
        <v>3</v>
      </c>
      <c r="H443" s="126">
        <f>+GETPIVOTDATA(" New Inst. avg",'Averages Pivot Table'!$A$3,"State","SC","Category",10,"Category2","Two-Year")</f>
        <v>41710.419600000001</v>
      </c>
      <c r="I443" s="118">
        <f t="shared" si="62"/>
        <v>2</v>
      </c>
      <c r="J443" s="126">
        <f>+GETPIVOTDATA(" New Undesg. avg",'Averages Pivot Table'!$A$3,"State","SC","Category",10,"Category2","Two-Year")</f>
        <v>41515.265625</v>
      </c>
      <c r="K443" s="118">
        <f t="shared" si="63"/>
        <v>1</v>
      </c>
      <c r="L443" s="126">
        <f>+GETPIVOTDATA(" New Single Rnk avg",'Averages Pivot Table'!$A$3,"State","SC","Category",10,"Category2","Two-Year")</f>
        <v>0</v>
      </c>
      <c r="M443" s="118">
        <f t="shared" si="64"/>
        <v>0</v>
      </c>
      <c r="N443" s="126">
        <f>+GETPIVOTDATA(" New All Ranks avg",'Averages Pivot Table'!$A$3,"State","SC","Category",10,"Category2","Two-Year")</f>
        <v>45221.530325490196</v>
      </c>
      <c r="O443" s="118">
        <f t="shared" si="65"/>
        <v>10</v>
      </c>
    </row>
    <row r="444" spans="1:15" ht="12.95" customHeight="1" x14ac:dyDescent="0.25">
      <c r="A444" s="132"/>
      <c r="B444" s="126"/>
      <c r="C444" s="118">
        <f t="shared" si="66"/>
        <v>0</v>
      </c>
      <c r="D444" s="126"/>
      <c r="E444" s="118">
        <f t="shared" si="66"/>
        <v>0</v>
      </c>
      <c r="F444" s="126"/>
      <c r="G444" s="118">
        <f t="shared" si="61"/>
        <v>0</v>
      </c>
      <c r="H444" s="126"/>
      <c r="I444" s="118">
        <f t="shared" si="62"/>
        <v>0</v>
      </c>
      <c r="J444" s="126"/>
      <c r="K444" s="118">
        <f t="shared" si="63"/>
        <v>0</v>
      </c>
      <c r="L444" s="126"/>
      <c r="M444" s="118">
        <f t="shared" si="64"/>
        <v>0</v>
      </c>
      <c r="N444" s="126"/>
      <c r="O444" s="118">
        <f t="shared" si="65"/>
        <v>0</v>
      </c>
    </row>
    <row r="445" spans="1:15" ht="12.95" customHeight="1" x14ac:dyDescent="0.25">
      <c r="A445" s="132" t="s">
        <v>216</v>
      </c>
      <c r="B445" s="563">
        <f>+GETPIVOTDATA(" New Prof avg",'Averages Pivot Table'!$A$3,"State","TN","Category",10,"Category2","Two-Year")</f>
        <v>0</v>
      </c>
      <c r="C445" s="118">
        <f t="shared" si="66"/>
        <v>0</v>
      </c>
      <c r="D445" s="563">
        <f>+GETPIVOTDATA(" New Asc. avg",'Averages Pivot Table'!$A$3,"State","TN","Category",10,"Category2","Two-Year")</f>
        <v>0</v>
      </c>
      <c r="E445" s="118">
        <f t="shared" si="66"/>
        <v>0</v>
      </c>
      <c r="F445" s="563">
        <f>+GETPIVOTDATA(" New Ast. avg",'Averages Pivot Table'!$A$3,"State","TN","Category",10,"Category2","Two-Year")</f>
        <v>0</v>
      </c>
      <c r="G445" s="118">
        <f t="shared" si="61"/>
        <v>0</v>
      </c>
      <c r="H445" s="563">
        <f>+GETPIVOTDATA(" New Inst. avg",'Averages Pivot Table'!$A$3,"State","TN","Category",10,"Category2","Two-Year")</f>
        <v>0</v>
      </c>
      <c r="I445" s="118">
        <f t="shared" si="62"/>
        <v>0</v>
      </c>
      <c r="J445" s="563">
        <f>+GETPIVOTDATA(" New Undesg. avg",'Averages Pivot Table'!$A$3,"State","TN","Category",10,"Category2","Two-Year")</f>
        <v>0</v>
      </c>
      <c r="K445" s="118">
        <f t="shared" si="63"/>
        <v>0</v>
      </c>
      <c r="L445" s="563">
        <f>+GETPIVOTDATA(" New Single Rnk avg",'Averages Pivot Table'!$A$3,"State","TN","Category",10,"Category2","Two-Year")</f>
        <v>0</v>
      </c>
      <c r="M445" s="118">
        <f t="shared" si="64"/>
        <v>0</v>
      </c>
      <c r="N445" s="126">
        <f>+GETPIVOTDATA(" New All Ranks avg",'Averages Pivot Table'!$A$3,"State","TN","Category",10,"Category2","Two-Year")</f>
        <v>0</v>
      </c>
      <c r="O445" s="118">
        <f t="shared" si="65"/>
        <v>0</v>
      </c>
    </row>
    <row r="446" spans="1:15" ht="12.95" customHeight="1" x14ac:dyDescent="0.25">
      <c r="A446" s="132" t="s">
        <v>217</v>
      </c>
      <c r="B446" s="563">
        <f>+GETPIVOTDATA(" New Prof avg",'Averages Pivot Table'!$A$3,"State","TX","Category",10,"Category2","Two-Year")</f>
        <v>54222.562462068963</v>
      </c>
      <c r="C446" s="118">
        <f t="shared" si="66"/>
        <v>8</v>
      </c>
      <c r="D446" s="563">
        <f>+GETPIVOTDATA(" New Asc. avg",'Averages Pivot Table'!$A$3,"State","TX","Category",10,"Category2","Two-Year")</f>
        <v>48678.393441666667</v>
      </c>
      <c r="E446" s="118">
        <f t="shared" si="66"/>
        <v>6</v>
      </c>
      <c r="F446" s="563">
        <f>+GETPIVOTDATA(" New Ast. avg",'Averages Pivot Table'!$A$3,"State","TX","Category",10,"Category2","Two-Year")</f>
        <v>50160.096558974357</v>
      </c>
      <c r="G446" s="118">
        <f t="shared" si="61"/>
        <v>2</v>
      </c>
      <c r="H446" s="563">
        <f>+GETPIVOTDATA(" New Inst. avg",'Averages Pivot Table'!$A$3,"State","TX","Category",10,"Category2","Two-Year")</f>
        <v>40114.719146260388</v>
      </c>
      <c r="I446" s="118">
        <f t="shared" si="62"/>
        <v>4</v>
      </c>
      <c r="J446" s="563">
        <f>+GETPIVOTDATA(" New Undesg. avg",'Averages Pivot Table'!$A$3,"State","TX","Category",10,"Category2","Two-Year")</f>
        <v>0</v>
      </c>
      <c r="K446" s="118">
        <f t="shared" si="63"/>
        <v>0</v>
      </c>
      <c r="L446" s="563">
        <f>+GETPIVOTDATA(" New Single Rnk avg",'Averages Pivot Table'!$A$3,"State","TX","Category",10,"Category2","Two-Year")</f>
        <v>27565.4</v>
      </c>
      <c r="M446" s="118">
        <f t="shared" si="64"/>
        <v>8</v>
      </c>
      <c r="N446" s="126">
        <f>+GETPIVOTDATA(" New All Ranks avg",'Averages Pivot Table'!$A$3,"State","TX","Category",10,"Category2","Two-Year")</f>
        <v>42584.161857142855</v>
      </c>
      <c r="O446" s="118">
        <f t="shared" si="65"/>
        <v>13</v>
      </c>
    </row>
    <row r="447" spans="1:15" ht="12.95" customHeight="1" x14ac:dyDescent="0.25">
      <c r="A447" s="132" t="s">
        <v>218</v>
      </c>
      <c r="B447" s="563">
        <f>+GETPIVOTDATA(" New Prof avg",'Averages Pivot Table'!$A$3,"State","VA","Category",10,"Category2","Two-Year")</f>
        <v>67085</v>
      </c>
      <c r="C447" s="118">
        <f t="shared" si="66"/>
        <v>4</v>
      </c>
      <c r="D447" s="563">
        <f>+GETPIVOTDATA(" New Asc. avg",'Averages Pivot Table'!$A$3,"State","VA","Category",10,"Category2","Two-Year")</f>
        <v>54003</v>
      </c>
      <c r="E447" s="118">
        <f t="shared" si="66"/>
        <v>4</v>
      </c>
      <c r="F447" s="563">
        <f>+GETPIVOTDATA(" New Ast. avg",'Averages Pivot Table'!$A$3,"State","VA","Category",10,"Category2","Two-Year")</f>
        <v>46268</v>
      </c>
      <c r="G447" s="118">
        <f t="shared" si="61"/>
        <v>5</v>
      </c>
      <c r="H447" s="563">
        <f>+GETPIVOTDATA(" New Inst. avg",'Averages Pivot Table'!$A$3,"State","VA","Category",10,"Category2","Two-Year")</f>
        <v>0</v>
      </c>
      <c r="I447" s="118">
        <f t="shared" si="62"/>
        <v>0</v>
      </c>
      <c r="J447" s="563">
        <f>+GETPIVOTDATA(" New Undesg. avg",'Averages Pivot Table'!$A$3,"State","VA","Category",10,"Category2","Two-Year")</f>
        <v>0</v>
      </c>
      <c r="K447" s="118">
        <f t="shared" si="63"/>
        <v>0</v>
      </c>
      <c r="L447" s="563">
        <f>+GETPIVOTDATA(" New Single Rnk avg",'Averages Pivot Table'!$A$3,"State","VA","Category",10,"Category2","Two-Year")</f>
        <v>0</v>
      </c>
      <c r="M447" s="118">
        <f t="shared" si="64"/>
        <v>0</v>
      </c>
      <c r="N447" s="126">
        <f>+GETPIVOTDATA(" New All Ranks avg",'Averages Pivot Table'!$A$3,"State","VA","Category",10,"Category2","Two-Year")</f>
        <v>55960.411764705881</v>
      </c>
      <c r="O447" s="118">
        <f t="shared" si="65"/>
        <v>3</v>
      </c>
    </row>
    <row r="448" spans="1:15" ht="12.95" customHeight="1" x14ac:dyDescent="0.25">
      <c r="A448" s="6" t="s">
        <v>219</v>
      </c>
      <c r="B448" s="566">
        <f>+GETPIVOTDATA(" New Prof avg",'Averages Pivot Table'!$A$3,"State","WV","Category",10,"Category2","Two-Year")</f>
        <v>67155.970377777776</v>
      </c>
      <c r="C448" s="119">
        <f t="shared" si="66"/>
        <v>3</v>
      </c>
      <c r="D448" s="566">
        <f>+GETPIVOTDATA(" New Asc. avg",'Averages Pivot Table'!$A$3,"State","WV","Category",10,"Category2","Two-Year")</f>
        <v>55800.470666666668</v>
      </c>
      <c r="E448" s="119">
        <f t="shared" si="66"/>
        <v>2</v>
      </c>
      <c r="F448" s="566">
        <f>+GETPIVOTDATA(" New Ast. avg",'Averages Pivot Table'!$A$3,"State","WV","Category",10,"Category2","Two-Year")</f>
        <v>46284.700560683756</v>
      </c>
      <c r="G448" s="119">
        <f t="shared" si="61"/>
        <v>4</v>
      </c>
      <c r="H448" s="566">
        <f>+GETPIVOTDATA(" New Inst. avg",'Averages Pivot Table'!$A$3,"State","WV","Category",10,"Category2","Two-Year")</f>
        <v>40525.861795199999</v>
      </c>
      <c r="I448" s="119">
        <f t="shared" si="62"/>
        <v>3</v>
      </c>
      <c r="J448" s="566">
        <f>+GETPIVOTDATA(" New Undesg. avg",'Averages Pivot Table'!$A$3,"State","WV","Category",10,"Category2","Two-Year")</f>
        <v>40774.040297142856</v>
      </c>
      <c r="K448" s="119">
        <f t="shared" si="63"/>
        <v>2</v>
      </c>
      <c r="L448" s="566">
        <f>+GETPIVOTDATA(" New Single Rnk avg",'Averages Pivot Table'!$A$3,"State","WV","Category",10,"Category2","Two-Year")</f>
        <v>0</v>
      </c>
      <c r="M448" s="119">
        <f t="shared" si="64"/>
        <v>0</v>
      </c>
      <c r="N448" s="566">
        <f>+GETPIVOTDATA(" New All Ranks avg",'Averages Pivot Table'!$A$3,"State","WV","Category",10,"Category2","Two-Year")</f>
        <v>48055.353806860156</v>
      </c>
      <c r="O448" s="119">
        <f t="shared" si="65"/>
        <v>7</v>
      </c>
    </row>
    <row r="449" spans="1:19" ht="30" customHeight="1" x14ac:dyDescent="0.25">
      <c r="A449" s="670" t="s">
        <v>91</v>
      </c>
      <c r="B449" s="670"/>
      <c r="C449" s="670"/>
      <c r="D449" s="670"/>
      <c r="E449" s="670"/>
      <c r="F449" s="670"/>
      <c r="G449" s="670"/>
      <c r="H449" s="670"/>
      <c r="I449" s="670"/>
      <c r="J449" s="670"/>
      <c r="K449" s="670"/>
      <c r="L449" s="670"/>
      <c r="M449" s="670"/>
      <c r="N449" s="670"/>
      <c r="O449" s="670"/>
    </row>
    <row r="450" spans="1:19" x14ac:dyDescent="0.25">
      <c r="O450" s="157" t="s">
        <v>1083</v>
      </c>
    </row>
    <row r="451" spans="1:19" ht="18" x14ac:dyDescent="0.25">
      <c r="A451" s="544" t="s">
        <v>274</v>
      </c>
      <c r="B451" s="544"/>
      <c r="C451" s="544"/>
      <c r="D451" s="544"/>
      <c r="E451" s="544"/>
      <c r="F451" s="544"/>
      <c r="G451" s="544"/>
      <c r="H451" s="544"/>
      <c r="I451" s="544"/>
      <c r="J451" s="544"/>
      <c r="K451" s="544"/>
      <c r="L451" s="544"/>
      <c r="M451" s="544"/>
      <c r="N451" s="544"/>
      <c r="O451" s="544"/>
    </row>
    <row r="452" spans="1:19" x14ac:dyDescent="0.25">
      <c r="A452" s="588"/>
      <c r="B452" s="93"/>
      <c r="C452" s="93"/>
      <c r="D452" s="93"/>
      <c r="E452" s="93"/>
      <c r="F452" s="93"/>
      <c r="G452" s="93"/>
      <c r="H452" s="93"/>
      <c r="I452" s="93"/>
      <c r="J452" s="93"/>
      <c r="K452" s="93"/>
      <c r="L452" s="93"/>
      <c r="M452" s="93"/>
      <c r="N452" s="93"/>
      <c r="O452" s="93"/>
    </row>
    <row r="453" spans="1:19" x14ac:dyDescent="0.25">
      <c r="A453" s="665" t="s">
        <v>220</v>
      </c>
      <c r="B453" s="665"/>
      <c r="C453" s="665"/>
      <c r="D453" s="665"/>
      <c r="E453" s="665"/>
      <c r="F453" s="665"/>
      <c r="G453" s="665"/>
      <c r="H453" s="665"/>
      <c r="I453" s="665"/>
      <c r="J453" s="665"/>
      <c r="K453" s="665"/>
      <c r="L453" s="665"/>
      <c r="M453" s="665"/>
      <c r="N453" s="665"/>
      <c r="O453" s="665"/>
    </row>
    <row r="454" spans="1:19" x14ac:dyDescent="0.25">
      <c r="A454" s="665" t="s">
        <v>1058</v>
      </c>
      <c r="B454" s="665"/>
      <c r="C454" s="665"/>
      <c r="D454" s="665"/>
      <c r="E454" s="665"/>
      <c r="F454" s="665"/>
      <c r="G454" s="665"/>
      <c r="H454" s="665"/>
      <c r="I454" s="665"/>
      <c r="J454" s="665"/>
      <c r="K454" s="665"/>
      <c r="L454" s="665"/>
      <c r="M454" s="665"/>
      <c r="N454" s="665"/>
      <c r="O454" s="665"/>
    </row>
    <row r="455" spans="1:19" x14ac:dyDescent="0.25">
      <c r="A455" s="132"/>
      <c r="B455" s="132"/>
      <c r="C455" s="132"/>
      <c r="D455" s="132"/>
      <c r="E455" s="132"/>
      <c r="F455" s="132"/>
      <c r="G455" s="132"/>
      <c r="H455" s="132"/>
      <c r="I455" s="132"/>
      <c r="J455" s="132"/>
      <c r="K455" s="132"/>
      <c r="L455" s="132"/>
      <c r="M455" s="132"/>
      <c r="N455" s="132"/>
      <c r="O455" s="132"/>
    </row>
    <row r="456" spans="1:19" ht="30.75" customHeight="1" x14ac:dyDescent="0.25">
      <c r="A456" s="547"/>
      <c r="B456" s="589" t="s">
        <v>99</v>
      </c>
      <c r="C456" s="142"/>
      <c r="D456" s="590" t="s">
        <v>100</v>
      </c>
      <c r="E456" s="591"/>
      <c r="F456" s="590" t="s">
        <v>101</v>
      </c>
      <c r="G456" s="591"/>
      <c r="H456" s="589" t="s">
        <v>102</v>
      </c>
      <c r="I456" s="142"/>
      <c r="J456" s="590" t="s">
        <v>226</v>
      </c>
      <c r="K456" s="591"/>
      <c r="L456" s="142" t="s">
        <v>82</v>
      </c>
      <c r="M456" s="142"/>
      <c r="N456" s="142" t="s">
        <v>84</v>
      </c>
      <c r="O456" s="142"/>
    </row>
    <row r="457" spans="1:19" x14ac:dyDescent="0.25">
      <c r="A457" s="551"/>
      <c r="B457" s="115" t="s">
        <v>103</v>
      </c>
      <c r="C457" s="143" t="s">
        <v>193</v>
      </c>
      <c r="D457" s="115" t="s">
        <v>103</v>
      </c>
      <c r="E457" s="143" t="s">
        <v>193</v>
      </c>
      <c r="F457" s="115" t="s">
        <v>103</v>
      </c>
      <c r="G457" s="143" t="s">
        <v>193</v>
      </c>
      <c r="H457" s="115" t="s">
        <v>103</v>
      </c>
      <c r="I457" s="143" t="s">
        <v>193</v>
      </c>
      <c r="J457" s="115" t="s">
        <v>103</v>
      </c>
      <c r="K457" s="143" t="s">
        <v>193</v>
      </c>
      <c r="L457" s="115" t="s">
        <v>103</v>
      </c>
      <c r="M457" s="143" t="s">
        <v>193</v>
      </c>
      <c r="N457" s="115" t="s">
        <v>103</v>
      </c>
      <c r="O457" s="143" t="s">
        <v>193</v>
      </c>
    </row>
    <row r="458" spans="1:19" s="556" customFormat="1" ht="18" customHeight="1" x14ac:dyDescent="0.25">
      <c r="A458" s="554" t="s">
        <v>222</v>
      </c>
      <c r="B458" s="151" t="s">
        <v>321</v>
      </c>
      <c r="C458" s="146"/>
      <c r="D458" s="151" t="s">
        <v>321</v>
      </c>
      <c r="E458" s="146"/>
      <c r="F458" s="151" t="s">
        <v>321</v>
      </c>
      <c r="G458" s="146"/>
      <c r="H458" s="151" t="s">
        <v>321</v>
      </c>
      <c r="I458" s="146"/>
      <c r="J458" s="151" t="s">
        <v>321</v>
      </c>
      <c r="K458" s="146"/>
      <c r="L458" s="151" t="s">
        <v>321</v>
      </c>
      <c r="M458" s="146"/>
      <c r="N458" s="151" t="s">
        <v>321</v>
      </c>
      <c r="O458" s="146"/>
      <c r="Q458" s="558"/>
      <c r="R458" s="558"/>
      <c r="S458" s="558"/>
    </row>
    <row r="459" spans="1:19" ht="12.95" customHeight="1" x14ac:dyDescent="0.25">
      <c r="A459" s="132"/>
      <c r="B459" s="594"/>
      <c r="C459" s="150"/>
      <c r="D459" s="594"/>
      <c r="E459" s="150"/>
      <c r="F459" s="594"/>
      <c r="G459" s="150"/>
      <c r="H459" s="594"/>
      <c r="I459" s="150"/>
      <c r="J459" s="594"/>
      <c r="K459" s="150"/>
      <c r="L459" s="594"/>
      <c r="M459" s="150"/>
      <c r="N459" s="594"/>
      <c r="O459" s="150"/>
    </row>
    <row r="460" spans="1:19" ht="12.95" customHeight="1" x14ac:dyDescent="0.25">
      <c r="A460" s="132" t="s">
        <v>205</v>
      </c>
      <c r="B460" s="144" t="s">
        <v>321</v>
      </c>
      <c r="C460" s="118"/>
      <c r="D460" s="144" t="s">
        <v>321</v>
      </c>
      <c r="E460" s="118"/>
      <c r="F460" s="144" t="s">
        <v>321</v>
      </c>
      <c r="G460" s="118"/>
      <c r="H460" s="144" t="s">
        <v>321</v>
      </c>
      <c r="I460" s="118"/>
      <c r="J460" s="144" t="s">
        <v>321</v>
      </c>
      <c r="K460" s="118"/>
      <c r="L460" s="144" t="s">
        <v>321</v>
      </c>
      <c r="M460" s="118"/>
      <c r="N460" s="144" t="s">
        <v>321</v>
      </c>
      <c r="O460" s="118"/>
    </row>
    <row r="461" spans="1:19" ht="12.95" customHeight="1" x14ac:dyDescent="0.25">
      <c r="A461" s="132" t="s">
        <v>206</v>
      </c>
      <c r="B461" s="144" t="s">
        <v>321</v>
      </c>
      <c r="C461" s="118"/>
      <c r="D461" s="144" t="s">
        <v>321</v>
      </c>
      <c r="E461" s="118"/>
      <c r="F461" s="144" t="s">
        <v>321</v>
      </c>
      <c r="G461" s="118"/>
      <c r="H461" s="144" t="s">
        <v>321</v>
      </c>
      <c r="I461" s="118"/>
      <c r="J461" s="144" t="s">
        <v>321</v>
      </c>
      <c r="K461" s="118"/>
      <c r="L461" s="144" t="s">
        <v>321</v>
      </c>
      <c r="M461" s="118"/>
      <c r="N461" s="144" t="s">
        <v>321</v>
      </c>
      <c r="O461" s="118"/>
    </row>
    <row r="462" spans="1:19" ht="12.95" customHeight="1" x14ac:dyDescent="0.25">
      <c r="A462" s="132" t="s">
        <v>221</v>
      </c>
      <c r="B462" s="144" t="s">
        <v>321</v>
      </c>
      <c r="C462" s="118"/>
      <c r="D462" s="144" t="s">
        <v>321</v>
      </c>
      <c r="E462" s="118"/>
      <c r="F462" s="144" t="s">
        <v>321</v>
      </c>
      <c r="G462" s="118"/>
      <c r="H462" s="144" t="s">
        <v>321</v>
      </c>
      <c r="I462" s="118"/>
      <c r="J462" s="144" t="s">
        <v>321</v>
      </c>
      <c r="K462" s="118"/>
      <c r="L462" s="144" t="s">
        <v>321</v>
      </c>
      <c r="M462" s="118"/>
      <c r="N462" s="144" t="s">
        <v>321</v>
      </c>
      <c r="O462" s="118"/>
    </row>
    <row r="463" spans="1:19" ht="12.95" customHeight="1" x14ac:dyDescent="0.25">
      <c r="A463" s="132" t="s">
        <v>207</v>
      </c>
      <c r="B463" s="144" t="s">
        <v>321</v>
      </c>
      <c r="C463" s="118"/>
      <c r="D463" s="144" t="s">
        <v>321</v>
      </c>
      <c r="E463" s="118"/>
      <c r="F463" s="144" t="s">
        <v>321</v>
      </c>
      <c r="G463" s="118"/>
      <c r="H463" s="144" t="s">
        <v>321</v>
      </c>
      <c r="I463" s="118"/>
      <c r="J463" s="144" t="s">
        <v>321</v>
      </c>
      <c r="K463" s="118"/>
      <c r="L463" s="144" t="s">
        <v>321</v>
      </c>
      <c r="M463" s="118"/>
      <c r="N463" s="144" t="s">
        <v>321</v>
      </c>
      <c r="O463" s="118"/>
    </row>
    <row r="464" spans="1:19" ht="12.95" customHeight="1" x14ac:dyDescent="0.25">
      <c r="A464" s="132"/>
      <c r="B464" s="563"/>
      <c r="C464" s="118"/>
      <c r="D464" s="563"/>
      <c r="E464" s="118"/>
      <c r="F464" s="563"/>
      <c r="G464" s="118"/>
      <c r="H464" s="563"/>
      <c r="I464" s="118"/>
      <c r="J464" s="563"/>
      <c r="K464" s="118"/>
      <c r="L464" s="563"/>
      <c r="M464" s="118"/>
      <c r="N464" s="563"/>
      <c r="O464" s="118"/>
    </row>
    <row r="465" spans="1:15" ht="12.95" customHeight="1" x14ac:dyDescent="0.25">
      <c r="A465" s="132" t="s">
        <v>208</v>
      </c>
      <c r="B465" s="144" t="s">
        <v>321</v>
      </c>
      <c r="C465" s="118"/>
      <c r="D465" s="144" t="s">
        <v>321</v>
      </c>
      <c r="E465" s="118"/>
      <c r="F465" s="144" t="s">
        <v>321</v>
      </c>
      <c r="G465" s="118"/>
      <c r="H465" s="144" t="s">
        <v>321</v>
      </c>
      <c r="I465" s="118"/>
      <c r="J465" s="144" t="s">
        <v>321</v>
      </c>
      <c r="K465" s="118"/>
      <c r="L465" s="144" t="s">
        <v>321</v>
      </c>
      <c r="M465" s="118"/>
      <c r="N465" s="144" t="s">
        <v>321</v>
      </c>
      <c r="O465" s="118"/>
    </row>
    <row r="466" spans="1:15" ht="12.95" customHeight="1" x14ac:dyDescent="0.25">
      <c r="A466" s="132" t="s">
        <v>209</v>
      </c>
      <c r="B466" s="144" t="s">
        <v>321</v>
      </c>
      <c r="C466" s="118"/>
      <c r="D466" s="144" t="s">
        <v>321</v>
      </c>
      <c r="E466" s="118"/>
      <c r="F466" s="144" t="s">
        <v>321</v>
      </c>
      <c r="G466" s="118"/>
      <c r="H466" s="144" t="s">
        <v>321</v>
      </c>
      <c r="I466" s="118"/>
      <c r="J466" s="144" t="s">
        <v>321</v>
      </c>
      <c r="K466" s="118"/>
      <c r="L466" s="144" t="s">
        <v>321</v>
      </c>
      <c r="M466" s="118"/>
      <c r="N466" s="144" t="s">
        <v>321</v>
      </c>
      <c r="O466" s="118"/>
    </row>
    <row r="467" spans="1:15" ht="12.95" customHeight="1" x14ac:dyDescent="0.25">
      <c r="A467" s="132" t="s">
        <v>210</v>
      </c>
      <c r="B467" s="144" t="s">
        <v>321</v>
      </c>
      <c r="C467" s="118"/>
      <c r="D467" s="144" t="s">
        <v>321</v>
      </c>
      <c r="E467" s="118"/>
      <c r="F467" s="144" t="s">
        <v>321</v>
      </c>
      <c r="G467" s="118"/>
      <c r="H467" s="144" t="s">
        <v>321</v>
      </c>
      <c r="I467" s="118"/>
      <c r="J467" s="144" t="s">
        <v>321</v>
      </c>
      <c r="K467" s="118"/>
      <c r="L467" s="144" t="s">
        <v>321</v>
      </c>
      <c r="M467" s="118"/>
      <c r="N467" s="144" t="s">
        <v>321</v>
      </c>
      <c r="O467" s="118"/>
    </row>
    <row r="468" spans="1:15" ht="12.95" customHeight="1" x14ac:dyDescent="0.25">
      <c r="A468" s="132" t="s">
        <v>211</v>
      </c>
      <c r="B468" s="144" t="s">
        <v>321</v>
      </c>
      <c r="C468" s="118"/>
      <c r="D468" s="144" t="s">
        <v>321</v>
      </c>
      <c r="E468" s="118"/>
      <c r="F468" s="144" t="s">
        <v>321</v>
      </c>
      <c r="G468" s="118"/>
      <c r="H468" s="144" t="s">
        <v>321</v>
      </c>
      <c r="I468" s="118"/>
      <c r="J468" s="144" t="s">
        <v>321</v>
      </c>
      <c r="K468" s="118"/>
      <c r="L468" s="144" t="s">
        <v>321</v>
      </c>
      <c r="M468" s="118"/>
      <c r="N468" s="144" t="s">
        <v>321</v>
      </c>
      <c r="O468" s="118"/>
    </row>
    <row r="469" spans="1:15" ht="12.95" customHeight="1" x14ac:dyDescent="0.25">
      <c r="A469" s="132"/>
      <c r="B469" s="563"/>
      <c r="C469" s="118"/>
      <c r="D469" s="563"/>
      <c r="E469" s="118"/>
      <c r="F469" s="563"/>
      <c r="G469" s="118"/>
      <c r="H469" s="563"/>
      <c r="I469" s="118"/>
      <c r="J469" s="563"/>
      <c r="K469" s="118"/>
      <c r="L469" s="563"/>
      <c r="M469" s="118"/>
      <c r="N469" s="563"/>
      <c r="O469" s="118"/>
    </row>
    <row r="470" spans="1:15" ht="12.95" customHeight="1" x14ac:dyDescent="0.25">
      <c r="A470" s="132" t="s">
        <v>212</v>
      </c>
      <c r="B470" s="144" t="s">
        <v>321</v>
      </c>
      <c r="C470" s="118"/>
      <c r="D470" s="144" t="s">
        <v>321</v>
      </c>
      <c r="E470" s="118"/>
      <c r="F470" s="144" t="s">
        <v>321</v>
      </c>
      <c r="G470" s="118"/>
      <c r="H470" s="144" t="s">
        <v>321</v>
      </c>
      <c r="I470" s="118"/>
      <c r="J470" s="144" t="s">
        <v>321</v>
      </c>
      <c r="K470" s="118"/>
      <c r="L470" s="144" t="s">
        <v>321</v>
      </c>
      <c r="M470" s="118"/>
      <c r="N470" s="144" t="s">
        <v>321</v>
      </c>
      <c r="O470" s="118"/>
    </row>
    <row r="471" spans="1:15" ht="12.95" customHeight="1" x14ac:dyDescent="0.25">
      <c r="A471" s="132" t="s">
        <v>213</v>
      </c>
      <c r="B471" s="144" t="s">
        <v>321</v>
      </c>
      <c r="C471" s="118"/>
      <c r="D471" s="144" t="s">
        <v>321</v>
      </c>
      <c r="E471" s="118"/>
      <c r="F471" s="144" t="s">
        <v>321</v>
      </c>
      <c r="G471" s="118"/>
      <c r="H471" s="144" t="s">
        <v>321</v>
      </c>
      <c r="I471" s="118"/>
      <c r="J471" s="144" t="s">
        <v>321</v>
      </c>
      <c r="K471" s="118"/>
      <c r="L471" s="144" t="s">
        <v>321</v>
      </c>
      <c r="M471" s="118"/>
      <c r="N471" s="144" t="s">
        <v>321</v>
      </c>
      <c r="O471" s="118"/>
    </row>
    <row r="472" spans="1:15" ht="12.95" customHeight="1" x14ac:dyDescent="0.25">
      <c r="A472" s="132" t="s">
        <v>214</v>
      </c>
      <c r="B472" s="144" t="s">
        <v>321</v>
      </c>
      <c r="C472" s="118"/>
      <c r="D472" s="144" t="s">
        <v>321</v>
      </c>
      <c r="E472" s="118"/>
      <c r="F472" s="144" t="s">
        <v>321</v>
      </c>
      <c r="G472" s="118"/>
      <c r="H472" s="144" t="s">
        <v>321</v>
      </c>
      <c r="I472" s="118"/>
      <c r="J472" s="144" t="s">
        <v>321</v>
      </c>
      <c r="K472" s="118"/>
      <c r="L472" s="144" t="s">
        <v>321</v>
      </c>
      <c r="M472" s="118"/>
      <c r="N472" s="144" t="s">
        <v>321</v>
      </c>
      <c r="O472" s="118"/>
    </row>
    <row r="473" spans="1:15" ht="12.95" customHeight="1" x14ac:dyDescent="0.25">
      <c r="A473" s="132" t="s">
        <v>215</v>
      </c>
      <c r="B473" s="144" t="s">
        <v>321</v>
      </c>
      <c r="C473" s="118"/>
      <c r="D473" s="144" t="s">
        <v>321</v>
      </c>
      <c r="E473" s="118"/>
      <c r="F473" s="144" t="s">
        <v>321</v>
      </c>
      <c r="G473" s="118"/>
      <c r="H473" s="144" t="s">
        <v>321</v>
      </c>
      <c r="I473" s="118"/>
      <c r="J473" s="144" t="s">
        <v>321</v>
      </c>
      <c r="K473" s="118"/>
      <c r="L473" s="144" t="s">
        <v>321</v>
      </c>
      <c r="M473" s="118"/>
      <c r="N473" s="144" t="s">
        <v>321</v>
      </c>
      <c r="O473" s="118"/>
    </row>
    <row r="474" spans="1:15" ht="12.95" customHeight="1" x14ac:dyDescent="0.25">
      <c r="A474" s="132"/>
      <c r="B474" s="563"/>
      <c r="C474" s="118"/>
      <c r="D474" s="563"/>
      <c r="E474" s="118"/>
      <c r="F474" s="563"/>
      <c r="G474" s="118"/>
      <c r="H474" s="563"/>
      <c r="I474" s="118"/>
      <c r="J474" s="563"/>
      <c r="K474" s="118"/>
      <c r="L474" s="563"/>
      <c r="M474" s="118"/>
      <c r="N474" s="563"/>
      <c r="O474" s="118"/>
    </row>
    <row r="475" spans="1:15" ht="12.95" customHeight="1" x14ac:dyDescent="0.25">
      <c r="A475" s="132" t="s">
        <v>216</v>
      </c>
      <c r="B475" s="144" t="s">
        <v>321</v>
      </c>
      <c r="C475" s="118"/>
      <c r="D475" s="144" t="s">
        <v>321</v>
      </c>
      <c r="E475" s="118"/>
      <c r="F475" s="144" t="s">
        <v>321</v>
      </c>
      <c r="G475" s="118"/>
      <c r="H475" s="144" t="s">
        <v>321</v>
      </c>
      <c r="I475" s="118"/>
      <c r="J475" s="144" t="s">
        <v>321</v>
      </c>
      <c r="K475" s="118"/>
      <c r="L475" s="144" t="s">
        <v>321</v>
      </c>
      <c r="M475" s="118"/>
      <c r="N475" s="144" t="s">
        <v>321</v>
      </c>
      <c r="O475" s="118"/>
    </row>
    <row r="476" spans="1:15" ht="12.95" customHeight="1" x14ac:dyDescent="0.25">
      <c r="A476" s="132" t="s">
        <v>217</v>
      </c>
      <c r="B476" s="144" t="s">
        <v>321</v>
      </c>
      <c r="C476" s="118"/>
      <c r="D476" s="144" t="s">
        <v>321</v>
      </c>
      <c r="E476" s="118"/>
      <c r="F476" s="144" t="s">
        <v>321</v>
      </c>
      <c r="G476" s="118"/>
      <c r="H476" s="144" t="s">
        <v>321</v>
      </c>
      <c r="I476" s="118"/>
      <c r="J476" s="144" t="s">
        <v>321</v>
      </c>
      <c r="K476" s="118"/>
      <c r="L476" s="144" t="s">
        <v>321</v>
      </c>
      <c r="M476" s="118"/>
      <c r="N476" s="144" t="s">
        <v>321</v>
      </c>
      <c r="O476" s="118"/>
    </row>
    <row r="477" spans="1:15" ht="12.95" customHeight="1" x14ac:dyDescent="0.25">
      <c r="A477" s="132" t="s">
        <v>218</v>
      </c>
      <c r="B477" s="144">
        <f>+GETPIVOTDATA(" New Prof avg",'Averages Pivot Table'!$A$3,"State","VA","Category2","Two-Year")</f>
        <v>68382.932231277533</v>
      </c>
      <c r="C477" s="118"/>
      <c r="D477" s="144">
        <f>+GETPIVOTDATA(" New Asc. avg",'Averages Pivot Table'!$A$3,"State","VA","Category2","Two-Year")</f>
        <v>61367.00115730337</v>
      </c>
      <c r="E477" s="118"/>
      <c r="F477" s="144">
        <f>+GETPIVOTDATA(" New Ast. avg",'Averages Pivot Table'!$A$3,"State","VA","Category2","Two-Year")</f>
        <v>55087.071209302325</v>
      </c>
      <c r="G477" s="118"/>
      <c r="H477" s="144">
        <f>+GETPIVOTDATA(" New Inst. avg",'Averages Pivot Table'!$A$3,"State","VA","Category",11,"Category2","Two-Year")</f>
        <v>49850.39902423077</v>
      </c>
      <c r="I477" s="118"/>
      <c r="J477" s="144">
        <f>+GETPIVOTDATA(" New Undesg. avg",'Averages Pivot Table'!$A$3,"State","VA","Category",11,"Category2","Two-Year")</f>
        <v>53793.843800000002</v>
      </c>
      <c r="K477" s="118"/>
      <c r="L477" s="144">
        <f>+GETPIVOTDATA(" New Single Rnk avg",'Averages Pivot Table'!$A$3,"State","VA","Category",11,"Category2","Two-Year")</f>
        <v>0</v>
      </c>
      <c r="M477" s="118"/>
      <c r="N477" s="144">
        <f>+GETPIVOTDATA(" New All Ranks avg",'Averages Pivot Table'!$A$3,"State","VA","Category",11,"Category2","Two-Year")</f>
        <v>58397.182847651573</v>
      </c>
      <c r="O477" s="118"/>
    </row>
    <row r="478" spans="1:15" ht="12.95" customHeight="1" x14ac:dyDescent="0.25">
      <c r="A478" s="6" t="s">
        <v>219</v>
      </c>
      <c r="B478" s="596" t="s">
        <v>321</v>
      </c>
      <c r="C478" s="119"/>
      <c r="D478" s="596" t="s">
        <v>321</v>
      </c>
      <c r="E478" s="119"/>
      <c r="F478" s="596" t="s">
        <v>321</v>
      </c>
      <c r="G478" s="119"/>
      <c r="H478" s="596" t="s">
        <v>321</v>
      </c>
      <c r="I478" s="119"/>
      <c r="J478" s="596" t="s">
        <v>321</v>
      </c>
      <c r="K478" s="119"/>
      <c r="L478" s="596" t="s">
        <v>321</v>
      </c>
      <c r="M478" s="119"/>
      <c r="N478" s="596" t="s">
        <v>321</v>
      </c>
      <c r="O478" s="119"/>
    </row>
    <row r="479" spans="1:15" ht="30" customHeight="1" x14ac:dyDescent="0.25">
      <c r="A479" s="670" t="s">
        <v>91</v>
      </c>
      <c r="B479" s="670"/>
      <c r="C479" s="670"/>
      <c r="D479" s="670"/>
      <c r="E479" s="670"/>
      <c r="F479" s="670"/>
      <c r="G479" s="670"/>
      <c r="H479" s="670"/>
      <c r="I479" s="670"/>
      <c r="J479" s="670"/>
      <c r="K479" s="670"/>
      <c r="L479" s="670"/>
      <c r="M479" s="670"/>
      <c r="N479" s="670"/>
      <c r="O479" s="670"/>
    </row>
    <row r="480" spans="1:15" x14ac:dyDescent="0.25">
      <c r="O480" s="157" t="s">
        <v>1083</v>
      </c>
    </row>
    <row r="481" spans="1:19" ht="18" x14ac:dyDescent="0.25">
      <c r="A481" s="544" t="s">
        <v>275</v>
      </c>
      <c r="B481" s="544"/>
      <c r="C481" s="544"/>
      <c r="D481" s="544"/>
      <c r="E481" s="544"/>
      <c r="F481" s="544"/>
      <c r="G481" s="544"/>
      <c r="H481" s="544"/>
      <c r="I481" s="544"/>
      <c r="J481" s="544"/>
      <c r="K481" s="544"/>
      <c r="L481" s="544"/>
      <c r="M481" s="544"/>
      <c r="N481" s="544"/>
      <c r="O481" s="544"/>
    </row>
    <row r="482" spans="1:19" x14ac:dyDescent="0.25">
      <c r="A482" s="588"/>
      <c r="B482" s="93"/>
      <c r="C482" s="93"/>
      <c r="D482" s="93"/>
      <c r="E482" s="93"/>
      <c r="F482" s="93"/>
      <c r="G482" s="93"/>
      <c r="H482" s="93"/>
      <c r="I482" s="93"/>
      <c r="J482" s="93"/>
      <c r="K482" s="93"/>
      <c r="L482" s="93"/>
      <c r="M482" s="93"/>
      <c r="N482" s="93"/>
      <c r="O482" s="93"/>
    </row>
    <row r="483" spans="1:19" x14ac:dyDescent="0.25">
      <c r="A483" s="665" t="s">
        <v>220</v>
      </c>
      <c r="B483" s="665"/>
      <c r="C483" s="665"/>
      <c r="D483" s="665"/>
      <c r="E483" s="665"/>
      <c r="F483" s="665"/>
      <c r="G483" s="665"/>
      <c r="H483" s="665"/>
      <c r="I483" s="665"/>
      <c r="J483" s="665"/>
      <c r="K483" s="665"/>
      <c r="L483" s="665"/>
      <c r="M483" s="665"/>
      <c r="N483" s="665"/>
      <c r="O483" s="665"/>
    </row>
    <row r="484" spans="1:19" x14ac:dyDescent="0.25">
      <c r="A484" s="665" t="s">
        <v>1057</v>
      </c>
      <c r="B484" s="665"/>
      <c r="C484" s="665"/>
      <c r="D484" s="665"/>
      <c r="E484" s="665"/>
      <c r="F484" s="665"/>
      <c r="G484" s="665"/>
      <c r="H484" s="665"/>
      <c r="I484" s="665"/>
      <c r="J484" s="665"/>
      <c r="K484" s="665"/>
      <c r="L484" s="665"/>
      <c r="M484" s="665"/>
      <c r="N484" s="665"/>
      <c r="O484" s="665"/>
    </row>
    <row r="485" spans="1:19" x14ac:dyDescent="0.25">
      <c r="A485" s="132"/>
      <c r="B485" s="93"/>
      <c r="C485" s="93"/>
      <c r="D485" s="93"/>
      <c r="E485" s="93"/>
      <c r="F485" s="93"/>
      <c r="G485" s="93"/>
      <c r="H485" s="93"/>
      <c r="I485" s="93"/>
      <c r="J485" s="93"/>
      <c r="K485" s="93"/>
      <c r="L485" s="93"/>
      <c r="M485" s="93"/>
      <c r="N485" s="93"/>
      <c r="O485" s="93"/>
    </row>
    <row r="486" spans="1:19" ht="31.5" customHeight="1" x14ac:dyDescent="0.25">
      <c r="A486" s="547"/>
      <c r="B486" s="589" t="s">
        <v>99</v>
      </c>
      <c r="C486" s="142"/>
      <c r="D486" s="590" t="s">
        <v>100</v>
      </c>
      <c r="E486" s="591"/>
      <c r="F486" s="590" t="s">
        <v>101</v>
      </c>
      <c r="G486" s="591"/>
      <c r="H486" s="589" t="s">
        <v>102</v>
      </c>
      <c r="I486" s="142"/>
      <c r="J486" s="590" t="s">
        <v>226</v>
      </c>
      <c r="K486" s="591"/>
      <c r="L486" s="142" t="s">
        <v>82</v>
      </c>
      <c r="M486" s="142"/>
      <c r="N486" s="142" t="s">
        <v>84</v>
      </c>
      <c r="O486" s="142"/>
    </row>
    <row r="487" spans="1:19" x14ac:dyDescent="0.25">
      <c r="A487" s="597"/>
      <c r="B487" s="115" t="s">
        <v>103</v>
      </c>
      <c r="C487" s="143" t="s">
        <v>193</v>
      </c>
      <c r="D487" s="115" t="s">
        <v>103</v>
      </c>
      <c r="E487" s="143" t="s">
        <v>193</v>
      </c>
      <c r="F487" s="115" t="s">
        <v>103</v>
      </c>
      <c r="G487" s="143" t="s">
        <v>193</v>
      </c>
      <c r="H487" s="115" t="s">
        <v>103</v>
      </c>
      <c r="I487" s="143" t="s">
        <v>193</v>
      </c>
      <c r="J487" s="115" t="s">
        <v>103</v>
      </c>
      <c r="K487" s="143" t="s">
        <v>193</v>
      </c>
      <c r="L487" s="115" t="s">
        <v>103</v>
      </c>
      <c r="M487" s="143" t="s">
        <v>193</v>
      </c>
      <c r="N487" s="115" t="s">
        <v>103</v>
      </c>
      <c r="O487" s="143" t="s">
        <v>193</v>
      </c>
    </row>
    <row r="488" spans="1:19" s="556" customFormat="1" ht="18" customHeight="1" x14ac:dyDescent="0.25">
      <c r="A488" s="554" t="s">
        <v>222</v>
      </c>
      <c r="B488" s="146">
        <f>+GETPIVOTDATA(" New Prof avg",'Averages Pivot Table'!$A$3,"Category2","Technical")</f>
        <v>45269.763348453613</v>
      </c>
      <c r="C488" s="146"/>
      <c r="D488" s="146">
        <f>+GETPIVOTDATA(" New Asc. avg",'Averages Pivot Table'!$A$3,"Category2","Technical")</f>
        <v>46461.095146666667</v>
      </c>
      <c r="E488" s="146"/>
      <c r="F488" s="146">
        <f>+GETPIVOTDATA(" New Ast. avg",'Averages Pivot Table'!$A$3,"Category2","Technical")</f>
        <v>43040.266571052627</v>
      </c>
      <c r="G488" s="146"/>
      <c r="H488" s="146">
        <f>+GETPIVOTDATA(" New Inst. avg",'Averages Pivot Table'!$A$3,"Category2","Technical")</f>
        <v>36892.140869029856</v>
      </c>
      <c r="I488" s="146"/>
      <c r="J488" s="146">
        <f>+GETPIVOTDATA(" New Undesg. avg",'Averages Pivot Table'!$A$3,"Category2","Technical")</f>
        <v>26333</v>
      </c>
      <c r="K488" s="146"/>
      <c r="L488" s="146">
        <f>+GETPIVOTDATA(" New Single Rnk avg",'Averages Pivot Table'!$A$3,"Category2","Technical")</f>
        <v>45641.217770873656</v>
      </c>
      <c r="M488" s="146"/>
      <c r="N488" s="146">
        <f>+GETPIVOTDATA(" New All Ranks avg",'Averages Pivot Table'!$A$3,"Category2","Technical")</f>
        <v>44617.655667565545</v>
      </c>
      <c r="O488" s="133"/>
      <c r="Q488" s="558"/>
      <c r="R488" s="558"/>
      <c r="S488" s="558"/>
    </row>
    <row r="489" spans="1:19" ht="12.95" customHeight="1" x14ac:dyDescent="0.25">
      <c r="A489" s="132"/>
      <c r="B489" s="123"/>
      <c r="C489" s="150"/>
      <c r="D489" s="123"/>
      <c r="E489" s="150"/>
      <c r="F489" s="123"/>
      <c r="G489" s="150"/>
      <c r="H489" s="123"/>
      <c r="I489" s="150"/>
      <c r="J489" s="123"/>
      <c r="K489" s="150"/>
      <c r="L489" s="123"/>
      <c r="M489" s="150"/>
      <c r="N489" s="123"/>
      <c r="O489" s="134"/>
    </row>
    <row r="490" spans="1:19" ht="12.95" customHeight="1" x14ac:dyDescent="0.25">
      <c r="A490" s="132" t="s">
        <v>205</v>
      </c>
      <c r="B490" s="126">
        <f>+GETPIVOTDATA(" New Prof avg",'Averages Pivot Table'!$A$3,"State","AL","Category2","Technical")</f>
        <v>0</v>
      </c>
      <c r="C490" s="118">
        <f>IF(B490&gt;0,(RANK(B490,B$490:B$508)),0)</f>
        <v>0</v>
      </c>
      <c r="D490" s="126">
        <f>+GETPIVOTDATA(" New Asc. avg",'Averages Pivot Table'!$A$3,"State","AL","Category2","Technical")</f>
        <v>0</v>
      </c>
      <c r="E490" s="118">
        <f>IF(D490&gt;0,(RANK(D490,D$490:D$508)),0)</f>
        <v>0</v>
      </c>
      <c r="F490" s="126">
        <f>+GETPIVOTDATA(" New Ast. avg",'Averages Pivot Table'!$A$3,"State","AL","Category2","Technical")</f>
        <v>0</v>
      </c>
      <c r="G490" s="118">
        <f t="shared" ref="G490:G508" si="67">IF(F490&gt;0,(RANK(F490,F$490:F$508)),0)</f>
        <v>0</v>
      </c>
      <c r="H490" s="126">
        <f>+GETPIVOTDATA(" New Inst. avg",'Averages Pivot Table'!$A$3,"State","AL","Category2","Technical")</f>
        <v>0</v>
      </c>
      <c r="I490" s="118">
        <f t="shared" ref="I490:I508" si="68">IF(H490&gt;0,(RANK(H490,H$490:H$508)),0)</f>
        <v>0</v>
      </c>
      <c r="J490" s="126">
        <f>+GETPIVOTDATA(" New Undesg. avg",'Averages Pivot Table'!$A$3,"State","AL","Category2","Technical")</f>
        <v>0</v>
      </c>
      <c r="K490" s="118">
        <f t="shared" ref="K490:K508" si="69">IF(J490&gt;0,(RANK(J490,J$490:J$508)),0)</f>
        <v>0</v>
      </c>
      <c r="L490" s="126">
        <f>+GETPIVOTDATA(" New Single Rnk avg",'Averages Pivot Table'!$A$3,"State","AL","Category2","Technical")</f>
        <v>53109.070069798654</v>
      </c>
      <c r="M490" s="118">
        <f t="shared" ref="M490:M508" si="70">IF(L490&gt;0,(RANK(L490,L$490:L$508)),0)</f>
        <v>1</v>
      </c>
      <c r="N490" s="126">
        <f>+GETPIVOTDATA(" New All Ranks avg",'Averages Pivot Table'!$A$3,"State","AL","Category2","Technical")</f>
        <v>53109.070069798654</v>
      </c>
      <c r="O490" s="118">
        <f t="shared" ref="O490:O508" si="71">IF(N490&gt;0,(RANK(N490,N$490:N$508)),0)</f>
        <v>1</v>
      </c>
    </row>
    <row r="491" spans="1:19" ht="12.95" customHeight="1" x14ac:dyDescent="0.25">
      <c r="A491" s="132" t="s">
        <v>206</v>
      </c>
      <c r="B491" s="126">
        <f>+GETPIVOTDATA(" New Prof avg",'Averages Pivot Table'!$A$3,"State","AR","Category2","Technical")</f>
        <v>0</v>
      </c>
      <c r="C491" s="118">
        <f t="shared" ref="C491:E508" si="72">IF(B491&gt;0,(RANK(B491,B$490:B$508)),0)</f>
        <v>0</v>
      </c>
      <c r="D491" s="126">
        <f>+GETPIVOTDATA(" New Asc. avg",'Averages Pivot Table'!$A$3,"State","AR","Category2","Technical")</f>
        <v>0</v>
      </c>
      <c r="E491" s="118">
        <f t="shared" si="72"/>
        <v>0</v>
      </c>
      <c r="F491" s="126">
        <f>+GETPIVOTDATA(" New Ast. avg",'Averages Pivot Table'!$A$3,"State","AR","Category2","Technical")</f>
        <v>0</v>
      </c>
      <c r="G491" s="118">
        <f t="shared" si="67"/>
        <v>0</v>
      </c>
      <c r="H491" s="126">
        <f>+GETPIVOTDATA(" New Inst. avg",'Averages Pivot Table'!$A$3,"State","AR","Category2","Technical")</f>
        <v>0</v>
      </c>
      <c r="I491" s="118">
        <f t="shared" si="68"/>
        <v>0</v>
      </c>
      <c r="J491" s="126">
        <f>+GETPIVOTDATA(" New Undesg. avg",'Averages Pivot Table'!$A$3,"State","AR","Category2","Technical")</f>
        <v>0</v>
      </c>
      <c r="K491" s="118">
        <f t="shared" si="69"/>
        <v>0</v>
      </c>
      <c r="L491" s="126">
        <f>+GETPIVOTDATA(" New Single Rnk avg",'Averages Pivot Table'!$A$3,"State","AR","Category2","Technical")</f>
        <v>0</v>
      </c>
      <c r="M491" s="118">
        <f t="shared" si="70"/>
        <v>0</v>
      </c>
      <c r="N491" s="126">
        <f>+GETPIVOTDATA(" New All Ranks avg",'Averages Pivot Table'!$A$3,"State","AR","Category2","Technical")</f>
        <v>0</v>
      </c>
      <c r="O491" s="118">
        <f t="shared" si="71"/>
        <v>0</v>
      </c>
    </row>
    <row r="492" spans="1:19" ht="12.95" customHeight="1" x14ac:dyDescent="0.25">
      <c r="A492" s="132" t="s">
        <v>221</v>
      </c>
      <c r="B492" s="126">
        <f>+GETPIVOTDATA(" New Prof avg",'Averages Pivot Table'!$A$3,"State","DE","Category2","Technical")</f>
        <v>0</v>
      </c>
      <c r="C492" s="118">
        <f t="shared" si="72"/>
        <v>0</v>
      </c>
      <c r="D492" s="126">
        <f>+GETPIVOTDATA(" New Asc. avg",'Averages Pivot Table'!$A$3,"State","DE","Category2","Technical")</f>
        <v>0</v>
      </c>
      <c r="E492" s="118">
        <f t="shared" si="72"/>
        <v>0</v>
      </c>
      <c r="F492" s="126">
        <f>+GETPIVOTDATA(" New Ast. avg",'Averages Pivot Table'!$A$3,"State","DE","Category2","Technical")</f>
        <v>0</v>
      </c>
      <c r="G492" s="118">
        <f t="shared" si="67"/>
        <v>0</v>
      </c>
      <c r="H492" s="126">
        <f>+GETPIVOTDATA(" New Inst. avg",'Averages Pivot Table'!$A$3,"State","DE","Category2","Technical")</f>
        <v>0</v>
      </c>
      <c r="I492" s="118">
        <f t="shared" si="68"/>
        <v>0</v>
      </c>
      <c r="J492" s="126">
        <f>+GETPIVOTDATA(" New Undesg. avg",'Averages Pivot Table'!$A$3,"State","DE","Category2","Technical")</f>
        <v>0</v>
      </c>
      <c r="K492" s="118">
        <f t="shared" si="69"/>
        <v>0</v>
      </c>
      <c r="L492" s="126">
        <f>+GETPIVOTDATA(" New Single Rnk avg",'Averages Pivot Table'!$A$3,"State","DE","Category2","Technical")</f>
        <v>0</v>
      </c>
      <c r="M492" s="118">
        <f t="shared" si="70"/>
        <v>0</v>
      </c>
      <c r="N492" s="126">
        <f>+GETPIVOTDATA(" New Prof avg",'Averages Pivot Table'!$A$3,"State","DE","Category2","Technical")</f>
        <v>0</v>
      </c>
      <c r="O492" s="118">
        <f t="shared" si="71"/>
        <v>0</v>
      </c>
    </row>
    <row r="493" spans="1:19" ht="12.95" customHeight="1" x14ac:dyDescent="0.25">
      <c r="A493" s="132" t="s">
        <v>207</v>
      </c>
      <c r="B493" s="126">
        <f>+GETPIVOTDATA(" New Prof avg",'Averages Pivot Table'!$A$3,"State","FL","Category2","Technical")</f>
        <v>0</v>
      </c>
      <c r="C493" s="118">
        <f t="shared" si="72"/>
        <v>0</v>
      </c>
      <c r="D493" s="126">
        <f>+GETPIVOTDATA(" New Asc. avg",'Averages Pivot Table'!$A$3,"State","FL","Category2","Technical")</f>
        <v>0</v>
      </c>
      <c r="E493" s="118">
        <f t="shared" si="72"/>
        <v>0</v>
      </c>
      <c r="F493" s="126">
        <f>+GETPIVOTDATA(" New Ast. avg",'Averages Pivot Table'!$A$3,"State","FL","Category2","Technical")</f>
        <v>0</v>
      </c>
      <c r="G493" s="118">
        <f t="shared" si="67"/>
        <v>0</v>
      </c>
      <c r="H493" s="126">
        <f>+GETPIVOTDATA(" New Inst. avg",'Averages Pivot Table'!$A$3,"State","FL","Category2","Technical")</f>
        <v>0</v>
      </c>
      <c r="I493" s="118">
        <f t="shared" si="68"/>
        <v>0</v>
      </c>
      <c r="J493" s="126">
        <f>+GETPIVOTDATA(" New Undesg. avg",'Averages Pivot Table'!$A$3,"State","FL","Category2","Technical")</f>
        <v>0</v>
      </c>
      <c r="K493" s="118">
        <f t="shared" si="69"/>
        <v>0</v>
      </c>
      <c r="L493" s="126">
        <f>+GETPIVOTDATA(" New Single Rnk avg",'Averages Pivot Table'!$A$3,"State","FL","Category2","Technical")</f>
        <v>0</v>
      </c>
      <c r="M493" s="118">
        <f t="shared" si="70"/>
        <v>0</v>
      </c>
      <c r="N493" s="126">
        <f>+GETPIVOTDATA(" New All Ranks avg",'Averages Pivot Table'!$A$3,"State","FL","Category2","Technical")</f>
        <v>0</v>
      </c>
      <c r="O493" s="118">
        <f t="shared" si="71"/>
        <v>0</v>
      </c>
    </row>
    <row r="494" spans="1:19" ht="12.95" customHeight="1" x14ac:dyDescent="0.25">
      <c r="A494" s="132"/>
      <c r="B494" s="126"/>
      <c r="C494" s="118">
        <f t="shared" si="72"/>
        <v>0</v>
      </c>
      <c r="D494" s="126"/>
      <c r="E494" s="118">
        <f t="shared" si="72"/>
        <v>0</v>
      </c>
      <c r="F494" s="126"/>
      <c r="G494" s="118">
        <f t="shared" si="67"/>
        <v>0</v>
      </c>
      <c r="H494" s="126"/>
      <c r="I494" s="118">
        <f t="shared" si="68"/>
        <v>0</v>
      </c>
      <c r="J494" s="126"/>
      <c r="K494" s="118">
        <f t="shared" si="69"/>
        <v>0</v>
      </c>
      <c r="L494" s="126"/>
      <c r="M494" s="118">
        <f t="shared" si="70"/>
        <v>0</v>
      </c>
      <c r="N494" s="126"/>
      <c r="O494" s="118">
        <f t="shared" si="71"/>
        <v>0</v>
      </c>
    </row>
    <row r="495" spans="1:19" ht="12.95" customHeight="1" x14ac:dyDescent="0.25">
      <c r="A495" s="132" t="s">
        <v>208</v>
      </c>
      <c r="B495" s="126">
        <f>+GETPIVOTDATA(" New Prof avg",'Averages Pivot Table'!$A$3,"State","GA","Category2","Technical")</f>
        <v>0</v>
      </c>
      <c r="C495" s="118">
        <f t="shared" si="72"/>
        <v>0</v>
      </c>
      <c r="D495" s="126">
        <f>+GETPIVOTDATA(" New Asc. avg",'Averages Pivot Table'!$A$3,"State","GA","Category2","Technical")</f>
        <v>0</v>
      </c>
      <c r="E495" s="118">
        <f t="shared" si="72"/>
        <v>0</v>
      </c>
      <c r="F495" s="126">
        <f>+GETPIVOTDATA(" New Ast. avg",'Averages Pivot Table'!$A$3,"State","GA","Category2","Technical")</f>
        <v>0</v>
      </c>
      <c r="G495" s="118">
        <f t="shared" si="67"/>
        <v>0</v>
      </c>
      <c r="H495" s="126">
        <f>+GETPIVOTDATA(" New Inst. avg",'Averages Pivot Table'!$A$3,"State","GA","Category2","Technical")</f>
        <v>0</v>
      </c>
      <c r="I495" s="118">
        <f t="shared" si="68"/>
        <v>0</v>
      </c>
      <c r="J495" s="126">
        <f>+GETPIVOTDATA(" New Undesg. avg",'Averages Pivot Table'!$A$3,"State","GA","Category2","Technical")</f>
        <v>0</v>
      </c>
      <c r="K495" s="118">
        <f t="shared" si="69"/>
        <v>0</v>
      </c>
      <c r="L495" s="126">
        <f>+GETPIVOTDATA(" New Single Rnk avg",'Averages Pivot Table'!$A$3,"State","GA","Category2","Technical")</f>
        <v>44688.970657167833</v>
      </c>
      <c r="M495" s="118">
        <f t="shared" si="70"/>
        <v>3</v>
      </c>
      <c r="N495" s="126">
        <f>+GETPIVOTDATA(" New All Ranks avg",'Averages Pivot Table'!$A$3,"State","GA","Category2","Technical")</f>
        <v>44688.970657167833</v>
      </c>
      <c r="O495" s="118">
        <f t="shared" si="71"/>
        <v>3</v>
      </c>
    </row>
    <row r="496" spans="1:19" ht="12.95" customHeight="1" x14ac:dyDescent="0.25">
      <c r="A496" s="132" t="s">
        <v>209</v>
      </c>
      <c r="B496" s="126">
        <f>+GETPIVOTDATA(" New Prof avg",'Averages Pivot Table'!$A$3,"State","KY","Category2","Technical")</f>
        <v>60867.073700000001</v>
      </c>
      <c r="C496" s="118">
        <f t="shared" si="72"/>
        <v>1</v>
      </c>
      <c r="D496" s="126">
        <f>+GETPIVOTDATA(" New Asc. avg",'Averages Pivot Table'!$A$3,"State","KY","Category2","Technical")</f>
        <v>49302.314276190475</v>
      </c>
      <c r="E496" s="118">
        <f t="shared" si="72"/>
        <v>1</v>
      </c>
      <c r="F496" s="126">
        <f>+GETPIVOTDATA(" New Ast. avg",'Averages Pivot Table'!$A$3,"State","KY","Category2","Technical")</f>
        <v>44613.446860000004</v>
      </c>
      <c r="G496" s="118">
        <f t="shared" si="67"/>
        <v>1</v>
      </c>
      <c r="H496" s="126">
        <f>+GETPIVOTDATA(" New Inst. avg",'Averages Pivot Table'!$A$3,"State","KY","Category2","Technical")</f>
        <v>39055.863666666672</v>
      </c>
      <c r="I496" s="118">
        <f t="shared" si="68"/>
        <v>1</v>
      </c>
      <c r="J496" s="126">
        <f>+GETPIVOTDATA(" New Undesg. avg",'Averages Pivot Table'!$A$3,"State","KY","Category2","Technical")</f>
        <v>0</v>
      </c>
      <c r="K496" s="118">
        <f t="shared" si="69"/>
        <v>0</v>
      </c>
      <c r="L496" s="126">
        <f>+GETPIVOTDATA(" New Single Rnk avg",'Averages Pivot Table'!$A$3,"State","KY","Category2","Technical")</f>
        <v>0</v>
      </c>
      <c r="M496" s="118">
        <f t="shared" si="70"/>
        <v>0</v>
      </c>
      <c r="N496" s="126">
        <f>+GETPIVOTDATA(" New All Ranks avg",'Averages Pivot Table'!$A$3,"State","KY","Category2","Technical")</f>
        <v>44564.229773493978</v>
      </c>
      <c r="O496" s="118">
        <f t="shared" si="71"/>
        <v>4</v>
      </c>
    </row>
    <row r="497" spans="1:15" ht="12.95" customHeight="1" x14ac:dyDescent="0.25">
      <c r="A497" s="132" t="s">
        <v>210</v>
      </c>
      <c r="B497" s="126">
        <f>+GETPIVOTDATA(" New Prof avg",'Averages Pivot Table'!$A$3,"State","LA","Category2","Technical")</f>
        <v>43067.790122352941</v>
      </c>
      <c r="C497" s="118">
        <f t="shared" si="72"/>
        <v>2</v>
      </c>
      <c r="D497" s="126">
        <f>+GETPIVOTDATA(" New Asc. avg",'Averages Pivot Table'!$A$3,"State","LA","Category2","Technical")</f>
        <v>39831.583844444445</v>
      </c>
      <c r="E497" s="118">
        <f t="shared" si="72"/>
        <v>2</v>
      </c>
      <c r="F497" s="126">
        <f>+GETPIVOTDATA(" New Ast. avg",'Averages Pivot Table'!$A$3,"State","LA","Category2","Technical")</f>
        <v>41292.288472222222</v>
      </c>
      <c r="G497" s="118">
        <f t="shared" si="67"/>
        <v>2</v>
      </c>
      <c r="H497" s="126">
        <f>+GETPIVOTDATA(" New Inst. avg",'Averages Pivot Table'!$A$3,"State","LA","Category2","Technical")</f>
        <v>36556.390779741385</v>
      </c>
      <c r="I497" s="118">
        <f t="shared" si="68"/>
        <v>2</v>
      </c>
      <c r="J497" s="126">
        <f>+GETPIVOTDATA(" New Undesg. avg",'Averages Pivot Table'!$A$3,"State","LA","Category2","Technical")</f>
        <v>26333</v>
      </c>
      <c r="K497" s="118">
        <f t="shared" si="69"/>
        <v>1</v>
      </c>
      <c r="L497" s="126">
        <f>+GETPIVOTDATA(" New Single Rnk avg",'Averages Pivot Table'!$A$3,"State","LA","Category2","Technical")</f>
        <v>40128.999783783787</v>
      </c>
      <c r="M497" s="118">
        <f t="shared" si="70"/>
        <v>4</v>
      </c>
      <c r="N497" s="126">
        <f>+GETPIVOTDATA(" New All Ranks avg",'Averages Pivot Table'!$A$3,"State","LA","Category2","Technical")</f>
        <v>37999.944890775994</v>
      </c>
      <c r="O497" s="118">
        <f t="shared" si="71"/>
        <v>6</v>
      </c>
    </row>
    <row r="498" spans="1:15" ht="12.95" customHeight="1" x14ac:dyDescent="0.25">
      <c r="A498" s="132" t="s">
        <v>211</v>
      </c>
      <c r="B498" s="126">
        <f>+GETPIVOTDATA(" New Prof avg",'Averages Pivot Table'!$A$3,"State","MD","Category2","Technical")</f>
        <v>0</v>
      </c>
      <c r="C498" s="118">
        <f t="shared" si="72"/>
        <v>0</v>
      </c>
      <c r="D498" s="126">
        <f>+GETPIVOTDATA(" New Asc. avg",'Averages Pivot Table'!$A$3,"State","MD","Category2","Technical")</f>
        <v>0</v>
      </c>
      <c r="E498" s="118">
        <f t="shared" si="72"/>
        <v>0</v>
      </c>
      <c r="F498" s="126">
        <f>+GETPIVOTDATA(" New Ast. avg",'Averages Pivot Table'!$A$3,"State","MD","Category2","Technical")</f>
        <v>0</v>
      </c>
      <c r="G498" s="118">
        <f t="shared" si="67"/>
        <v>0</v>
      </c>
      <c r="H498" s="126">
        <f>+GETPIVOTDATA(" New Inst. avg",'Averages Pivot Table'!$A$3,"State","MD","Category2","Technical")</f>
        <v>0</v>
      </c>
      <c r="I498" s="118">
        <f t="shared" si="68"/>
        <v>0</v>
      </c>
      <c r="J498" s="126">
        <f>+GETPIVOTDATA(" New Undesg. avg",'Averages Pivot Table'!$A$3,"State","MD","Category2","Technical")</f>
        <v>0</v>
      </c>
      <c r="K498" s="118">
        <f t="shared" si="69"/>
        <v>0</v>
      </c>
      <c r="L498" s="126">
        <f>+GETPIVOTDATA(" New Single Rnk avg",'Averages Pivot Table'!$A$3,"State","MD","Category2","Technical")</f>
        <v>0</v>
      </c>
      <c r="M498" s="118">
        <f t="shared" si="70"/>
        <v>0</v>
      </c>
      <c r="N498" s="126">
        <f>+GETPIVOTDATA(" New All Ranks avg",'Averages Pivot Table'!$A$3,"State","MD","Category2","Technical")</f>
        <v>0</v>
      </c>
      <c r="O498" s="118">
        <f t="shared" si="71"/>
        <v>0</v>
      </c>
    </row>
    <row r="499" spans="1:15" ht="12.95" customHeight="1" x14ac:dyDescent="0.25">
      <c r="A499" s="132"/>
      <c r="B499" s="126"/>
      <c r="C499" s="118">
        <f t="shared" si="72"/>
        <v>0</v>
      </c>
      <c r="D499" s="126"/>
      <c r="E499" s="118">
        <f t="shared" si="72"/>
        <v>0</v>
      </c>
      <c r="F499" s="126"/>
      <c r="G499" s="118">
        <f t="shared" si="67"/>
        <v>0</v>
      </c>
      <c r="H499" s="126"/>
      <c r="I499" s="118">
        <f t="shared" si="68"/>
        <v>0</v>
      </c>
      <c r="J499" s="126"/>
      <c r="K499" s="118">
        <f t="shared" si="69"/>
        <v>0</v>
      </c>
      <c r="L499" s="126"/>
      <c r="M499" s="118">
        <f t="shared" si="70"/>
        <v>0</v>
      </c>
      <c r="N499" s="126"/>
      <c r="O499" s="118">
        <f t="shared" si="71"/>
        <v>0</v>
      </c>
    </row>
    <row r="500" spans="1:15" ht="12.95" customHeight="1" x14ac:dyDescent="0.25">
      <c r="A500" s="132" t="s">
        <v>212</v>
      </c>
      <c r="B500" s="126">
        <f>+GETPIVOTDATA(" New Prof avg",'Averages Pivot Table'!$A$3,"State","MS","Category2","Technical")</f>
        <v>0</v>
      </c>
      <c r="C500" s="118">
        <f t="shared" si="72"/>
        <v>0</v>
      </c>
      <c r="D500" s="126">
        <f>+GETPIVOTDATA(" New Asc. avg",'Averages Pivot Table'!$A$3,"State","MS","Category2","Technical")</f>
        <v>0</v>
      </c>
      <c r="E500" s="118">
        <f t="shared" si="72"/>
        <v>0</v>
      </c>
      <c r="F500" s="126">
        <f>+GETPIVOTDATA(" New Ast. avg",'Averages Pivot Table'!$A$3,"State","MS","Category2","Technical")</f>
        <v>0</v>
      </c>
      <c r="G500" s="118">
        <f t="shared" si="67"/>
        <v>0</v>
      </c>
      <c r="H500" s="126">
        <f>+GETPIVOTDATA(" New Inst. avg",'Averages Pivot Table'!$A$3,"State","MS","Category2","Technical")</f>
        <v>0</v>
      </c>
      <c r="I500" s="118">
        <f t="shared" si="68"/>
        <v>0</v>
      </c>
      <c r="J500" s="126">
        <f>+GETPIVOTDATA(" New Undesg. avg",'Averages Pivot Table'!$A$3,"State","MS","Category2","Technical")</f>
        <v>0</v>
      </c>
      <c r="K500" s="118">
        <f t="shared" si="69"/>
        <v>0</v>
      </c>
      <c r="L500" s="126">
        <f>+GETPIVOTDATA(" New Single Rnk avg",'Averages Pivot Table'!$A$3,"State","MS","Category2","Technical")</f>
        <v>0</v>
      </c>
      <c r="M500" s="118">
        <f t="shared" si="70"/>
        <v>0</v>
      </c>
      <c r="N500" s="126">
        <f>+GETPIVOTDATA(" New All Ranks avg",'Averages Pivot Table'!$A$3,"State","MS","Category2","Technical")</f>
        <v>0</v>
      </c>
      <c r="O500" s="118">
        <f t="shared" si="71"/>
        <v>0</v>
      </c>
    </row>
    <row r="501" spans="1:15" ht="12.95" customHeight="1" x14ac:dyDescent="0.25">
      <c r="A501" s="132" t="s">
        <v>213</v>
      </c>
      <c r="B501" s="126">
        <f>+GETPIVOTDATA(" New Prof avg",'Averages Pivot Table'!$A$3,"State","NC","Category2","Technical")</f>
        <v>0</v>
      </c>
      <c r="C501" s="118">
        <f t="shared" si="72"/>
        <v>0</v>
      </c>
      <c r="D501" s="126">
        <f>+GETPIVOTDATA(" New Asc. avg",'Averages Pivot Table'!$A$3,"State","NC","Category2","Technical")</f>
        <v>0</v>
      </c>
      <c r="E501" s="118">
        <f t="shared" si="72"/>
        <v>0</v>
      </c>
      <c r="F501" s="126">
        <f>+GETPIVOTDATA(" New Ast. avg",'Averages Pivot Table'!$A$3,"State","NC","Category2","Technical")</f>
        <v>0</v>
      </c>
      <c r="G501" s="118">
        <f t="shared" si="67"/>
        <v>0</v>
      </c>
      <c r="H501" s="126">
        <f>+GETPIVOTDATA(" New Inst. avg",'Averages Pivot Table'!$A$3,"State","NC","Category2","Technical")</f>
        <v>0</v>
      </c>
      <c r="I501" s="118">
        <f t="shared" si="68"/>
        <v>0</v>
      </c>
      <c r="J501" s="126">
        <f>+GETPIVOTDATA(" New Undesg. avg",'Averages Pivot Table'!$A$3,"State","NC","Category2","Technical")</f>
        <v>0</v>
      </c>
      <c r="K501" s="118">
        <f t="shared" si="69"/>
        <v>0</v>
      </c>
      <c r="L501" s="126">
        <f>+GETPIVOTDATA(" New Single Rnk avg",'Averages Pivot Table'!$A$3,"State","NC","Category2","Technical")</f>
        <v>0</v>
      </c>
      <c r="M501" s="118">
        <f t="shared" si="70"/>
        <v>0</v>
      </c>
      <c r="N501" s="126">
        <f>+GETPIVOTDATA(" New All Ranks avg",'Averages Pivot Table'!$A$3,"State","NC","Category2","Technical")</f>
        <v>0</v>
      </c>
      <c r="O501" s="118">
        <f t="shared" si="71"/>
        <v>0</v>
      </c>
    </row>
    <row r="502" spans="1:15" ht="12.95" customHeight="1" x14ac:dyDescent="0.25">
      <c r="A502" s="132" t="s">
        <v>214</v>
      </c>
      <c r="B502" s="126">
        <f>+GETPIVOTDATA(" New Prof avg",'Averages Pivot Table'!$A$3,"State","OK","Category2","Technical")</f>
        <v>0</v>
      </c>
      <c r="C502" s="118">
        <f t="shared" si="72"/>
        <v>0</v>
      </c>
      <c r="D502" s="126">
        <f>+GETPIVOTDATA(" New Asc. avg",'Averages Pivot Table'!$A$3,"State","OK","Category2","Technical")</f>
        <v>0</v>
      </c>
      <c r="E502" s="118">
        <f t="shared" si="72"/>
        <v>0</v>
      </c>
      <c r="F502" s="126">
        <f>+GETPIVOTDATA(" New Ast. avg",'Averages Pivot Table'!$A$3,"State","OK","Category2","Technical")</f>
        <v>0</v>
      </c>
      <c r="G502" s="118">
        <f t="shared" si="67"/>
        <v>0</v>
      </c>
      <c r="H502" s="126">
        <f>+GETPIVOTDATA(" New Inst. avg",'Averages Pivot Table'!$A$3,"State","OK","Category2","Technical")</f>
        <v>0</v>
      </c>
      <c r="I502" s="118">
        <f t="shared" si="68"/>
        <v>0</v>
      </c>
      <c r="J502" s="126">
        <f>+GETPIVOTDATA(" New Undesg. avg",'Averages Pivot Table'!$A$3,"State","OK","Category2","Technical")</f>
        <v>0</v>
      </c>
      <c r="K502" s="118">
        <f t="shared" si="69"/>
        <v>0</v>
      </c>
      <c r="L502" s="126">
        <f>+GETPIVOTDATA(" New Single Rnk avg",'Averages Pivot Table'!$A$3,"State","OK","Category2","Technical")</f>
        <v>49878.160806542881</v>
      </c>
      <c r="M502" s="118">
        <f t="shared" si="70"/>
        <v>2</v>
      </c>
      <c r="N502" s="126">
        <f>+GETPIVOTDATA(" New All Ranks avg",'Averages Pivot Table'!$A$3,"State","OK","Category2","Technical")</f>
        <v>49878.160806542881</v>
      </c>
      <c r="O502" s="118">
        <f t="shared" si="71"/>
        <v>2</v>
      </c>
    </row>
    <row r="503" spans="1:15" ht="12.95" customHeight="1" x14ac:dyDescent="0.25">
      <c r="A503" s="132" t="s">
        <v>215</v>
      </c>
      <c r="B503" s="126">
        <f>+GETPIVOTDATA(" New Prof avg",'Averages Pivot Table'!$A$3,"State","SC","Category2","Technical")</f>
        <v>0</v>
      </c>
      <c r="C503" s="118">
        <f t="shared" si="72"/>
        <v>0</v>
      </c>
      <c r="D503" s="126">
        <f>+GETPIVOTDATA(" New Asc. avg",'Averages Pivot Table'!$A$3,"State","SC","Category2","Technical")</f>
        <v>0</v>
      </c>
      <c r="E503" s="118">
        <f t="shared" si="72"/>
        <v>0</v>
      </c>
      <c r="F503" s="126">
        <f>+GETPIVOTDATA(" New Ast. avg",'Averages Pivot Table'!$A$3,"State","SC","Category2","Technical")</f>
        <v>0</v>
      </c>
      <c r="G503" s="118">
        <f t="shared" si="67"/>
        <v>0</v>
      </c>
      <c r="H503" s="126">
        <f>+GETPIVOTDATA(" New Inst. avg",'Averages Pivot Table'!$A$3,"State","SC","Category2","Technical")</f>
        <v>0</v>
      </c>
      <c r="I503" s="118">
        <f t="shared" si="68"/>
        <v>0</v>
      </c>
      <c r="J503" s="126">
        <f>+GETPIVOTDATA(" New Undesg. avg",'Averages Pivot Table'!$A$3,"State","SC","Category2","Technical")</f>
        <v>0</v>
      </c>
      <c r="K503" s="118">
        <f t="shared" si="69"/>
        <v>0</v>
      </c>
      <c r="L503" s="126">
        <f>+GETPIVOTDATA(" New Single Rnk avg",'Averages Pivot Table'!$A$3,"State","SC","Category2","Technical")</f>
        <v>0</v>
      </c>
      <c r="M503" s="118">
        <f t="shared" si="70"/>
        <v>0</v>
      </c>
      <c r="N503" s="126">
        <f>+GETPIVOTDATA(" New Single Rnk avg",'Averages Pivot Table'!$A$3,"State","SC","Category2","Technical")</f>
        <v>0</v>
      </c>
      <c r="O503" s="118">
        <f t="shared" si="71"/>
        <v>0</v>
      </c>
    </row>
    <row r="504" spans="1:15" ht="12.95" customHeight="1" x14ac:dyDescent="0.25">
      <c r="A504" s="132"/>
      <c r="B504" s="126"/>
      <c r="C504" s="118">
        <f t="shared" si="72"/>
        <v>0</v>
      </c>
      <c r="D504" s="126"/>
      <c r="E504" s="118">
        <f t="shared" si="72"/>
        <v>0</v>
      </c>
      <c r="F504" s="126"/>
      <c r="G504" s="118">
        <f t="shared" si="67"/>
        <v>0</v>
      </c>
      <c r="H504" s="126"/>
      <c r="I504" s="118">
        <f t="shared" si="68"/>
        <v>0</v>
      </c>
      <c r="J504" s="126"/>
      <c r="K504" s="118">
        <f t="shared" si="69"/>
        <v>0</v>
      </c>
      <c r="L504" s="126"/>
      <c r="M504" s="118">
        <f t="shared" si="70"/>
        <v>0</v>
      </c>
      <c r="N504" s="126"/>
      <c r="O504" s="118">
        <f t="shared" si="71"/>
        <v>0</v>
      </c>
    </row>
    <row r="505" spans="1:15" ht="12.95" customHeight="1" x14ac:dyDescent="0.25">
      <c r="A505" s="132" t="s">
        <v>216</v>
      </c>
      <c r="B505" s="563">
        <f>+GETPIVOTDATA(" New Prof avg",'Averages Pivot Table'!$A$3,"State","TN","Category2","Technical")</f>
        <v>0</v>
      </c>
      <c r="C505" s="118">
        <f t="shared" si="72"/>
        <v>0</v>
      </c>
      <c r="D505" s="563">
        <f>+GETPIVOTDATA(" New Asc. avg",'Averages Pivot Table'!$A$3,"State","TN","Category2","Technical")</f>
        <v>0</v>
      </c>
      <c r="E505" s="118">
        <f t="shared" si="72"/>
        <v>0</v>
      </c>
      <c r="F505" s="563">
        <f>+GETPIVOTDATA(" New Ast. avg",'Averages Pivot Table'!$A$3,"State","TN","Category2","Technical")</f>
        <v>0</v>
      </c>
      <c r="G505" s="118">
        <f t="shared" si="67"/>
        <v>0</v>
      </c>
      <c r="H505" s="563">
        <f>+GETPIVOTDATA(" New Inst. avg",'Averages Pivot Table'!$A$3,"State","TN","Category2","Technical")</f>
        <v>0</v>
      </c>
      <c r="I505" s="118">
        <f t="shared" si="68"/>
        <v>0</v>
      </c>
      <c r="J505" s="563">
        <f>+GETPIVOTDATA(" New Undesg. avg",'Averages Pivot Table'!$A$3,"State","TN","Category2","Technical")</f>
        <v>0</v>
      </c>
      <c r="K505" s="118">
        <f t="shared" si="69"/>
        <v>0</v>
      </c>
      <c r="L505" s="563">
        <f>+GETPIVOTDATA(" New Single Rnk avg",'Averages Pivot Table'!$A$3,"State","TN","Category2","Technical")</f>
        <v>38396.573581620098</v>
      </c>
      <c r="M505" s="118">
        <f t="shared" si="70"/>
        <v>5</v>
      </c>
      <c r="N505" s="126">
        <f>+GETPIVOTDATA(" New All Ranks avg",'Averages Pivot Table'!$A$3,"State","TN","Category2","Technical")</f>
        <v>38396.573581620098</v>
      </c>
      <c r="O505" s="118">
        <f t="shared" si="71"/>
        <v>5</v>
      </c>
    </row>
    <row r="506" spans="1:15" ht="12.95" customHeight="1" x14ac:dyDescent="0.25">
      <c r="A506" s="132" t="s">
        <v>217</v>
      </c>
      <c r="B506" s="563">
        <f>+GETPIVOTDATA(" New Prof avg",'Averages Pivot Table'!$A$3,"State","TX","Category2","Technical")</f>
        <v>0</v>
      </c>
      <c r="C506" s="118">
        <f t="shared" si="72"/>
        <v>0</v>
      </c>
      <c r="D506" s="563">
        <f>+GETPIVOTDATA(" New Asc. avg",'Averages Pivot Table'!$A$3,"State","TX","Category2","Technical")</f>
        <v>0</v>
      </c>
      <c r="E506" s="118">
        <f t="shared" si="72"/>
        <v>0</v>
      </c>
      <c r="F506" s="563">
        <f>+GETPIVOTDATA(" New Ast. avg",'Averages Pivot Table'!$A$3,"State","TX","Category2","Technical")</f>
        <v>0</v>
      </c>
      <c r="G506" s="118">
        <f t="shared" si="67"/>
        <v>0</v>
      </c>
      <c r="H506" s="563">
        <f>+GETPIVOTDATA(" New Inst. avg",'Averages Pivot Table'!$A$3,"State","TX","Category2","Technical")</f>
        <v>0</v>
      </c>
      <c r="I506" s="118">
        <f t="shared" si="68"/>
        <v>0</v>
      </c>
      <c r="J506" s="563">
        <f>+GETPIVOTDATA(" New Undesg. avg",'Averages Pivot Table'!$A$3,"State","TX","Category2","Technical")</f>
        <v>0</v>
      </c>
      <c r="K506" s="118">
        <f t="shared" si="69"/>
        <v>0</v>
      </c>
      <c r="L506" s="563">
        <f>+GETPIVOTDATA(" New Single Rnk avg",'Averages Pivot Table'!$A$3,"State","TX","Category2","Technical")</f>
        <v>0</v>
      </c>
      <c r="M506" s="118">
        <f t="shared" si="70"/>
        <v>0</v>
      </c>
      <c r="N506" s="126">
        <f>+GETPIVOTDATA(" New Prof avg",'Averages Pivot Table'!$A$3,"State","VA","Category2","Technical")</f>
        <v>0</v>
      </c>
      <c r="O506" s="118">
        <f t="shared" si="71"/>
        <v>0</v>
      </c>
    </row>
    <row r="507" spans="1:15" ht="12.95" customHeight="1" x14ac:dyDescent="0.25">
      <c r="A507" s="132" t="s">
        <v>218</v>
      </c>
      <c r="B507" s="563">
        <f>+GETPIVOTDATA(" New Prof avg",'Averages Pivot Table'!$A$3,"State","VA","Category2","Technical")</f>
        <v>0</v>
      </c>
      <c r="C507" s="118">
        <f t="shared" si="72"/>
        <v>0</v>
      </c>
      <c r="D507" s="563">
        <f>+GETPIVOTDATA(" New Prof avg",'Averages Pivot Table'!$A$3,"State","VA","Category2","Technical")</f>
        <v>0</v>
      </c>
      <c r="E507" s="118">
        <f t="shared" si="72"/>
        <v>0</v>
      </c>
      <c r="F507" s="563">
        <f>+GETPIVOTDATA(" New Ast. avg",'Averages Pivot Table'!$A$3,"State","VA","Category2","Technical")</f>
        <v>0</v>
      </c>
      <c r="G507" s="118">
        <f t="shared" si="67"/>
        <v>0</v>
      </c>
      <c r="H507" s="563">
        <f>+GETPIVOTDATA(" New Inst. avg",'Averages Pivot Table'!$A$3,"State","VA","Category2","Technical")</f>
        <v>0</v>
      </c>
      <c r="I507" s="118">
        <f t="shared" si="68"/>
        <v>0</v>
      </c>
      <c r="J507" s="563">
        <f>+GETPIVOTDATA(" New Undesg. avg",'Averages Pivot Table'!$A$3,"State","VA","Category2","Technical")</f>
        <v>0</v>
      </c>
      <c r="K507" s="118">
        <f t="shared" si="69"/>
        <v>0</v>
      </c>
      <c r="L507" s="563">
        <f>+GETPIVOTDATA(" New Single Rnk avg",'Averages Pivot Table'!$A$3,"State","VA","Category2","Technical")</f>
        <v>0</v>
      </c>
      <c r="M507" s="118">
        <f t="shared" si="70"/>
        <v>0</v>
      </c>
      <c r="N507" s="126">
        <f>+GETPIVOTDATA(" New All Ranks avg",'Averages Pivot Table'!$A$3,"State","VA","Category2","Technical")</f>
        <v>0</v>
      </c>
      <c r="O507" s="118">
        <f t="shared" si="71"/>
        <v>0</v>
      </c>
    </row>
    <row r="508" spans="1:15" ht="12.95" customHeight="1" x14ac:dyDescent="0.25">
      <c r="A508" s="6" t="s">
        <v>219</v>
      </c>
      <c r="B508" s="566">
        <f>+GETPIVOTDATA(" New Prof avg",'Averages Pivot Table'!$A$3,"State","WV","Category2","Technical")</f>
        <v>0</v>
      </c>
      <c r="C508" s="119">
        <f t="shared" si="72"/>
        <v>0</v>
      </c>
      <c r="D508" s="566">
        <f>+GETPIVOTDATA(" New Asc. avg",'Averages Pivot Table'!$A$3,"State","WV","Category2","Technical")</f>
        <v>0</v>
      </c>
      <c r="E508" s="119">
        <f t="shared" si="72"/>
        <v>0</v>
      </c>
      <c r="F508" s="566">
        <f>+GETPIVOTDATA(" New Ast. avg",'Averages Pivot Table'!$A$3,"State","WV","Category2","Technical")</f>
        <v>0</v>
      </c>
      <c r="G508" s="119">
        <f t="shared" si="67"/>
        <v>0</v>
      </c>
      <c r="H508" s="566">
        <f>+GETPIVOTDATA(" New Inst. avg",'Averages Pivot Table'!$A$3,"State","WV","Category2","Technical")</f>
        <v>0</v>
      </c>
      <c r="I508" s="119">
        <f t="shared" si="68"/>
        <v>0</v>
      </c>
      <c r="J508" s="566">
        <f>+GETPIVOTDATA(" New Undesg. avg",'Averages Pivot Table'!$A$3,"State","WV","Category2","Technical")</f>
        <v>0</v>
      </c>
      <c r="K508" s="119">
        <f t="shared" si="69"/>
        <v>0</v>
      </c>
      <c r="L508" s="566">
        <f>+GETPIVOTDATA(" New Single Rnk avg",'Averages Pivot Table'!$A$3,"State","WV","Category2","Technical")</f>
        <v>0</v>
      </c>
      <c r="M508" s="119">
        <f t="shared" si="70"/>
        <v>0</v>
      </c>
      <c r="N508" s="566">
        <f>+GETPIVOTDATA(" New All Ranks avg",'Averages Pivot Table'!$A$3,"State","WV","Category2","Technical")</f>
        <v>0</v>
      </c>
      <c r="O508" s="119">
        <f t="shared" si="71"/>
        <v>0</v>
      </c>
    </row>
    <row r="509" spans="1:15" ht="30" customHeight="1" x14ac:dyDescent="0.25">
      <c r="A509" s="670" t="s">
        <v>91</v>
      </c>
      <c r="B509" s="670"/>
      <c r="C509" s="670"/>
      <c r="D509" s="670"/>
      <c r="E509" s="670"/>
      <c r="F509" s="670"/>
      <c r="G509" s="670"/>
      <c r="H509" s="670"/>
      <c r="I509" s="670"/>
      <c r="J509" s="670"/>
      <c r="K509" s="670"/>
      <c r="L509" s="670"/>
      <c r="M509" s="670"/>
      <c r="N509" s="670"/>
      <c r="O509" s="670"/>
    </row>
    <row r="510" spans="1:15" x14ac:dyDescent="0.25">
      <c r="O510" s="157" t="s">
        <v>1083</v>
      </c>
    </row>
    <row r="511" spans="1:15" ht="18" x14ac:dyDescent="0.25">
      <c r="A511" s="544" t="s">
        <v>276</v>
      </c>
      <c r="B511" s="544"/>
      <c r="C511" s="544"/>
      <c r="D511" s="544"/>
      <c r="E511" s="544"/>
      <c r="F511" s="544"/>
      <c r="G511" s="544"/>
      <c r="H511" s="544"/>
      <c r="I511" s="544"/>
      <c r="J511" s="544"/>
      <c r="K511" s="544"/>
      <c r="L511" s="544"/>
      <c r="M511" s="544"/>
      <c r="N511" s="544"/>
      <c r="O511" s="544"/>
    </row>
    <row r="512" spans="1:15" x14ac:dyDescent="0.25">
      <c r="A512" s="588"/>
      <c r="B512" s="93"/>
      <c r="C512" s="93"/>
      <c r="D512" s="93"/>
      <c r="E512" s="93"/>
      <c r="F512" s="93"/>
      <c r="G512" s="93"/>
      <c r="H512" s="93"/>
      <c r="I512" s="93"/>
      <c r="J512" s="93"/>
      <c r="K512" s="93"/>
      <c r="L512" s="93"/>
      <c r="M512" s="93"/>
      <c r="N512" s="93"/>
      <c r="O512" s="93"/>
    </row>
    <row r="513" spans="1:19" x14ac:dyDescent="0.25">
      <c r="A513" s="665" t="s">
        <v>220</v>
      </c>
      <c r="B513" s="665"/>
      <c r="C513" s="665"/>
      <c r="D513" s="665"/>
      <c r="E513" s="665"/>
      <c r="F513" s="665"/>
      <c r="G513" s="665"/>
      <c r="H513" s="665"/>
      <c r="I513" s="665"/>
      <c r="J513" s="665"/>
      <c r="K513" s="665"/>
      <c r="L513" s="665"/>
      <c r="M513" s="665"/>
      <c r="N513" s="665"/>
      <c r="O513" s="665"/>
    </row>
    <row r="514" spans="1:19" x14ac:dyDescent="0.25">
      <c r="A514" s="665" t="s">
        <v>1056</v>
      </c>
      <c r="B514" s="665"/>
      <c r="C514" s="665"/>
      <c r="D514" s="665"/>
      <c r="E514" s="665"/>
      <c r="F514" s="665"/>
      <c r="G514" s="665"/>
      <c r="H514" s="665"/>
      <c r="I514" s="665"/>
      <c r="J514" s="665"/>
      <c r="K514" s="665"/>
      <c r="L514" s="665"/>
      <c r="M514" s="665"/>
      <c r="N514" s="665"/>
      <c r="O514" s="665"/>
    </row>
    <row r="515" spans="1:19" x14ac:dyDescent="0.25">
      <c r="A515" s="132"/>
      <c r="B515" s="93"/>
      <c r="C515" s="93"/>
      <c r="D515" s="93"/>
      <c r="E515" s="93"/>
      <c r="F515" s="93"/>
      <c r="G515" s="93"/>
      <c r="H515" s="93"/>
      <c r="I515" s="93"/>
      <c r="J515" s="93"/>
      <c r="K515" s="93"/>
      <c r="L515" s="93"/>
      <c r="M515" s="93"/>
      <c r="N515" s="93"/>
      <c r="O515" s="93"/>
    </row>
    <row r="516" spans="1:19" ht="31.5" customHeight="1" x14ac:dyDescent="0.25">
      <c r="A516" s="547"/>
      <c r="B516" s="589" t="s">
        <v>99</v>
      </c>
      <c r="C516" s="142"/>
      <c r="D516" s="590" t="s">
        <v>100</v>
      </c>
      <c r="E516" s="591"/>
      <c r="F516" s="590" t="s">
        <v>101</v>
      </c>
      <c r="G516" s="591"/>
      <c r="H516" s="589" t="s">
        <v>102</v>
      </c>
      <c r="I516" s="142"/>
      <c r="J516" s="590" t="s">
        <v>226</v>
      </c>
      <c r="K516" s="591"/>
      <c r="L516" s="142" t="s">
        <v>82</v>
      </c>
      <c r="M516" s="142"/>
      <c r="N516" s="142" t="s">
        <v>84</v>
      </c>
      <c r="O516" s="142"/>
    </row>
    <row r="517" spans="1:19" x14ac:dyDescent="0.25">
      <c r="A517" s="597"/>
      <c r="B517" s="115" t="s">
        <v>103</v>
      </c>
      <c r="C517" s="143" t="s">
        <v>193</v>
      </c>
      <c r="D517" s="115" t="s">
        <v>103</v>
      </c>
      <c r="E517" s="143" t="s">
        <v>193</v>
      </c>
      <c r="F517" s="115" t="s">
        <v>103</v>
      </c>
      <c r="G517" s="143" t="s">
        <v>193</v>
      </c>
      <c r="H517" s="115" t="s">
        <v>103</v>
      </c>
      <c r="I517" s="143" t="s">
        <v>193</v>
      </c>
      <c r="J517" s="115" t="s">
        <v>103</v>
      </c>
      <c r="K517" s="143" t="s">
        <v>193</v>
      </c>
      <c r="L517" s="115" t="s">
        <v>103</v>
      </c>
      <c r="M517" s="143" t="s">
        <v>193</v>
      </c>
      <c r="N517" s="115" t="s">
        <v>103</v>
      </c>
      <c r="O517" s="143" t="s">
        <v>193</v>
      </c>
    </row>
    <row r="518" spans="1:19" s="556" customFormat="1" ht="18" customHeight="1" x14ac:dyDescent="0.25">
      <c r="A518" s="554" t="s">
        <v>222</v>
      </c>
      <c r="B518" s="146">
        <f>+GETPIVOTDATA(" New Prof avg",'Averages Pivot Table'!$A$3,"Category",12,"Category2","Technical")</f>
        <v>45269.763348453613</v>
      </c>
      <c r="C518" s="146"/>
      <c r="D518" s="146">
        <f>+GETPIVOTDATA(" New Asc. avg",'Averages Pivot Table'!$A$3,"Category",12,"Category2","Technical")</f>
        <v>46461.095146666667</v>
      </c>
      <c r="E518" s="146"/>
      <c r="F518" s="146">
        <f>+GETPIVOTDATA(" New Ast. avg",'Averages Pivot Table'!$A$3,"Category",12,"Category2","Technical")</f>
        <v>43040.266571052634</v>
      </c>
      <c r="G518" s="146"/>
      <c r="H518" s="146">
        <f>+GETPIVOTDATA(" New Inst. avg",'Averages Pivot Table'!$A$3,"Category",12,"Category2","Technical")</f>
        <v>36892.140869029856</v>
      </c>
      <c r="I518" s="146"/>
      <c r="J518" s="146">
        <f>+GETPIVOTDATA(" New Undesg. avg",'Averages Pivot Table'!$A$3,"Category",12,"Category2","Technical")</f>
        <v>26333</v>
      </c>
      <c r="K518" s="146"/>
      <c r="L518" s="146">
        <f>+GETPIVOTDATA(" New Single Rnk avg",'Averages Pivot Table'!$A$3,"Category",12,"Category2","Technical")</f>
        <v>45676.237833522944</v>
      </c>
      <c r="M518" s="146"/>
      <c r="N518" s="146">
        <f>+GETPIVOTDATA(" New All Ranks avg",'Averages Pivot Table'!$A$3,"Category",12,"Category2","Technical")</f>
        <v>44205.837539800697</v>
      </c>
      <c r="O518" s="133"/>
      <c r="Q518" s="558"/>
      <c r="R518" s="558"/>
      <c r="S518" s="558"/>
    </row>
    <row r="519" spans="1:19" ht="12.95" customHeight="1" x14ac:dyDescent="0.25">
      <c r="A519" s="132"/>
      <c r="B519" s="123"/>
      <c r="C519" s="150"/>
      <c r="D519" s="123"/>
      <c r="E519" s="150"/>
      <c r="F519" s="123"/>
      <c r="G519" s="150"/>
      <c r="H519" s="123"/>
      <c r="I519" s="150"/>
      <c r="J519" s="123"/>
      <c r="K519" s="150"/>
      <c r="L519" s="123"/>
      <c r="M519" s="150"/>
      <c r="N519" s="123"/>
      <c r="O519" s="134"/>
    </row>
    <row r="520" spans="1:19" ht="12.95" customHeight="1" x14ac:dyDescent="0.25">
      <c r="A520" s="132" t="s">
        <v>205</v>
      </c>
      <c r="B520" s="126">
        <f>+GETPIVOTDATA(" New Prof avg",'Averages Pivot Table'!$A$3,"State","AL","Category",12,"Category2","Technical")</f>
        <v>0</v>
      </c>
      <c r="C520" s="118">
        <f>IF(B520&gt;0,(RANK(B520,B$520:B$538)),0)</f>
        <v>0</v>
      </c>
      <c r="D520" s="126">
        <f>+GETPIVOTDATA(" New Asc. avg",'Averages Pivot Table'!$A$3,"State","AL","Category",12,"Category2","Technical")</f>
        <v>0</v>
      </c>
      <c r="E520" s="118">
        <f>IF(D520&gt;0,(RANK(D520,D$520:D$538)),0)</f>
        <v>0</v>
      </c>
      <c r="F520" s="126">
        <f>+GETPIVOTDATA(" New Ast. avg",'Averages Pivot Table'!$A$3,"State","AL","Category",12,"Category2","Technical")</f>
        <v>0</v>
      </c>
      <c r="G520" s="118">
        <f t="shared" ref="G520:G538" si="73">IF(F520&gt;0,(RANK(F520,F$520:F$538)),0)</f>
        <v>0</v>
      </c>
      <c r="H520" s="126">
        <f>+GETPIVOTDATA(" New Inst. avg",'Averages Pivot Table'!$A$3,"State","AL","Category",12,"Category2","Technical")</f>
        <v>0</v>
      </c>
      <c r="I520" s="118">
        <f t="shared" ref="I520:I538" si="74">IF(H520&gt;0,(RANK(H520,H$520:H$538)),0)</f>
        <v>0</v>
      </c>
      <c r="J520" s="126">
        <f>+GETPIVOTDATA(" New Undesg. avg",'Averages Pivot Table'!$A$3,"State","AL","Category",12,"Category2","Technical")</f>
        <v>0</v>
      </c>
      <c r="K520" s="118">
        <f t="shared" ref="K520:K538" si="75">IF(J520&gt;0,(RANK(J520,J$520:J$538)),0)</f>
        <v>0</v>
      </c>
      <c r="L520" s="126">
        <f>+GETPIVOTDATA(" New Single Rnk avg",'Averages Pivot Table'!$A$3,"State","AL","Category",12,"Category2","Technical")</f>
        <v>53534.257756666666</v>
      </c>
      <c r="M520" s="118">
        <f t="shared" ref="M520:M538" si="76">IF(L520&gt;0,(RANK(L520,L$520:L$538)),0)</f>
        <v>2</v>
      </c>
      <c r="N520" s="126">
        <f>+GETPIVOTDATA(" New All Ranks avg",'Averages Pivot Table'!$A$3,"State","AL","Category",12,"Category2","Technical")</f>
        <v>53534.257756666666</v>
      </c>
      <c r="O520" s="118">
        <f t="shared" ref="O520:O538" si="77">IF(N520&gt;0,(RANK(N520,N$520:N$538)),0)</f>
        <v>2</v>
      </c>
    </row>
    <row r="521" spans="1:19" ht="12.95" customHeight="1" x14ac:dyDescent="0.25">
      <c r="A521" s="132" t="s">
        <v>206</v>
      </c>
      <c r="B521" s="126">
        <f>+GETPIVOTDATA(" New Prof avg",'Averages Pivot Table'!$A$3,"State","AR","Category",12,"Category2","Technical")</f>
        <v>0</v>
      </c>
      <c r="C521" s="118">
        <f t="shared" ref="C521:E538" si="78">IF(B521&gt;0,(RANK(B521,B$520:B$538)),0)</f>
        <v>0</v>
      </c>
      <c r="D521" s="126">
        <f>+GETPIVOTDATA(" New Asc. avg",'Averages Pivot Table'!$A$3,"State","AR","Category",12,"Category2","Technical")</f>
        <v>0</v>
      </c>
      <c r="E521" s="118">
        <f t="shared" si="78"/>
        <v>0</v>
      </c>
      <c r="F521" s="126">
        <f>+GETPIVOTDATA(" New Ast. avg",'Averages Pivot Table'!$A$3,"State","AR","Category",12,"Category2","Technical")</f>
        <v>0</v>
      </c>
      <c r="G521" s="118">
        <f t="shared" si="73"/>
        <v>0</v>
      </c>
      <c r="H521" s="126">
        <f>+GETPIVOTDATA(" New Inst. avg",'Averages Pivot Table'!$A$3,"State","AR","Category",12,"Category2","Technical")</f>
        <v>0</v>
      </c>
      <c r="I521" s="118">
        <f t="shared" si="74"/>
        <v>0</v>
      </c>
      <c r="J521" s="126">
        <f>+GETPIVOTDATA(" New Undesg. avg",'Averages Pivot Table'!$A$3,"State","AR","Category",12,"Category2","Technical")</f>
        <v>0</v>
      </c>
      <c r="K521" s="118">
        <f t="shared" si="75"/>
        <v>0</v>
      </c>
      <c r="L521" s="126">
        <f>+GETPIVOTDATA(" New Single Rnk avg",'Averages Pivot Table'!$A$3,"State","AR","Category",12,"Category2","Technical")</f>
        <v>0</v>
      </c>
      <c r="M521" s="118">
        <f t="shared" si="76"/>
        <v>0</v>
      </c>
      <c r="N521" s="126">
        <f>+GETPIVOTDATA(" New All Ranks avg",'Averages Pivot Table'!$A$3,"State","AR","Category",12,"Category2","Technical")</f>
        <v>0</v>
      </c>
      <c r="O521" s="118">
        <f t="shared" si="77"/>
        <v>0</v>
      </c>
    </row>
    <row r="522" spans="1:19" ht="12.95" customHeight="1" x14ac:dyDescent="0.25">
      <c r="A522" s="132" t="s">
        <v>221</v>
      </c>
      <c r="B522" s="126">
        <f>+GETPIVOTDATA(" New Prof avg",'Averages Pivot Table'!$A$3,"State","DE","Category",12,"Category2","Technical")</f>
        <v>0</v>
      </c>
      <c r="C522" s="118">
        <f t="shared" si="78"/>
        <v>0</v>
      </c>
      <c r="D522" s="126">
        <f>+GETPIVOTDATA(" New Asc. avg",'Averages Pivot Table'!$A$3,"State","DE","Category",12,"Category2","Technical")</f>
        <v>0</v>
      </c>
      <c r="E522" s="118">
        <f t="shared" si="78"/>
        <v>0</v>
      </c>
      <c r="F522" s="126">
        <f>+GETPIVOTDATA(" New Ast. avg",'Averages Pivot Table'!$A$3,"State","DE","Category",12,"Category2","Technical")</f>
        <v>0</v>
      </c>
      <c r="G522" s="118">
        <f t="shared" si="73"/>
        <v>0</v>
      </c>
      <c r="H522" s="126">
        <f>+GETPIVOTDATA(" New Inst. avg",'Averages Pivot Table'!$A$3,"State","DE","Category",12,"Category2","Technical")</f>
        <v>0</v>
      </c>
      <c r="I522" s="118">
        <f t="shared" si="74"/>
        <v>0</v>
      </c>
      <c r="J522" s="126">
        <f>+GETPIVOTDATA(" New Undesg. avg",'Averages Pivot Table'!$A$3,"State","DE","Category",12,"Category2","Technical")</f>
        <v>0</v>
      </c>
      <c r="K522" s="118">
        <f t="shared" si="75"/>
        <v>0</v>
      </c>
      <c r="L522" s="126">
        <f>+GETPIVOTDATA(" New Single Rnk avg",'Averages Pivot Table'!$A$3,"State","DE","Category",12,"Category2","Technical")</f>
        <v>0</v>
      </c>
      <c r="M522" s="118">
        <f t="shared" si="76"/>
        <v>0</v>
      </c>
      <c r="N522" s="126">
        <f>+GETPIVOTDATA(" New All Ranks avg",'Averages Pivot Table'!$A$3,"State","DE","Category",12,"Category2","Technical")</f>
        <v>0</v>
      </c>
      <c r="O522" s="118">
        <f t="shared" si="77"/>
        <v>0</v>
      </c>
    </row>
    <row r="523" spans="1:19" ht="12.95" customHeight="1" x14ac:dyDescent="0.25">
      <c r="A523" s="132" t="s">
        <v>207</v>
      </c>
      <c r="B523" s="126">
        <f>+GETPIVOTDATA(" New Prof avg",'Averages Pivot Table'!$A$3,"State","FL","Category",12,"Category2","Technical")</f>
        <v>0</v>
      </c>
      <c r="C523" s="118">
        <f t="shared" si="78"/>
        <v>0</v>
      </c>
      <c r="D523" s="126">
        <f>+GETPIVOTDATA(" New Asc. avg",'Averages Pivot Table'!$A$3,"State","FL","Category",12,"Category2","Technical")</f>
        <v>0</v>
      </c>
      <c r="E523" s="118">
        <f t="shared" si="78"/>
        <v>0</v>
      </c>
      <c r="F523" s="126">
        <f>+GETPIVOTDATA(" New Ast. avg",'Averages Pivot Table'!$A$3,"State","FL","Category",12,"Category2","Technical")</f>
        <v>0</v>
      </c>
      <c r="G523" s="118">
        <f t="shared" si="73"/>
        <v>0</v>
      </c>
      <c r="H523" s="126">
        <f>+GETPIVOTDATA(" New Inst. avg",'Averages Pivot Table'!$A$3,"State","FL","Category",12,"Category2","Technical")</f>
        <v>0</v>
      </c>
      <c r="I523" s="118">
        <f t="shared" si="74"/>
        <v>0</v>
      </c>
      <c r="J523" s="126">
        <f>+GETPIVOTDATA(" New Undesg. avg",'Averages Pivot Table'!$A$3,"State","FL","Category",12,"Category2","Technical")</f>
        <v>0</v>
      </c>
      <c r="K523" s="118">
        <f t="shared" si="75"/>
        <v>0</v>
      </c>
      <c r="L523" s="126">
        <f>+GETPIVOTDATA(" New Single Rnk avg",'Averages Pivot Table'!$A$3,"State","FL","Category",12,"Category2","Technical")</f>
        <v>0</v>
      </c>
      <c r="M523" s="118">
        <f t="shared" si="76"/>
        <v>0</v>
      </c>
      <c r="N523" s="126">
        <f>+GETPIVOTDATA(" New All Ranks avg",'Averages Pivot Table'!$A$3,"State","FL","Category",12,"Category2","Technical")</f>
        <v>0</v>
      </c>
      <c r="O523" s="118">
        <f t="shared" si="77"/>
        <v>0</v>
      </c>
    </row>
    <row r="524" spans="1:19" ht="12.95" customHeight="1" x14ac:dyDescent="0.25">
      <c r="A524" s="132"/>
      <c r="B524" s="126"/>
      <c r="C524" s="118">
        <f t="shared" si="78"/>
        <v>0</v>
      </c>
      <c r="D524" s="126"/>
      <c r="E524" s="118">
        <f t="shared" si="78"/>
        <v>0</v>
      </c>
      <c r="F524" s="126"/>
      <c r="G524" s="118">
        <f t="shared" si="73"/>
        <v>0</v>
      </c>
      <c r="H524" s="126"/>
      <c r="I524" s="118">
        <f t="shared" si="74"/>
        <v>0</v>
      </c>
      <c r="J524" s="126"/>
      <c r="K524" s="118">
        <f t="shared" si="75"/>
        <v>0</v>
      </c>
      <c r="L524" s="126"/>
      <c r="M524" s="118">
        <f t="shared" si="76"/>
        <v>0</v>
      </c>
      <c r="N524" s="126"/>
      <c r="O524" s="118">
        <f t="shared" si="77"/>
        <v>0</v>
      </c>
    </row>
    <row r="525" spans="1:19" ht="12.95" customHeight="1" x14ac:dyDescent="0.25">
      <c r="A525" s="132" t="s">
        <v>208</v>
      </c>
      <c r="B525" s="126">
        <f>+GETPIVOTDATA(" New Prof avg",'Averages Pivot Table'!$A$3,"State","GA","Category",12,"Category2","Technical")</f>
        <v>0</v>
      </c>
      <c r="C525" s="118">
        <f t="shared" si="78"/>
        <v>0</v>
      </c>
      <c r="D525" s="126">
        <f>+GETPIVOTDATA(" New Asc. avg",'Averages Pivot Table'!$A$3,"State","GA","Category",12,"Category2","Technical")</f>
        <v>0</v>
      </c>
      <c r="E525" s="118">
        <f t="shared" si="78"/>
        <v>0</v>
      </c>
      <c r="F525" s="126">
        <f>+GETPIVOTDATA(" New Ast. avg",'Averages Pivot Table'!$A$3,"State","GA","Category",12,"Category2","Technical")</f>
        <v>0</v>
      </c>
      <c r="G525" s="118">
        <f t="shared" si="73"/>
        <v>0</v>
      </c>
      <c r="H525" s="126">
        <f>+GETPIVOTDATA(" New Inst. avg",'Averages Pivot Table'!$A$3,"State","GA","Category",12,"Category2","Technical")</f>
        <v>0</v>
      </c>
      <c r="I525" s="118">
        <f t="shared" si="74"/>
        <v>0</v>
      </c>
      <c r="J525" s="126">
        <f>+GETPIVOTDATA(" New Undesg. avg",'Averages Pivot Table'!$A$3,"State","GA","Category",12,"Category2","Technical")</f>
        <v>0</v>
      </c>
      <c r="K525" s="118">
        <f t="shared" si="75"/>
        <v>0</v>
      </c>
      <c r="L525" s="126">
        <f>+GETPIVOTDATA(" New Single Rnk avg",'Averages Pivot Table'!$A$3,"State","GA","Category",12,"Category2","Technical")</f>
        <v>44688.970657167833</v>
      </c>
      <c r="M525" s="118">
        <f t="shared" si="76"/>
        <v>3</v>
      </c>
      <c r="N525" s="126">
        <f>+GETPIVOTDATA(" New All Ranks avg",'Averages Pivot Table'!$A$3,"State","GA","Category",12,"Category2","Technical")</f>
        <v>44688.970657167833</v>
      </c>
      <c r="O525" s="118">
        <f t="shared" si="77"/>
        <v>3</v>
      </c>
    </row>
    <row r="526" spans="1:19" ht="12.95" customHeight="1" x14ac:dyDescent="0.25">
      <c r="A526" s="132" t="s">
        <v>209</v>
      </c>
      <c r="B526" s="126">
        <f>+GETPIVOTDATA(" New Prof avg",'Averages Pivot Table'!$A$3,"State","KY","Category",12,"Category2","Technical")</f>
        <v>60867.073700000001</v>
      </c>
      <c r="C526" s="118">
        <f t="shared" si="78"/>
        <v>1</v>
      </c>
      <c r="D526" s="126">
        <f>+GETPIVOTDATA(" New Asc. avg",'Averages Pivot Table'!$A$3,"State","KY","Category",12,"Category2","Technical")</f>
        <v>49302.314276190475</v>
      </c>
      <c r="E526" s="118">
        <f t="shared" si="78"/>
        <v>1</v>
      </c>
      <c r="F526" s="126">
        <f>+GETPIVOTDATA(" New Ast. avg",'Averages Pivot Table'!$A$3,"State","KY","Category",12,"Category2","Technical")</f>
        <v>44613.446860000004</v>
      </c>
      <c r="G526" s="118">
        <f t="shared" si="73"/>
        <v>1</v>
      </c>
      <c r="H526" s="126">
        <f>+GETPIVOTDATA(" New Inst. avg",'Averages Pivot Table'!$A$3,"State","KY","Category",12,"Category2","Technical")</f>
        <v>39055.863666666672</v>
      </c>
      <c r="I526" s="118">
        <f t="shared" si="74"/>
        <v>1</v>
      </c>
      <c r="J526" s="126">
        <f>+GETPIVOTDATA(" New Undesg. avg",'Averages Pivot Table'!$A$3,"State","KY","Category",12,"Category2","Technical")</f>
        <v>0</v>
      </c>
      <c r="K526" s="118">
        <f t="shared" si="75"/>
        <v>0</v>
      </c>
      <c r="L526" s="126">
        <f>+GETPIVOTDATA(" New Single Rnk avg",'Averages Pivot Table'!$A$3,"State","KY","Category",12,"Category2","Technical")</f>
        <v>0</v>
      </c>
      <c r="M526" s="118">
        <f t="shared" si="76"/>
        <v>0</v>
      </c>
      <c r="N526" s="126">
        <f>+GETPIVOTDATA(" New All Ranks avg",'Averages Pivot Table'!$A$3,"State","KY","Category",12,"Category2","Technical")</f>
        <v>44564.229773493978</v>
      </c>
      <c r="O526" s="118">
        <f t="shared" si="77"/>
        <v>4</v>
      </c>
    </row>
    <row r="527" spans="1:19" ht="12.95" customHeight="1" x14ac:dyDescent="0.25">
      <c r="A527" s="132" t="s">
        <v>210</v>
      </c>
      <c r="B527" s="126">
        <f>+GETPIVOTDATA(" New Prof avg",'Averages Pivot Table'!$A$3,"State","LA","Category",12,"Category2","Technical")</f>
        <v>43067.790122352941</v>
      </c>
      <c r="C527" s="118">
        <f t="shared" si="78"/>
        <v>2</v>
      </c>
      <c r="D527" s="126">
        <f>+GETPIVOTDATA(" New Asc. avg",'Averages Pivot Table'!$A$3,"State","LA","Category",12,"Category2","Technical")</f>
        <v>39831.583844444445</v>
      </c>
      <c r="E527" s="118">
        <f t="shared" si="78"/>
        <v>2</v>
      </c>
      <c r="F527" s="126">
        <f>+GETPIVOTDATA(" New Ast. avg",'Averages Pivot Table'!$A$3,"State","LA","Category",12,"Category2","Technical")</f>
        <v>41292.288472222222</v>
      </c>
      <c r="G527" s="118">
        <f t="shared" si="73"/>
        <v>2</v>
      </c>
      <c r="H527" s="126">
        <f>+GETPIVOTDATA(" New Inst. avg",'Averages Pivot Table'!$A$3,"State","LA","Category",12,"Category2","Technical")</f>
        <v>36556.390779741385</v>
      </c>
      <c r="I527" s="118">
        <f t="shared" si="74"/>
        <v>2</v>
      </c>
      <c r="J527" s="126">
        <f>+GETPIVOTDATA(" New Undesg. avg",'Averages Pivot Table'!$A$3,"State","LA","Category",12,"Category2","Technical")</f>
        <v>26333</v>
      </c>
      <c r="K527" s="118">
        <f t="shared" si="75"/>
        <v>1</v>
      </c>
      <c r="L527" s="126">
        <f>+GETPIVOTDATA(" New Single Rnk avg",'Averages Pivot Table'!$A$3,"State","LA","Category",12,"Category2","Technical")</f>
        <v>40128.999783783787</v>
      </c>
      <c r="M527" s="118">
        <f t="shared" si="76"/>
        <v>4</v>
      </c>
      <c r="N527" s="126">
        <f>+GETPIVOTDATA(" New All Ranks avg",'Averages Pivot Table'!$A$3,"State","LA","Category",12,"Category2","Technical")</f>
        <v>37999.944890775994</v>
      </c>
      <c r="O527" s="118">
        <f t="shared" si="77"/>
        <v>5</v>
      </c>
    </row>
    <row r="528" spans="1:19" ht="12.95" customHeight="1" x14ac:dyDescent="0.25">
      <c r="A528" s="132" t="s">
        <v>211</v>
      </c>
      <c r="B528" s="126">
        <f>+GETPIVOTDATA(" New Prof avg",'Averages Pivot Table'!$A$3,"State","MD","Category",12,"Category2","Technical")</f>
        <v>0</v>
      </c>
      <c r="C528" s="118">
        <f t="shared" si="78"/>
        <v>0</v>
      </c>
      <c r="D528" s="126">
        <f>+GETPIVOTDATA(" New Asc. avg",'Averages Pivot Table'!$A$3,"State","MD","Category",12,"Category2","Technical")</f>
        <v>0</v>
      </c>
      <c r="E528" s="118">
        <f t="shared" si="78"/>
        <v>0</v>
      </c>
      <c r="F528" s="126">
        <f>+GETPIVOTDATA(" New Ast. avg",'Averages Pivot Table'!$A$3,"State","MD","Category",12,"Category2","Technical")</f>
        <v>0</v>
      </c>
      <c r="G528" s="118">
        <f t="shared" si="73"/>
        <v>0</v>
      </c>
      <c r="H528" s="126">
        <f>+GETPIVOTDATA(" New Inst. avg",'Averages Pivot Table'!$A$3,"State","MD","Category",12,"Category2","Technical")</f>
        <v>0</v>
      </c>
      <c r="I528" s="118">
        <f t="shared" si="74"/>
        <v>0</v>
      </c>
      <c r="J528" s="126">
        <f>+GETPIVOTDATA(" New Undesg. avg",'Averages Pivot Table'!$A$3,"State","MD","Category",12,"Category2","Technical")</f>
        <v>0</v>
      </c>
      <c r="K528" s="118">
        <f t="shared" si="75"/>
        <v>0</v>
      </c>
      <c r="L528" s="126">
        <f>+GETPIVOTDATA(" New Single Rnk avg",'Averages Pivot Table'!$A$3,"State","MD","Category",12,"Category2","Technical")</f>
        <v>0</v>
      </c>
      <c r="M528" s="118">
        <f t="shared" si="76"/>
        <v>0</v>
      </c>
      <c r="N528" s="126">
        <f>+GETPIVOTDATA(" New All Ranks avg",'Averages Pivot Table'!$A$3,"State","MD","Category",12,"Category2","Technical")</f>
        <v>0</v>
      </c>
      <c r="O528" s="118">
        <f t="shared" si="77"/>
        <v>0</v>
      </c>
    </row>
    <row r="529" spans="1:15" ht="12.95" customHeight="1" x14ac:dyDescent="0.25">
      <c r="A529" s="132"/>
      <c r="B529" s="126"/>
      <c r="C529" s="118">
        <f t="shared" si="78"/>
        <v>0</v>
      </c>
      <c r="D529" s="126"/>
      <c r="E529" s="118">
        <f t="shared" si="78"/>
        <v>0</v>
      </c>
      <c r="F529" s="126"/>
      <c r="G529" s="118">
        <f t="shared" si="73"/>
        <v>0</v>
      </c>
      <c r="H529" s="126"/>
      <c r="I529" s="118">
        <f t="shared" si="74"/>
        <v>0</v>
      </c>
      <c r="J529" s="126"/>
      <c r="K529" s="118">
        <f t="shared" si="75"/>
        <v>0</v>
      </c>
      <c r="L529" s="126"/>
      <c r="M529" s="118">
        <f t="shared" si="76"/>
        <v>0</v>
      </c>
      <c r="N529" s="126"/>
      <c r="O529" s="118">
        <f t="shared" si="77"/>
        <v>0</v>
      </c>
    </row>
    <row r="530" spans="1:15" ht="12.95" customHeight="1" x14ac:dyDescent="0.25">
      <c r="A530" s="132" t="s">
        <v>212</v>
      </c>
      <c r="B530" s="126">
        <f>+GETPIVOTDATA(" New Prof avg",'Averages Pivot Table'!$A$3,"State","MS","Category",12,"Category2","Technical")</f>
        <v>0</v>
      </c>
      <c r="C530" s="118">
        <f t="shared" si="78"/>
        <v>0</v>
      </c>
      <c r="D530" s="126">
        <f>+GETPIVOTDATA(" New Asc. avg",'Averages Pivot Table'!$A$3,"State","MS","Category",12,"Category2","Technical")</f>
        <v>0</v>
      </c>
      <c r="E530" s="118">
        <f t="shared" si="78"/>
        <v>0</v>
      </c>
      <c r="F530" s="126">
        <f>+GETPIVOTDATA(" New Ast. avg",'Averages Pivot Table'!$A$3,"State","MS","Category",12,"Category2","Technical")</f>
        <v>0</v>
      </c>
      <c r="G530" s="118">
        <f t="shared" si="73"/>
        <v>0</v>
      </c>
      <c r="H530" s="126">
        <f>+GETPIVOTDATA(" New Inst. avg",'Averages Pivot Table'!$A$3,"State","MS","Category",12,"Category2","Technical")</f>
        <v>0</v>
      </c>
      <c r="I530" s="118">
        <f t="shared" si="74"/>
        <v>0</v>
      </c>
      <c r="J530" s="126">
        <f>+GETPIVOTDATA(" New Undesg. avg",'Averages Pivot Table'!$A$3,"State","MS","Category",12,"Category2","Technical")</f>
        <v>0</v>
      </c>
      <c r="K530" s="118">
        <f t="shared" si="75"/>
        <v>0</v>
      </c>
      <c r="L530" s="126">
        <f>+GETPIVOTDATA(" New Single Rnk avg",'Averages Pivot Table'!$A$3,"State","MS","Category",12,"Category2","Technical")</f>
        <v>0</v>
      </c>
      <c r="M530" s="118">
        <f t="shared" si="76"/>
        <v>0</v>
      </c>
      <c r="N530" s="126">
        <f>+GETPIVOTDATA(" New All Ranks avg",'Averages Pivot Table'!$A$3,"State","MS","Category",12,"Category2","Technical")</f>
        <v>0</v>
      </c>
      <c r="O530" s="118">
        <f t="shared" si="77"/>
        <v>0</v>
      </c>
    </row>
    <row r="531" spans="1:15" ht="12.95" customHeight="1" x14ac:dyDescent="0.25">
      <c r="A531" s="132" t="s">
        <v>213</v>
      </c>
      <c r="B531" s="126">
        <f>+GETPIVOTDATA(" New Prof avg",'Averages Pivot Table'!$A$3,"State","NC","Category",12,"Category2","Technical")</f>
        <v>0</v>
      </c>
      <c r="C531" s="118">
        <f t="shared" si="78"/>
        <v>0</v>
      </c>
      <c r="D531" s="126">
        <f>+GETPIVOTDATA(" New Asc. avg",'Averages Pivot Table'!$A$3,"State","NC","Category",12,"Category2","Technical")</f>
        <v>0</v>
      </c>
      <c r="E531" s="118">
        <f t="shared" si="78"/>
        <v>0</v>
      </c>
      <c r="F531" s="126">
        <f>+GETPIVOTDATA(" New Ast. avg",'Averages Pivot Table'!$A$3,"State","NC","Category",12,"Category2","Technical")</f>
        <v>0</v>
      </c>
      <c r="G531" s="118">
        <f t="shared" si="73"/>
        <v>0</v>
      </c>
      <c r="H531" s="126">
        <f>+GETPIVOTDATA(" New Inst. avg",'Averages Pivot Table'!$A$3,"State","NC","Category",12,"Category2","Technical")</f>
        <v>0</v>
      </c>
      <c r="I531" s="118">
        <f t="shared" si="74"/>
        <v>0</v>
      </c>
      <c r="J531" s="126">
        <f>+GETPIVOTDATA(" New Undesg. avg",'Averages Pivot Table'!$A$3,"State","NC","Category",12,"Category2","Technical")</f>
        <v>0</v>
      </c>
      <c r="K531" s="118">
        <f t="shared" si="75"/>
        <v>0</v>
      </c>
      <c r="L531" s="126">
        <f>+GETPIVOTDATA(" New Single Rnk avg",'Averages Pivot Table'!$A$3,"State","NC","Category",12,"Category2","Technical")</f>
        <v>0</v>
      </c>
      <c r="M531" s="118">
        <f t="shared" si="76"/>
        <v>0</v>
      </c>
      <c r="N531" s="126">
        <f>+GETPIVOTDATA(" New All Ranks avg",'Averages Pivot Table'!$A$3,"State","NC","Category",12,"Category2","Technical")</f>
        <v>0</v>
      </c>
      <c r="O531" s="118">
        <f t="shared" si="77"/>
        <v>0</v>
      </c>
    </row>
    <row r="532" spans="1:15" ht="12.95" customHeight="1" x14ac:dyDescent="0.25">
      <c r="A532" s="132" t="s">
        <v>214</v>
      </c>
      <c r="B532" s="126">
        <f>+GETPIVOTDATA(" New Prof avg",'Averages Pivot Table'!$A$3,"State","OK","Category",12,"Category2","Technical")</f>
        <v>0</v>
      </c>
      <c r="C532" s="118">
        <f t="shared" si="78"/>
        <v>0</v>
      </c>
      <c r="D532" s="126">
        <f>+GETPIVOTDATA(" New Asc. avg",'Averages Pivot Table'!$A$3,"State","OK","Category",12,"Category2","Technical")</f>
        <v>0</v>
      </c>
      <c r="E532" s="118">
        <f t="shared" si="78"/>
        <v>0</v>
      </c>
      <c r="F532" s="126">
        <f>+GETPIVOTDATA(" New Ast. avg",'Averages Pivot Table'!$A$3,"State","OK","Category",12,"Category2","Technical")</f>
        <v>0</v>
      </c>
      <c r="G532" s="118">
        <f t="shared" si="73"/>
        <v>0</v>
      </c>
      <c r="H532" s="126">
        <f>+GETPIVOTDATA(" New Inst. avg",'Averages Pivot Table'!$A$3,"State","OK","Category",12,"Category2","Technical")</f>
        <v>0</v>
      </c>
      <c r="I532" s="118">
        <f t="shared" si="74"/>
        <v>0</v>
      </c>
      <c r="J532" s="126">
        <f>+GETPIVOTDATA(" New Undesg. avg",'Averages Pivot Table'!$A$3,"State","OK","Category",12,"Category2","Technical")</f>
        <v>0</v>
      </c>
      <c r="K532" s="118">
        <f t="shared" si="75"/>
        <v>0</v>
      </c>
      <c r="L532" s="126">
        <f>+GETPIVOTDATA(" New Single Rnk avg",'Averages Pivot Table'!$A$3,"State","OK","Category",12,"Category2","Technical")</f>
        <v>55898.943506976742</v>
      </c>
      <c r="M532" s="118">
        <f t="shared" si="76"/>
        <v>1</v>
      </c>
      <c r="N532" s="126">
        <f>+GETPIVOTDATA(" New All Ranks avg",'Averages Pivot Table'!$A$3,"State","OK","Category",12,"Category2","Technical")</f>
        <v>55898.943506976742</v>
      </c>
      <c r="O532" s="118">
        <f t="shared" si="77"/>
        <v>1</v>
      </c>
    </row>
    <row r="533" spans="1:15" ht="12.95" customHeight="1" x14ac:dyDescent="0.25">
      <c r="A533" s="132" t="s">
        <v>215</v>
      </c>
      <c r="B533" s="126">
        <f>+GETPIVOTDATA(" New Prof avg",'Averages Pivot Table'!$A$3,"State","SC","Category",12,"Category2","Technical")</f>
        <v>0</v>
      </c>
      <c r="C533" s="118">
        <f t="shared" si="78"/>
        <v>0</v>
      </c>
      <c r="D533" s="126">
        <f>+GETPIVOTDATA(" New Asc. avg",'Averages Pivot Table'!$A$3,"State","SC","Category",12,"Category2","Technical")</f>
        <v>0</v>
      </c>
      <c r="E533" s="118">
        <f t="shared" si="78"/>
        <v>0</v>
      </c>
      <c r="F533" s="126">
        <f>+GETPIVOTDATA(" New Ast. avg",'Averages Pivot Table'!$A$3,"State","SC","Category",12,"Category2","Technical")</f>
        <v>0</v>
      </c>
      <c r="G533" s="118">
        <f t="shared" si="73"/>
        <v>0</v>
      </c>
      <c r="H533" s="126">
        <f>+GETPIVOTDATA(" New Inst. avg",'Averages Pivot Table'!$A$3,"State","SC","Category",12,"Category2","Technical")</f>
        <v>0</v>
      </c>
      <c r="I533" s="118">
        <f t="shared" si="74"/>
        <v>0</v>
      </c>
      <c r="J533" s="126">
        <f>+GETPIVOTDATA(" New Undesg. avg",'Averages Pivot Table'!$A$3,"State","SC","Category",12,"Category2","Technical")</f>
        <v>0</v>
      </c>
      <c r="K533" s="118">
        <f t="shared" si="75"/>
        <v>0</v>
      </c>
      <c r="L533" s="126">
        <f>+GETPIVOTDATA(" New Single Rnk avg",'Averages Pivot Table'!$A$3,"State","SC","Category",12,"Category2","Technical")</f>
        <v>0</v>
      </c>
      <c r="M533" s="118">
        <f t="shared" si="76"/>
        <v>0</v>
      </c>
      <c r="N533" s="126">
        <f>+GETPIVOTDATA(" New All Ranks avg",'Averages Pivot Table'!$A$3,"State","SC","Category",12,"Category2","Technical")</f>
        <v>0</v>
      </c>
      <c r="O533" s="118">
        <f t="shared" si="77"/>
        <v>0</v>
      </c>
    </row>
    <row r="534" spans="1:15" ht="12.95" customHeight="1" x14ac:dyDescent="0.25">
      <c r="A534" s="132"/>
      <c r="B534" s="126"/>
      <c r="C534" s="118">
        <f t="shared" si="78"/>
        <v>0</v>
      </c>
      <c r="D534" s="126"/>
      <c r="E534" s="118">
        <f t="shared" si="78"/>
        <v>0</v>
      </c>
      <c r="F534" s="126"/>
      <c r="G534" s="118">
        <f t="shared" si="73"/>
        <v>0</v>
      </c>
      <c r="H534" s="126"/>
      <c r="I534" s="118">
        <f t="shared" si="74"/>
        <v>0</v>
      </c>
      <c r="J534" s="126"/>
      <c r="K534" s="118">
        <f t="shared" si="75"/>
        <v>0</v>
      </c>
      <c r="L534" s="126"/>
      <c r="M534" s="118">
        <f t="shared" si="76"/>
        <v>0</v>
      </c>
      <c r="N534" s="126"/>
      <c r="O534" s="118">
        <f t="shared" si="77"/>
        <v>0</v>
      </c>
    </row>
    <row r="535" spans="1:15" ht="12.95" customHeight="1" x14ac:dyDescent="0.25">
      <c r="A535" s="132" t="s">
        <v>216</v>
      </c>
      <c r="B535" s="563">
        <f>+GETPIVOTDATA(" New Prof avg",'Averages Pivot Table'!$A$3,"State","TN","Category",12,"Category2","Technical")</f>
        <v>0</v>
      </c>
      <c r="C535" s="118">
        <f t="shared" si="78"/>
        <v>0</v>
      </c>
      <c r="D535" s="563">
        <f>+GETPIVOTDATA(" New Asc. avg",'Averages Pivot Table'!$A$3,"State","TN","Category",12,"Category2","Technical")</f>
        <v>0</v>
      </c>
      <c r="E535" s="118">
        <f t="shared" si="78"/>
        <v>0</v>
      </c>
      <c r="F535" s="563">
        <f>+GETPIVOTDATA(" New Ast. avg",'Averages Pivot Table'!$A$3,"State","TN","Category",12,"Category2","Technical")</f>
        <v>0</v>
      </c>
      <c r="G535" s="118">
        <f t="shared" si="73"/>
        <v>0</v>
      </c>
      <c r="H535" s="563">
        <f>+GETPIVOTDATA(" New Inst. avg",'Averages Pivot Table'!$A$3,"State","TN","Category",12,"Category2","Technical")</f>
        <v>0</v>
      </c>
      <c r="I535" s="118">
        <f t="shared" si="74"/>
        <v>0</v>
      </c>
      <c r="J535" s="563">
        <f>+GETPIVOTDATA(" New Undesg. avg",'Averages Pivot Table'!$A$3,"State","TN","Category",12,"Category2","Technical")</f>
        <v>0</v>
      </c>
      <c r="K535" s="118">
        <f t="shared" si="75"/>
        <v>0</v>
      </c>
      <c r="L535" s="563">
        <f>+GETPIVOTDATA(" New Single Rnk avg",'Averages Pivot Table'!$A$3,"State","TN","Category",12,"Category2","Technical")</f>
        <v>0</v>
      </c>
      <c r="M535" s="118">
        <f t="shared" si="76"/>
        <v>0</v>
      </c>
      <c r="N535" s="126">
        <f>+GETPIVOTDATA(" New All Ranks avg",'Averages Pivot Table'!$A$3,"State","TN","Category",12,"Category2","Technical")</f>
        <v>0</v>
      </c>
      <c r="O535" s="118">
        <f t="shared" si="77"/>
        <v>0</v>
      </c>
    </row>
    <row r="536" spans="1:15" ht="12.95" customHeight="1" x14ac:dyDescent="0.25">
      <c r="A536" s="132" t="s">
        <v>217</v>
      </c>
      <c r="B536" s="563">
        <f>+GETPIVOTDATA(" New Prof avg",'Averages Pivot Table'!$A$3,"State","TX","Category",12,"Category2","Technical")</f>
        <v>0</v>
      </c>
      <c r="C536" s="118">
        <f t="shared" si="78"/>
        <v>0</v>
      </c>
      <c r="D536" s="563">
        <f>+GETPIVOTDATA(" New Asc. avg",'Averages Pivot Table'!$A$3,"State","TX","Category",12,"Category2","Technical")</f>
        <v>0</v>
      </c>
      <c r="E536" s="118">
        <f t="shared" si="78"/>
        <v>0</v>
      </c>
      <c r="F536" s="563">
        <f>+GETPIVOTDATA(" New Ast. avg",'Averages Pivot Table'!$A$3,"State","TX","Category",12,"Category2","Technical")</f>
        <v>0</v>
      </c>
      <c r="G536" s="118">
        <f t="shared" si="73"/>
        <v>0</v>
      </c>
      <c r="H536" s="563">
        <f>+GETPIVOTDATA(" New Inst. avg",'Averages Pivot Table'!$A$3,"State","TX","Category",12,"Category2","Technical")</f>
        <v>0</v>
      </c>
      <c r="I536" s="118">
        <f t="shared" si="74"/>
        <v>0</v>
      </c>
      <c r="J536" s="563">
        <f>+GETPIVOTDATA(" New Undesg. avg",'Averages Pivot Table'!$A$3,"State","TX","Category",12,"Category2","Technical")</f>
        <v>0</v>
      </c>
      <c r="K536" s="118">
        <f t="shared" si="75"/>
        <v>0</v>
      </c>
      <c r="L536" s="563">
        <f>+GETPIVOTDATA(" New Single Rnk avg",'Averages Pivot Table'!$A$3,"State","TX","Category",12,"Category2","Technical")</f>
        <v>0</v>
      </c>
      <c r="M536" s="118">
        <f t="shared" si="76"/>
        <v>0</v>
      </c>
      <c r="N536" s="126">
        <f>+GETPIVOTDATA(" New All Ranks avg",'Averages Pivot Table'!$A$3,"State","TX","Category",12,"Category2","Technical")</f>
        <v>0</v>
      </c>
      <c r="O536" s="118">
        <f t="shared" si="77"/>
        <v>0</v>
      </c>
    </row>
    <row r="537" spans="1:15" ht="12.95" customHeight="1" x14ac:dyDescent="0.25">
      <c r="A537" s="132" t="s">
        <v>218</v>
      </c>
      <c r="B537" s="563">
        <f>+GETPIVOTDATA(" New Prof avg",'Averages Pivot Table'!$A$3,"State","VA","Category",12,"Category2","Technical")</f>
        <v>0</v>
      </c>
      <c r="C537" s="118">
        <f t="shared" si="78"/>
        <v>0</v>
      </c>
      <c r="D537" s="563">
        <f>+GETPIVOTDATA(" New Asc. avg",'Averages Pivot Table'!$A$3,"State","VA","Category",12,"Category2","Technical")</f>
        <v>0</v>
      </c>
      <c r="E537" s="118">
        <f t="shared" si="78"/>
        <v>0</v>
      </c>
      <c r="F537" s="563">
        <f>+GETPIVOTDATA(" New Ast. avg",'Averages Pivot Table'!$A$3,"State","VA","Category",12,"Category2","Technical")</f>
        <v>0</v>
      </c>
      <c r="G537" s="118">
        <f t="shared" si="73"/>
        <v>0</v>
      </c>
      <c r="H537" s="563">
        <f>+GETPIVOTDATA(" New Inst. avg",'Averages Pivot Table'!$A$3,"State","VA","Category",12,"Category2","Technical")</f>
        <v>0</v>
      </c>
      <c r="I537" s="118">
        <f t="shared" si="74"/>
        <v>0</v>
      </c>
      <c r="J537" s="563">
        <f>+GETPIVOTDATA(" New Undesg. avg",'Averages Pivot Table'!$A$3,"State","VA","Category",12,"Category2","Technical")</f>
        <v>0</v>
      </c>
      <c r="K537" s="118">
        <f t="shared" si="75"/>
        <v>0</v>
      </c>
      <c r="L537" s="563">
        <f>+GETPIVOTDATA(" New Single Rnk avg",'Averages Pivot Table'!$A$3,"State","VA","Category",12,"Category2","Technical")</f>
        <v>0</v>
      </c>
      <c r="M537" s="118">
        <f t="shared" si="76"/>
        <v>0</v>
      </c>
      <c r="N537" s="126">
        <f>+GETPIVOTDATA(" New All Ranks avg",'Averages Pivot Table'!$A$3,"State","VA","Category",12,"Category2","Technical")</f>
        <v>0</v>
      </c>
      <c r="O537" s="118">
        <f t="shared" si="77"/>
        <v>0</v>
      </c>
    </row>
    <row r="538" spans="1:15" ht="12.95" customHeight="1" x14ac:dyDescent="0.25">
      <c r="A538" s="6" t="s">
        <v>219</v>
      </c>
      <c r="B538" s="566">
        <f>+GETPIVOTDATA(" New Prof avg",'Averages Pivot Table'!$A$3,"State","WV","Category",12,"Category2","Technical")</f>
        <v>0</v>
      </c>
      <c r="C538" s="119">
        <f t="shared" si="78"/>
        <v>0</v>
      </c>
      <c r="D538" s="566">
        <f>+GETPIVOTDATA(" New Asc. avg",'Averages Pivot Table'!$A$3,"State","WV","Category",12,"Category2","Technical")</f>
        <v>0</v>
      </c>
      <c r="E538" s="119">
        <f t="shared" si="78"/>
        <v>0</v>
      </c>
      <c r="F538" s="566">
        <f>+GETPIVOTDATA(" New Ast. avg",'Averages Pivot Table'!$A$3,"State","WV","Category",12,"Category2","Technical")</f>
        <v>0</v>
      </c>
      <c r="G538" s="119">
        <f t="shared" si="73"/>
        <v>0</v>
      </c>
      <c r="H538" s="566">
        <f>+GETPIVOTDATA(" New Inst. avg",'Averages Pivot Table'!$A$3,"State","WV","Category",12,"Category2","Technical")</f>
        <v>0</v>
      </c>
      <c r="I538" s="119">
        <f t="shared" si="74"/>
        <v>0</v>
      </c>
      <c r="J538" s="566">
        <f>+GETPIVOTDATA(" New Undesg. avg",'Averages Pivot Table'!$A$3,"State","WV","Category",12,"Category2","Technical")</f>
        <v>0</v>
      </c>
      <c r="K538" s="119">
        <f t="shared" si="75"/>
        <v>0</v>
      </c>
      <c r="L538" s="566">
        <f>+GETPIVOTDATA(" New Single Rnk avg",'Averages Pivot Table'!$A$3,"State","WV","Category",12,"Category2","Technical")</f>
        <v>0</v>
      </c>
      <c r="M538" s="119">
        <f t="shared" si="76"/>
        <v>0</v>
      </c>
      <c r="N538" s="566">
        <f>+GETPIVOTDATA(" New All Ranks avg",'Averages Pivot Table'!$A$3,"State","WV","Category",12,"Category2","Technical")</f>
        <v>0</v>
      </c>
      <c r="O538" s="119">
        <f t="shared" si="77"/>
        <v>0</v>
      </c>
    </row>
    <row r="539" spans="1:15" ht="30" customHeight="1" x14ac:dyDescent="0.25">
      <c r="A539" s="670" t="s">
        <v>91</v>
      </c>
      <c r="B539" s="670"/>
      <c r="C539" s="670"/>
      <c r="D539" s="670"/>
      <c r="E539" s="670"/>
      <c r="F539" s="670"/>
      <c r="G539" s="670"/>
      <c r="H539" s="670"/>
      <c r="I539" s="670"/>
      <c r="J539" s="670"/>
      <c r="K539" s="670"/>
      <c r="L539" s="670"/>
      <c r="M539" s="670"/>
      <c r="N539" s="670"/>
      <c r="O539" s="670"/>
    </row>
    <row r="540" spans="1:15" x14ac:dyDescent="0.25">
      <c r="O540" s="157" t="s">
        <v>1083</v>
      </c>
    </row>
    <row r="541" spans="1:15" ht="18" x14ac:dyDescent="0.25">
      <c r="A541" s="544" t="s">
        <v>277</v>
      </c>
      <c r="B541" s="544"/>
      <c r="C541" s="544"/>
      <c r="D541" s="544"/>
      <c r="E541" s="544"/>
      <c r="F541" s="544"/>
      <c r="G541" s="544"/>
      <c r="H541" s="544"/>
      <c r="I541" s="544"/>
      <c r="J541" s="544"/>
      <c r="K541" s="544"/>
      <c r="L541" s="544"/>
      <c r="M541" s="544"/>
      <c r="N541" s="544"/>
      <c r="O541" s="544"/>
    </row>
    <row r="542" spans="1:15" x14ac:dyDescent="0.25">
      <c r="A542" s="588"/>
      <c r="B542" s="93"/>
      <c r="C542" s="93"/>
      <c r="D542" s="93"/>
      <c r="E542" s="93"/>
      <c r="F542" s="93"/>
      <c r="G542" s="93"/>
      <c r="H542" s="93"/>
      <c r="I542" s="93"/>
      <c r="J542" s="93"/>
      <c r="K542" s="93"/>
      <c r="L542" s="93"/>
      <c r="M542" s="93"/>
      <c r="N542" s="93"/>
      <c r="O542" s="93"/>
    </row>
    <row r="543" spans="1:15" x14ac:dyDescent="0.25">
      <c r="A543" s="665" t="s">
        <v>220</v>
      </c>
      <c r="B543" s="665"/>
      <c r="C543" s="665"/>
      <c r="D543" s="665"/>
      <c r="E543" s="665"/>
      <c r="F543" s="665"/>
      <c r="G543" s="665"/>
      <c r="H543" s="665"/>
      <c r="I543" s="665"/>
      <c r="J543" s="665"/>
      <c r="K543" s="665"/>
      <c r="L543" s="665"/>
      <c r="M543" s="665"/>
      <c r="N543" s="665"/>
      <c r="O543" s="665"/>
    </row>
    <row r="544" spans="1:15" x14ac:dyDescent="0.25">
      <c r="A544" s="665" t="s">
        <v>1055</v>
      </c>
      <c r="B544" s="665"/>
      <c r="C544" s="665"/>
      <c r="D544" s="665"/>
      <c r="E544" s="665"/>
      <c r="F544" s="665"/>
      <c r="G544" s="665"/>
      <c r="H544" s="665"/>
      <c r="I544" s="665"/>
      <c r="J544" s="665"/>
      <c r="K544" s="665"/>
      <c r="L544" s="665"/>
      <c r="M544" s="665"/>
      <c r="N544" s="665"/>
      <c r="O544" s="665"/>
    </row>
    <row r="545" spans="1:19" x14ac:dyDescent="0.25">
      <c r="A545" s="132"/>
      <c r="B545" s="93"/>
      <c r="C545" s="93"/>
      <c r="D545" s="93"/>
      <c r="E545" s="93"/>
      <c r="F545" s="93"/>
      <c r="G545" s="93"/>
      <c r="H545" s="93"/>
      <c r="I545" s="93"/>
      <c r="J545" s="93"/>
      <c r="K545" s="93"/>
      <c r="L545" s="93"/>
      <c r="M545" s="93"/>
      <c r="N545" s="93"/>
      <c r="O545" s="93"/>
    </row>
    <row r="546" spans="1:19" ht="31.5" customHeight="1" x14ac:dyDescent="0.25">
      <c r="A546" s="547"/>
      <c r="B546" s="589" t="s">
        <v>99</v>
      </c>
      <c r="C546" s="142"/>
      <c r="D546" s="590" t="s">
        <v>100</v>
      </c>
      <c r="E546" s="591"/>
      <c r="F546" s="590" t="s">
        <v>101</v>
      </c>
      <c r="G546" s="591"/>
      <c r="H546" s="589" t="s">
        <v>102</v>
      </c>
      <c r="I546" s="142"/>
      <c r="J546" s="590" t="s">
        <v>226</v>
      </c>
      <c r="K546" s="591"/>
      <c r="L546" s="142" t="s">
        <v>82</v>
      </c>
      <c r="M546" s="142"/>
      <c r="N546" s="142" t="s">
        <v>84</v>
      </c>
      <c r="O546" s="142"/>
    </row>
    <row r="547" spans="1:19" x14ac:dyDescent="0.25">
      <c r="A547" s="597"/>
      <c r="B547" s="115" t="s">
        <v>103</v>
      </c>
      <c r="C547" s="143" t="s">
        <v>193</v>
      </c>
      <c r="D547" s="115" t="s">
        <v>103</v>
      </c>
      <c r="E547" s="143" t="s">
        <v>193</v>
      </c>
      <c r="F547" s="115" t="s">
        <v>103</v>
      </c>
      <c r="G547" s="143" t="s">
        <v>193</v>
      </c>
      <c r="H547" s="115" t="s">
        <v>103</v>
      </c>
      <c r="I547" s="143" t="s">
        <v>193</v>
      </c>
      <c r="J547" s="115" t="s">
        <v>103</v>
      </c>
      <c r="K547" s="143" t="s">
        <v>193</v>
      </c>
      <c r="L547" s="115" t="s">
        <v>103</v>
      </c>
      <c r="M547" s="143" t="s">
        <v>193</v>
      </c>
      <c r="N547" s="115" t="s">
        <v>103</v>
      </c>
      <c r="O547" s="143" t="s">
        <v>193</v>
      </c>
    </row>
    <row r="548" spans="1:19" s="556" customFormat="1" ht="18" customHeight="1" x14ac:dyDescent="0.25">
      <c r="A548" s="554" t="s">
        <v>222</v>
      </c>
      <c r="B548" s="146">
        <f>+GETPIVOTDATA(" New Prof avg",'Averages Pivot Table'!$A$3,"Category",13,"Category2","Technical")</f>
        <v>0</v>
      </c>
      <c r="C548" s="146"/>
      <c r="D548" s="146">
        <f>+GETPIVOTDATA(" New Asc. avg",'Averages Pivot Table'!$A$3,"Category",13,"Category2","Technical")</f>
        <v>0</v>
      </c>
      <c r="E548" s="146"/>
      <c r="F548" s="146">
        <f>+GETPIVOTDATA(" New Ast. avg",'Averages Pivot Table'!$A$3,"Category",13,"Category2","Technical")</f>
        <v>0</v>
      </c>
      <c r="G548" s="146"/>
      <c r="H548" s="146">
        <f>+GETPIVOTDATA(" New Inst. avg",'Averages Pivot Table'!$A$3,"Category",13,"Category2","Technical")</f>
        <v>0</v>
      </c>
      <c r="I548" s="146"/>
      <c r="J548" s="146">
        <f>+GETPIVOTDATA(" New Undesg. avg",'Averages Pivot Table'!$A$3,"Category",13,"Category2","Technical")</f>
        <v>0</v>
      </c>
      <c r="K548" s="146"/>
      <c r="L548" s="146">
        <f>+GETPIVOTDATA(" New Single Rnk avg",'Averages Pivot Table'!$A$3,"Category",13,"Category2","Technical")</f>
        <v>45578.095484334925</v>
      </c>
      <c r="M548" s="146"/>
      <c r="N548" s="146">
        <f>+GETPIVOTDATA(" New All Ranks avg",'Averages Pivot Table'!$A$3,"Category",13,"Category2","Technical")</f>
        <v>45578.095484334925</v>
      </c>
      <c r="O548" s="133"/>
      <c r="Q548" s="558"/>
      <c r="R548" s="558"/>
      <c r="S548" s="558"/>
    </row>
    <row r="549" spans="1:19" ht="12.95" customHeight="1" x14ac:dyDescent="0.25">
      <c r="A549" s="132"/>
      <c r="B549" s="123"/>
      <c r="C549" s="150"/>
      <c r="D549" s="123"/>
      <c r="E549" s="150"/>
      <c r="F549" s="123"/>
      <c r="G549" s="150"/>
      <c r="H549" s="123"/>
      <c r="I549" s="150"/>
      <c r="J549" s="123"/>
      <c r="K549" s="150"/>
      <c r="L549" s="123"/>
      <c r="M549" s="150"/>
      <c r="N549" s="123"/>
      <c r="O549" s="134"/>
    </row>
    <row r="550" spans="1:19" ht="12.95" customHeight="1" x14ac:dyDescent="0.25">
      <c r="A550" s="132" t="s">
        <v>205</v>
      </c>
      <c r="B550" s="126">
        <f>+GETPIVOTDATA(" New Prof avg",'Averages Pivot Table'!$A$3,"State","AL","Category",13,"Category2","Technical")</f>
        <v>0</v>
      </c>
      <c r="C550" s="118">
        <f>IF(B550&gt;0,(RANK(B550,B$550:B$568)),0)</f>
        <v>0</v>
      </c>
      <c r="D550" s="126">
        <f>+GETPIVOTDATA(" New Asc. avg",'Averages Pivot Table'!$A$3,"State","AL","Category",13,"Category2","Technical")</f>
        <v>0</v>
      </c>
      <c r="E550" s="118">
        <f>IF(D550&gt;0,(RANK(D550,D$550:D$568)),0)</f>
        <v>0</v>
      </c>
      <c r="F550" s="126">
        <f>+GETPIVOTDATA(" New Ast. avg",'Averages Pivot Table'!$A$3,"State","AL","Category",13,"Category2","Technical")</f>
        <v>0</v>
      </c>
      <c r="G550" s="118">
        <f t="shared" ref="G550:G568" si="79">IF(F550&gt;0,(RANK(F550,F$550:F$568)),0)</f>
        <v>0</v>
      </c>
      <c r="H550" s="126">
        <f>+GETPIVOTDATA(" New Inst. avg",'Averages Pivot Table'!$A$3,"State","AL","Category",13,"Category2","Technical")</f>
        <v>0</v>
      </c>
      <c r="I550" s="118">
        <f t="shared" ref="I550:I568" si="80">IF(H550&gt;0,(RANK(H550,H$550:H$568)),0)</f>
        <v>0</v>
      </c>
      <c r="J550" s="126">
        <f>+GETPIVOTDATA(" New Undesg. avg",'Averages Pivot Table'!$A$3,"State","AL","Category",13,"Category2","Technical")</f>
        <v>0</v>
      </c>
      <c r="K550" s="118">
        <f t="shared" ref="K550:K568" si="81">IF(J550&gt;0,(RANK(J550,J$550:J$568)),0)</f>
        <v>0</v>
      </c>
      <c r="L550" s="126">
        <f>+GETPIVOTDATA(" New Single Rnk avg",'Averages Pivot Table'!$A$3,"State","AL","Category",13,"Category2","Technical")</f>
        <v>52822.426685393257</v>
      </c>
      <c r="M550" s="118">
        <f t="shared" ref="M550:M568" si="82">IF(L550&gt;0,(RANK(L550,L$550:L$568)),0)</f>
        <v>1</v>
      </c>
      <c r="N550" s="126">
        <f>+GETPIVOTDATA(" New All Ranks avg",'Averages Pivot Table'!$A$3,"State","AL","Category",13,"Category2","Technical")</f>
        <v>52822.426685393257</v>
      </c>
      <c r="O550" s="118">
        <f t="shared" ref="O550:O568" si="83">IF(N550&gt;0,(RANK(N550,N$550:N$568)),0)</f>
        <v>1</v>
      </c>
    </row>
    <row r="551" spans="1:19" ht="12.95" customHeight="1" x14ac:dyDescent="0.25">
      <c r="A551" s="132" t="s">
        <v>206</v>
      </c>
      <c r="B551" s="126">
        <f>+GETPIVOTDATA(" New Prof avg",'Averages Pivot Table'!$A$3,"State","AR","Category",13,"Category2","Technical")</f>
        <v>0</v>
      </c>
      <c r="C551" s="118">
        <f t="shared" ref="C551:E568" si="84">IF(B551&gt;0,(RANK(B551,B$550:B$568)),0)</f>
        <v>0</v>
      </c>
      <c r="D551" s="126">
        <f>+GETPIVOTDATA(" New Asc. avg",'Averages Pivot Table'!$A$3,"State","AR","Category",13,"Category2","Technical")</f>
        <v>0</v>
      </c>
      <c r="E551" s="118">
        <f t="shared" si="84"/>
        <v>0</v>
      </c>
      <c r="F551" s="126">
        <f>+GETPIVOTDATA(" New Ast. avg",'Averages Pivot Table'!$A$3,"State","AR","Category",13,"Category2","Technical")</f>
        <v>0</v>
      </c>
      <c r="G551" s="118">
        <f t="shared" si="79"/>
        <v>0</v>
      </c>
      <c r="H551" s="126">
        <f>+GETPIVOTDATA(" New Inst. avg",'Averages Pivot Table'!$A$3,"State","AR","Category",13,"Category2","Technical")</f>
        <v>0</v>
      </c>
      <c r="I551" s="118">
        <f t="shared" si="80"/>
        <v>0</v>
      </c>
      <c r="J551" s="126">
        <f>+GETPIVOTDATA(" New Undesg. avg",'Averages Pivot Table'!$A$3,"State","AR","Category",13,"Category2","Technical")</f>
        <v>0</v>
      </c>
      <c r="K551" s="118">
        <f t="shared" si="81"/>
        <v>0</v>
      </c>
      <c r="L551" s="126">
        <f>+GETPIVOTDATA(" New Single Rnk avg",'Averages Pivot Table'!$A$3,"State","AR","Category",13,"Category2","Technical")</f>
        <v>0</v>
      </c>
      <c r="M551" s="118">
        <f t="shared" si="82"/>
        <v>0</v>
      </c>
      <c r="N551" s="126">
        <f>+GETPIVOTDATA(" New All Ranks avg",'Averages Pivot Table'!$A$3,"State","AR","Category",13,"Category2","Technical")</f>
        <v>0</v>
      </c>
      <c r="O551" s="118">
        <f t="shared" si="83"/>
        <v>0</v>
      </c>
    </row>
    <row r="552" spans="1:19" ht="12.95" customHeight="1" x14ac:dyDescent="0.25">
      <c r="A552" s="132" t="s">
        <v>221</v>
      </c>
      <c r="B552" s="126">
        <f>+GETPIVOTDATA(" New Prof avg",'Averages Pivot Table'!$A$3,"State","DE","Category",13,"Category2","Technical")</f>
        <v>0</v>
      </c>
      <c r="C552" s="118">
        <f t="shared" si="84"/>
        <v>0</v>
      </c>
      <c r="D552" s="126">
        <f>+GETPIVOTDATA(" New Asc. avg",'Averages Pivot Table'!$A$3,"State","DE","Category",13,"Category2","Technical")</f>
        <v>0</v>
      </c>
      <c r="E552" s="118">
        <f t="shared" si="84"/>
        <v>0</v>
      </c>
      <c r="F552" s="126">
        <f>+GETPIVOTDATA(" New Ast. avg",'Averages Pivot Table'!$A$3,"State","DE","Category",13,"Category2","Technical")</f>
        <v>0</v>
      </c>
      <c r="G552" s="118">
        <f t="shared" si="79"/>
        <v>0</v>
      </c>
      <c r="H552" s="126">
        <f>+GETPIVOTDATA(" New Inst. avg",'Averages Pivot Table'!$A$3,"State","DE","Category",13,"Category2","Technical")</f>
        <v>0</v>
      </c>
      <c r="I552" s="118">
        <f t="shared" si="80"/>
        <v>0</v>
      </c>
      <c r="J552" s="126">
        <f>+GETPIVOTDATA(" New Undesg. avg",'Averages Pivot Table'!$A$3,"State","DE","Category",13,"Category2","Technical")</f>
        <v>0</v>
      </c>
      <c r="K552" s="118">
        <f t="shared" si="81"/>
        <v>0</v>
      </c>
      <c r="L552" s="126">
        <f>+GETPIVOTDATA(" New Single Rnk avg",'Averages Pivot Table'!$A$3,"State","DE","Category",13,"Category2","Technical")</f>
        <v>0</v>
      </c>
      <c r="M552" s="118">
        <f t="shared" si="82"/>
        <v>0</v>
      </c>
      <c r="N552" s="126">
        <f>+GETPIVOTDATA(" New All Ranks avg",'Averages Pivot Table'!$A$3,"State","DE","Category",13,"Category2","Technical")</f>
        <v>0</v>
      </c>
      <c r="O552" s="118">
        <f t="shared" si="83"/>
        <v>0</v>
      </c>
    </row>
    <row r="553" spans="1:19" ht="12.95" customHeight="1" x14ac:dyDescent="0.25">
      <c r="A553" s="132" t="s">
        <v>207</v>
      </c>
      <c r="B553" s="126">
        <f>+GETPIVOTDATA(" New Prof avg",'Averages Pivot Table'!$A$3,"State","FL","Category",13,"Category2","Technical")</f>
        <v>0</v>
      </c>
      <c r="C553" s="118">
        <f t="shared" si="84"/>
        <v>0</v>
      </c>
      <c r="D553" s="126">
        <f>+GETPIVOTDATA(" New Asc. avg",'Averages Pivot Table'!$A$3,"State","FL","Category",13,"Category2","Technical")</f>
        <v>0</v>
      </c>
      <c r="E553" s="118">
        <f t="shared" si="84"/>
        <v>0</v>
      </c>
      <c r="F553" s="126">
        <f>+GETPIVOTDATA(" New Ast. avg",'Averages Pivot Table'!$A$3,"State","FL","Category",13,"Category2","Technical")</f>
        <v>0</v>
      </c>
      <c r="G553" s="118">
        <f t="shared" si="79"/>
        <v>0</v>
      </c>
      <c r="H553" s="126">
        <f>+GETPIVOTDATA(" New Inst. avg",'Averages Pivot Table'!$A$3,"State","FL","Category",13,"Category2","Technical")</f>
        <v>0</v>
      </c>
      <c r="I553" s="118">
        <f t="shared" si="80"/>
        <v>0</v>
      </c>
      <c r="J553" s="126">
        <f>+GETPIVOTDATA(" New Undesg. avg",'Averages Pivot Table'!$A$3,"State","FL","Category",13,"Category2","Technical")</f>
        <v>0</v>
      </c>
      <c r="K553" s="118">
        <f t="shared" si="81"/>
        <v>0</v>
      </c>
      <c r="L553" s="126">
        <f>+GETPIVOTDATA(" New Single Rnk avg",'Averages Pivot Table'!$A$3,"State","FL","Category",13,"Category2","Technical")</f>
        <v>0</v>
      </c>
      <c r="M553" s="118">
        <f t="shared" si="82"/>
        <v>0</v>
      </c>
      <c r="N553" s="126">
        <f>+GETPIVOTDATA(" New All Ranks avg",'Averages Pivot Table'!$A$3,"State","FL","Category",13,"Category2","Technical")</f>
        <v>0</v>
      </c>
      <c r="O553" s="118">
        <f t="shared" si="83"/>
        <v>0</v>
      </c>
    </row>
    <row r="554" spans="1:19" ht="12.95" customHeight="1" x14ac:dyDescent="0.25">
      <c r="A554" s="132"/>
      <c r="B554" s="126"/>
      <c r="C554" s="118">
        <f t="shared" si="84"/>
        <v>0</v>
      </c>
      <c r="D554" s="126"/>
      <c r="E554" s="118">
        <f t="shared" si="84"/>
        <v>0</v>
      </c>
      <c r="F554" s="126"/>
      <c r="G554" s="118">
        <f t="shared" si="79"/>
        <v>0</v>
      </c>
      <c r="H554" s="126"/>
      <c r="I554" s="118">
        <f t="shared" si="80"/>
        <v>0</v>
      </c>
      <c r="J554" s="126"/>
      <c r="K554" s="118">
        <f t="shared" si="81"/>
        <v>0</v>
      </c>
      <c r="L554" s="126"/>
      <c r="M554" s="118">
        <f t="shared" si="82"/>
        <v>0</v>
      </c>
      <c r="N554" s="126"/>
      <c r="O554" s="118">
        <f t="shared" si="83"/>
        <v>0</v>
      </c>
    </row>
    <row r="555" spans="1:19" ht="12.95" customHeight="1" x14ac:dyDescent="0.25">
      <c r="A555" s="132" t="s">
        <v>208</v>
      </c>
      <c r="B555" s="126">
        <f>+GETPIVOTDATA(" New Prof avg",'Averages Pivot Table'!$A$3,"State","GA","Category",13,"Category2","Technical")</f>
        <v>0</v>
      </c>
      <c r="C555" s="118">
        <f t="shared" si="84"/>
        <v>0</v>
      </c>
      <c r="D555" s="126">
        <f>+GETPIVOTDATA(" New Asc. avg",'Averages Pivot Table'!$A$3,"State","GA","Category",13,"Category2","Technical")</f>
        <v>0</v>
      </c>
      <c r="E555" s="118">
        <f t="shared" si="84"/>
        <v>0</v>
      </c>
      <c r="F555" s="126">
        <f>+GETPIVOTDATA(" New Ast. avg",'Averages Pivot Table'!$A$3,"State","GA","Category",13,"Category2","Technical")</f>
        <v>0</v>
      </c>
      <c r="G555" s="118">
        <f t="shared" si="79"/>
        <v>0</v>
      </c>
      <c r="H555" s="126">
        <f>+GETPIVOTDATA(" New Inst. avg",'Averages Pivot Table'!$A$3,"State","GA","Category",13,"Category2","Technical")</f>
        <v>0</v>
      </c>
      <c r="I555" s="118">
        <f t="shared" si="80"/>
        <v>0</v>
      </c>
      <c r="J555" s="126">
        <f>+GETPIVOTDATA(" New Undesg. avg",'Averages Pivot Table'!$A$3,"State","GA","Category",13,"Category2","Technical")</f>
        <v>0</v>
      </c>
      <c r="K555" s="118">
        <f t="shared" si="81"/>
        <v>0</v>
      </c>
      <c r="L555" s="126">
        <f>+GETPIVOTDATA(" New Single Rnk avg",'Averages Pivot Table'!$A$3,"State","GA","Category",13,"Category2","Technical")</f>
        <v>0</v>
      </c>
      <c r="M555" s="118">
        <f t="shared" si="82"/>
        <v>0</v>
      </c>
      <c r="N555" s="126">
        <f>+GETPIVOTDATA(" New All Ranks avg",'Averages Pivot Table'!$A$3,"State","GA","Category",13,"Category2","Technical")</f>
        <v>0</v>
      </c>
      <c r="O555" s="118">
        <f t="shared" si="83"/>
        <v>0</v>
      </c>
    </row>
    <row r="556" spans="1:19" ht="12.95" customHeight="1" x14ac:dyDescent="0.25">
      <c r="A556" s="132" t="s">
        <v>209</v>
      </c>
      <c r="B556" s="126">
        <f>+GETPIVOTDATA(" New Prof avg",'Averages Pivot Table'!$A$3,"State","KY","Category",13,"Category2","Technical")</f>
        <v>0</v>
      </c>
      <c r="C556" s="118">
        <f t="shared" si="84"/>
        <v>0</v>
      </c>
      <c r="D556" s="126">
        <f>+GETPIVOTDATA(" New Asc. avg",'Averages Pivot Table'!$A$3,"State","KY","Category",13,"Category2","Technical")</f>
        <v>0</v>
      </c>
      <c r="E556" s="118">
        <f t="shared" si="84"/>
        <v>0</v>
      </c>
      <c r="F556" s="126">
        <f>+GETPIVOTDATA(" New Ast. avg",'Averages Pivot Table'!$A$3,"State","KY","Category",13,"Category2","Technical")</f>
        <v>0</v>
      </c>
      <c r="G556" s="118">
        <f t="shared" si="79"/>
        <v>0</v>
      </c>
      <c r="H556" s="126">
        <f>+GETPIVOTDATA(" New Inst. avg",'Averages Pivot Table'!$A$3,"State","KY","Category",13,"Category2","Technical")</f>
        <v>0</v>
      </c>
      <c r="I556" s="118">
        <f t="shared" si="80"/>
        <v>0</v>
      </c>
      <c r="J556" s="126">
        <f>+GETPIVOTDATA(" New Undesg. avg",'Averages Pivot Table'!$A$3,"State","KY","Category",13,"Category2","Technical")</f>
        <v>0</v>
      </c>
      <c r="K556" s="118">
        <f t="shared" si="81"/>
        <v>0</v>
      </c>
      <c r="L556" s="126">
        <f>+GETPIVOTDATA(" New Single Rnk avg",'Averages Pivot Table'!$A$3,"State","KY","Category",13,"Category2","Technical")</f>
        <v>0</v>
      </c>
      <c r="M556" s="118">
        <f t="shared" si="82"/>
        <v>0</v>
      </c>
      <c r="N556" s="126">
        <f>+GETPIVOTDATA(" New All Ranks avg",'Averages Pivot Table'!$A$3,"State","KY","Category",13,"Category2","Technical")</f>
        <v>0</v>
      </c>
      <c r="O556" s="118">
        <f t="shared" si="83"/>
        <v>0</v>
      </c>
    </row>
    <row r="557" spans="1:19" ht="12.95" customHeight="1" x14ac:dyDescent="0.25">
      <c r="A557" s="132" t="s">
        <v>210</v>
      </c>
      <c r="B557" s="126">
        <f>+GETPIVOTDATA(" New Prof avg",'Averages Pivot Table'!$A$3,"State","LA","Category",13,"Category2","Technical")</f>
        <v>0</v>
      </c>
      <c r="C557" s="118">
        <f t="shared" si="84"/>
        <v>0</v>
      </c>
      <c r="D557" s="126">
        <f>+GETPIVOTDATA(" New Asc. avg",'Averages Pivot Table'!$A$3,"State","LA","Category",13,"Category2","Technical")</f>
        <v>0</v>
      </c>
      <c r="E557" s="118">
        <f t="shared" si="84"/>
        <v>0</v>
      </c>
      <c r="F557" s="126">
        <f>+GETPIVOTDATA(" New Ast. avg",'Averages Pivot Table'!$A$3,"State","LA","Category",13,"Category2","Technical")</f>
        <v>0</v>
      </c>
      <c r="G557" s="118">
        <f t="shared" si="79"/>
        <v>0</v>
      </c>
      <c r="H557" s="126">
        <f>+GETPIVOTDATA(" New Inst. avg",'Averages Pivot Table'!$A$3,"State","LA","Category",13,"Category2","Technical")</f>
        <v>0</v>
      </c>
      <c r="I557" s="118">
        <f t="shared" si="80"/>
        <v>0</v>
      </c>
      <c r="J557" s="126">
        <f>+GETPIVOTDATA(" New Undesg. avg",'Averages Pivot Table'!$A$3,"State","LA","Category",13,"Category2","Technical")</f>
        <v>0</v>
      </c>
      <c r="K557" s="118">
        <f t="shared" si="81"/>
        <v>0</v>
      </c>
      <c r="L557" s="126">
        <f>+GETPIVOTDATA(" New Single Rnk avg",'Averages Pivot Table'!$A$3,"State","LA","Category",13,"Category2","Technical")</f>
        <v>0</v>
      </c>
      <c r="M557" s="118">
        <f t="shared" si="82"/>
        <v>0</v>
      </c>
      <c r="N557" s="126">
        <f>+GETPIVOTDATA(" New All Ranks avg",'Averages Pivot Table'!$A$3,"State","LA","Category",13,"Category2","Technical")</f>
        <v>0</v>
      </c>
      <c r="O557" s="118">
        <f t="shared" si="83"/>
        <v>0</v>
      </c>
    </row>
    <row r="558" spans="1:19" ht="12.95" customHeight="1" x14ac:dyDescent="0.25">
      <c r="A558" s="132" t="s">
        <v>211</v>
      </c>
      <c r="B558" s="126">
        <f>+GETPIVOTDATA(" New Prof avg",'Averages Pivot Table'!$A$3,"State","MD","Category",13,"Category2","Technical")</f>
        <v>0</v>
      </c>
      <c r="C558" s="118">
        <f>IF(B558&gt;0,(RANK(B558,B$550:B$568)),0)</f>
        <v>0</v>
      </c>
      <c r="D558" s="126">
        <f>+GETPIVOTDATA(" New Asc. avg",'Averages Pivot Table'!$A$3,"State","MD","Category",13,"Category2","Technical")</f>
        <v>0</v>
      </c>
      <c r="E558" s="118">
        <f t="shared" si="84"/>
        <v>0</v>
      </c>
      <c r="F558" s="126">
        <f>+GETPIVOTDATA(" New Ast. avg",'Averages Pivot Table'!$A$3,"State","MD","Category",13,"Category2","Technical")</f>
        <v>0</v>
      </c>
      <c r="G558" s="118">
        <f t="shared" si="79"/>
        <v>0</v>
      </c>
      <c r="H558" s="126">
        <f>+GETPIVOTDATA(" New Inst. avg",'Averages Pivot Table'!$A$3,"State","MD","Category",13,"Category2","Technical")</f>
        <v>0</v>
      </c>
      <c r="I558" s="118">
        <f t="shared" si="80"/>
        <v>0</v>
      </c>
      <c r="J558" s="126">
        <f>+GETPIVOTDATA(" New Undesg. avg",'Averages Pivot Table'!$A$3,"State","MD","Category",13,"Category2","Technical")</f>
        <v>0</v>
      </c>
      <c r="K558" s="118">
        <f t="shared" si="81"/>
        <v>0</v>
      </c>
      <c r="L558" s="126">
        <f>+GETPIVOTDATA(" New Single Rnk avg",'Averages Pivot Table'!$A$3,"State","MD","Category",13,"Category2","Technical")</f>
        <v>0</v>
      </c>
      <c r="M558" s="118">
        <f t="shared" si="82"/>
        <v>0</v>
      </c>
      <c r="N558" s="126">
        <f>+GETPIVOTDATA(" New All Ranks avg",'Averages Pivot Table'!$A$3,"State","MD","Category",13,"Category2","Technical")</f>
        <v>0</v>
      </c>
      <c r="O558" s="118">
        <f t="shared" si="83"/>
        <v>0</v>
      </c>
    </row>
    <row r="559" spans="1:19" ht="12.95" customHeight="1" x14ac:dyDescent="0.25">
      <c r="A559" s="132"/>
      <c r="B559" s="126"/>
      <c r="C559" s="118">
        <f t="shared" si="84"/>
        <v>0</v>
      </c>
      <c r="D559" s="126"/>
      <c r="E559" s="118">
        <f t="shared" si="84"/>
        <v>0</v>
      </c>
      <c r="F559" s="126"/>
      <c r="G559" s="118">
        <f t="shared" si="79"/>
        <v>0</v>
      </c>
      <c r="H559" s="126"/>
      <c r="I559" s="118">
        <f t="shared" si="80"/>
        <v>0</v>
      </c>
      <c r="J559" s="126"/>
      <c r="K559" s="118">
        <f t="shared" si="81"/>
        <v>0</v>
      </c>
      <c r="L559" s="126"/>
      <c r="M559" s="118">
        <f t="shared" si="82"/>
        <v>0</v>
      </c>
      <c r="N559" s="126"/>
      <c r="O559" s="118">
        <f t="shared" si="83"/>
        <v>0</v>
      </c>
    </row>
    <row r="560" spans="1:19" ht="12.95" customHeight="1" x14ac:dyDescent="0.25">
      <c r="A560" s="132" t="s">
        <v>212</v>
      </c>
      <c r="B560" s="126">
        <f>+GETPIVOTDATA(" New Prof avg",'Averages Pivot Table'!$A$3,"State","MS","Category",13,"Category2","Technical")</f>
        <v>0</v>
      </c>
      <c r="C560" s="118">
        <f t="shared" si="84"/>
        <v>0</v>
      </c>
      <c r="D560" s="126">
        <f>+GETPIVOTDATA(" New Asc. avg",'Averages Pivot Table'!$A$3,"State","MS","Category",13,"Category2","Technical")</f>
        <v>0</v>
      </c>
      <c r="E560" s="118">
        <f t="shared" si="84"/>
        <v>0</v>
      </c>
      <c r="F560" s="126">
        <f>+GETPIVOTDATA(" New Ast. avg",'Averages Pivot Table'!$A$3,"State","MS","Category",13,"Category2","Technical")</f>
        <v>0</v>
      </c>
      <c r="G560" s="118">
        <f t="shared" si="79"/>
        <v>0</v>
      </c>
      <c r="H560" s="126">
        <f>+GETPIVOTDATA(" New Inst. avg",'Averages Pivot Table'!$A$3,"State","MS","Category",13,"Category2","Technical")</f>
        <v>0</v>
      </c>
      <c r="I560" s="118">
        <f t="shared" si="80"/>
        <v>0</v>
      </c>
      <c r="J560" s="126">
        <f>+GETPIVOTDATA(" New Undesg. avg",'Averages Pivot Table'!$A$3,"State","MS","Category",13,"Category2","Technical")</f>
        <v>0</v>
      </c>
      <c r="K560" s="118">
        <f t="shared" si="81"/>
        <v>0</v>
      </c>
      <c r="L560" s="126">
        <f>+GETPIVOTDATA(" New Single Rnk avg",'Averages Pivot Table'!$A$3,"State","MS","Category",13,"Category2","Technical")</f>
        <v>0</v>
      </c>
      <c r="M560" s="118">
        <f t="shared" si="82"/>
        <v>0</v>
      </c>
      <c r="N560" s="126">
        <f>+GETPIVOTDATA(" New All Ranks avg",'Averages Pivot Table'!$A$3,"State","MS","Category",13,"Category2","Technical")</f>
        <v>0</v>
      </c>
      <c r="O560" s="118">
        <f t="shared" si="83"/>
        <v>0</v>
      </c>
    </row>
    <row r="561" spans="1:15" ht="12.95" customHeight="1" x14ac:dyDescent="0.25">
      <c r="A561" s="132" t="s">
        <v>213</v>
      </c>
      <c r="B561" s="126">
        <f>+GETPIVOTDATA(" New Prof avg",'Averages Pivot Table'!$A$3,"State","NC","Category",13,"Category2","Technical")</f>
        <v>0</v>
      </c>
      <c r="C561" s="118">
        <f t="shared" si="84"/>
        <v>0</v>
      </c>
      <c r="D561" s="126">
        <f>+GETPIVOTDATA(" New Asc. avg",'Averages Pivot Table'!$A$3,"State","NC","Category",13,"Category2","Technical")</f>
        <v>0</v>
      </c>
      <c r="E561" s="118">
        <f t="shared" si="84"/>
        <v>0</v>
      </c>
      <c r="F561" s="126">
        <f>+GETPIVOTDATA(" New Ast. avg",'Averages Pivot Table'!$A$3,"State","NC","Category",13,"Category2","Technical")</f>
        <v>0</v>
      </c>
      <c r="G561" s="118">
        <f t="shared" si="79"/>
        <v>0</v>
      </c>
      <c r="H561" s="126">
        <f>+GETPIVOTDATA(" New Inst. avg",'Averages Pivot Table'!$A$3,"State","NC","Category",13,"Category2","Technical")</f>
        <v>0</v>
      </c>
      <c r="I561" s="118">
        <f t="shared" si="80"/>
        <v>0</v>
      </c>
      <c r="J561" s="126">
        <f>+GETPIVOTDATA(" New Undesg. avg",'Averages Pivot Table'!$A$3,"State","NC","Category",13,"Category2","Technical")</f>
        <v>0</v>
      </c>
      <c r="K561" s="118">
        <f t="shared" si="81"/>
        <v>0</v>
      </c>
      <c r="L561" s="126">
        <f>+GETPIVOTDATA(" New Single Rnk avg",'Averages Pivot Table'!$A$3,"State","NC","Category",13,"Category2","Technical")</f>
        <v>0</v>
      </c>
      <c r="M561" s="118">
        <f t="shared" si="82"/>
        <v>0</v>
      </c>
      <c r="N561" s="126">
        <f>+GETPIVOTDATA(" New All Ranks avg",'Averages Pivot Table'!$A$3,"State","NC","Category",13,"Category2","Technical")</f>
        <v>0</v>
      </c>
      <c r="O561" s="118">
        <f t="shared" si="83"/>
        <v>0</v>
      </c>
    </row>
    <row r="562" spans="1:15" ht="12.95" customHeight="1" x14ac:dyDescent="0.25">
      <c r="A562" s="132" t="s">
        <v>214</v>
      </c>
      <c r="B562" s="126">
        <f>+GETPIVOTDATA(" New Prof avg",'Averages Pivot Table'!$A$3,"State","OK","Category",13,"Category2","Technical")</f>
        <v>0</v>
      </c>
      <c r="C562" s="118">
        <f t="shared" si="84"/>
        <v>0</v>
      </c>
      <c r="D562" s="126">
        <f>+GETPIVOTDATA(" New Asc. avg",'Averages Pivot Table'!$A$3,"State","OK","Category",13,"Category2","Technical")</f>
        <v>0</v>
      </c>
      <c r="E562" s="118">
        <f t="shared" si="84"/>
        <v>0</v>
      </c>
      <c r="F562" s="126">
        <f>+GETPIVOTDATA(" New Ast. avg",'Averages Pivot Table'!$A$3,"State","OK","Category",13,"Category2","Technical")</f>
        <v>0</v>
      </c>
      <c r="G562" s="118">
        <f t="shared" si="79"/>
        <v>0</v>
      </c>
      <c r="H562" s="126">
        <f>+GETPIVOTDATA(" New Inst. avg",'Averages Pivot Table'!$A$3,"State","OK","Category",13,"Category2","Technical")</f>
        <v>0</v>
      </c>
      <c r="I562" s="118">
        <f t="shared" si="80"/>
        <v>0</v>
      </c>
      <c r="J562" s="126">
        <f>+GETPIVOTDATA(" New Undesg. avg",'Averages Pivot Table'!$A$3,"State","OK","Category",13,"Category2","Technical")</f>
        <v>0</v>
      </c>
      <c r="K562" s="118">
        <f t="shared" si="81"/>
        <v>0</v>
      </c>
      <c r="L562" s="126">
        <f>+GETPIVOTDATA(" New Single Rnk avg",'Averages Pivot Table'!$A$3,"State","OK","Category",13,"Category2","Technical")</f>
        <v>48464.985827729251</v>
      </c>
      <c r="M562" s="118">
        <f t="shared" si="82"/>
        <v>2</v>
      </c>
      <c r="N562" s="126">
        <f>+GETPIVOTDATA(" New All Ranks avg",'Averages Pivot Table'!$A$3,"State","OK","Category",13,"Category2","Technical")</f>
        <v>48464.985827729251</v>
      </c>
      <c r="O562" s="118">
        <f t="shared" si="83"/>
        <v>2</v>
      </c>
    </row>
    <row r="563" spans="1:15" ht="12.95" customHeight="1" x14ac:dyDescent="0.25">
      <c r="A563" s="132" t="s">
        <v>215</v>
      </c>
      <c r="B563" s="126">
        <f>+GETPIVOTDATA(" New Prof avg",'Averages Pivot Table'!$A$3,"State","SC","Category",13,"Category2","Technical")</f>
        <v>0</v>
      </c>
      <c r="C563" s="118">
        <f t="shared" si="84"/>
        <v>0</v>
      </c>
      <c r="D563" s="126">
        <f>+GETPIVOTDATA(" New Asc. avg",'Averages Pivot Table'!$A$3,"State","SC","Category",13,"Category2","Technical")</f>
        <v>0</v>
      </c>
      <c r="E563" s="118">
        <f t="shared" si="84"/>
        <v>0</v>
      </c>
      <c r="F563" s="126">
        <f>+GETPIVOTDATA(" New Ast. avg",'Averages Pivot Table'!$A$3,"State","SC","Category",13,"Category2","Technical")</f>
        <v>0</v>
      </c>
      <c r="G563" s="118">
        <f t="shared" si="79"/>
        <v>0</v>
      </c>
      <c r="H563" s="126">
        <f>+GETPIVOTDATA(" New Inst. avg",'Averages Pivot Table'!$A$3,"State","SC","Category",13,"Category2","Technical")</f>
        <v>0</v>
      </c>
      <c r="I563" s="118">
        <f t="shared" si="80"/>
        <v>0</v>
      </c>
      <c r="J563" s="126">
        <f>+GETPIVOTDATA(" New Undesg. avg",'Averages Pivot Table'!$A$3,"State","SC","Category",13,"Category2","Technical")</f>
        <v>0</v>
      </c>
      <c r="K563" s="118">
        <f t="shared" si="81"/>
        <v>0</v>
      </c>
      <c r="L563" s="126">
        <f>+GETPIVOTDATA(" New Single Rnk avg",'Averages Pivot Table'!$A$3,"State","SC","Category",13,"Category2","Technical")</f>
        <v>0</v>
      </c>
      <c r="M563" s="118">
        <f t="shared" si="82"/>
        <v>0</v>
      </c>
      <c r="N563" s="126">
        <f>+GETPIVOTDATA(" New All Ranks avg",'Averages Pivot Table'!$A$3,"State","SC","Category",13,"Category2","Technical")</f>
        <v>0</v>
      </c>
      <c r="O563" s="118">
        <f t="shared" si="83"/>
        <v>0</v>
      </c>
    </row>
    <row r="564" spans="1:15" ht="12.95" customHeight="1" x14ac:dyDescent="0.25">
      <c r="A564" s="132"/>
      <c r="B564" s="126"/>
      <c r="C564" s="118">
        <f t="shared" si="84"/>
        <v>0</v>
      </c>
      <c r="D564" s="126"/>
      <c r="E564" s="118">
        <f t="shared" si="84"/>
        <v>0</v>
      </c>
      <c r="F564" s="126"/>
      <c r="G564" s="118">
        <f t="shared" si="79"/>
        <v>0</v>
      </c>
      <c r="H564" s="126"/>
      <c r="I564" s="118">
        <f t="shared" si="80"/>
        <v>0</v>
      </c>
      <c r="J564" s="126"/>
      <c r="K564" s="118">
        <f t="shared" si="81"/>
        <v>0</v>
      </c>
      <c r="L564" s="126"/>
      <c r="M564" s="118">
        <f t="shared" si="82"/>
        <v>0</v>
      </c>
      <c r="N564" s="126"/>
      <c r="O564" s="118">
        <f t="shared" si="83"/>
        <v>0</v>
      </c>
    </row>
    <row r="565" spans="1:15" ht="12.95" customHeight="1" x14ac:dyDescent="0.25">
      <c r="A565" s="132" t="s">
        <v>216</v>
      </c>
      <c r="B565" s="563">
        <f>+GETPIVOTDATA(" New Prof avg",'Averages Pivot Table'!$A$3,"State","TN","Category",13,"Category2","Technical")</f>
        <v>0</v>
      </c>
      <c r="C565" s="118">
        <f t="shared" si="84"/>
        <v>0</v>
      </c>
      <c r="D565" s="563">
        <f>+GETPIVOTDATA(" New Asc. avg",'Averages Pivot Table'!$A$3,"State","TN","Category",13,"Category2","Technical")</f>
        <v>0</v>
      </c>
      <c r="E565" s="118">
        <f t="shared" si="84"/>
        <v>0</v>
      </c>
      <c r="F565" s="563">
        <f>+GETPIVOTDATA(" New Ast. avg",'Averages Pivot Table'!$A$3,"State","TN","Category",13,"Category2","Technical")</f>
        <v>0</v>
      </c>
      <c r="G565" s="118">
        <f t="shared" si="79"/>
        <v>0</v>
      </c>
      <c r="H565" s="563">
        <f>+GETPIVOTDATA(" New Inst. avg",'Averages Pivot Table'!$A$3,"State","TN","Category",13,"Category2","Technical")</f>
        <v>0</v>
      </c>
      <c r="I565" s="118">
        <f t="shared" si="80"/>
        <v>0</v>
      </c>
      <c r="J565" s="563">
        <f>+GETPIVOTDATA(" New Undesg. avg",'Averages Pivot Table'!$A$3,"State","TN","Category",13,"Category2","Technical")</f>
        <v>0</v>
      </c>
      <c r="K565" s="118">
        <f t="shared" si="81"/>
        <v>0</v>
      </c>
      <c r="L565" s="563">
        <f>+GETPIVOTDATA(" New Single Rnk avg",'Averages Pivot Table'!$A$3,"State","TN","Category",13,"Category2","Technical")</f>
        <v>38396.573581620098</v>
      </c>
      <c r="M565" s="118">
        <f t="shared" si="82"/>
        <v>3</v>
      </c>
      <c r="N565" s="126">
        <f>+GETPIVOTDATA(" New All Ranks avg",'Averages Pivot Table'!$A$3,"State","TN","Category",13,"Category2","Technical")</f>
        <v>38396.573581620098</v>
      </c>
      <c r="O565" s="118">
        <f t="shared" si="83"/>
        <v>3</v>
      </c>
    </row>
    <row r="566" spans="1:15" ht="12.95" customHeight="1" x14ac:dyDescent="0.25">
      <c r="A566" s="132" t="s">
        <v>217</v>
      </c>
      <c r="B566" s="563">
        <f>+GETPIVOTDATA(" New Prof avg",'Averages Pivot Table'!$A$3,"State","TX","Category",13,"Category2","Technical")</f>
        <v>0</v>
      </c>
      <c r="C566" s="118">
        <f t="shared" si="84"/>
        <v>0</v>
      </c>
      <c r="D566" s="563">
        <f>+GETPIVOTDATA(" New Asc. avg",'Averages Pivot Table'!$A$3,"State","TX","Category",13,"Category2","Technical")</f>
        <v>0</v>
      </c>
      <c r="E566" s="118">
        <f t="shared" si="84"/>
        <v>0</v>
      </c>
      <c r="F566" s="563">
        <f>+GETPIVOTDATA(" New Ast. avg",'Averages Pivot Table'!$A$3,"State","TX","Category",13,"Category2","Technical")</f>
        <v>0</v>
      </c>
      <c r="G566" s="118">
        <f t="shared" si="79"/>
        <v>0</v>
      </c>
      <c r="H566" s="563">
        <f>+GETPIVOTDATA(" New Inst. avg",'Averages Pivot Table'!$A$3,"State","TX","Category",13,"Category2","Technical")</f>
        <v>0</v>
      </c>
      <c r="I566" s="118">
        <f t="shared" si="80"/>
        <v>0</v>
      </c>
      <c r="J566" s="563">
        <f>+GETPIVOTDATA(" New Undesg. avg",'Averages Pivot Table'!$A$3,"State","TX","Category",13,"Category2","Technical")</f>
        <v>0</v>
      </c>
      <c r="K566" s="118">
        <f t="shared" si="81"/>
        <v>0</v>
      </c>
      <c r="L566" s="563">
        <f>+GETPIVOTDATA(" New Single Rnk avg",'Averages Pivot Table'!$A$3,"State","TX","Category",13,"Category2","Technical")</f>
        <v>0</v>
      </c>
      <c r="M566" s="118">
        <f t="shared" si="82"/>
        <v>0</v>
      </c>
      <c r="N566" s="126">
        <f>+GETPIVOTDATA(" New All Ranks avg",'Averages Pivot Table'!$A$3,"State","TX","Category",13,"Category2","Technical")</f>
        <v>0</v>
      </c>
      <c r="O566" s="118">
        <f t="shared" si="83"/>
        <v>0</v>
      </c>
    </row>
    <row r="567" spans="1:15" ht="12.95" customHeight="1" x14ac:dyDescent="0.25">
      <c r="A567" s="132" t="s">
        <v>218</v>
      </c>
      <c r="B567" s="563">
        <f>+GETPIVOTDATA(" New Prof avg",'Averages Pivot Table'!$A$3,"State","VA","Category",13,"Category2","Technical")</f>
        <v>0</v>
      </c>
      <c r="C567" s="118">
        <f t="shared" si="84"/>
        <v>0</v>
      </c>
      <c r="D567" s="563">
        <f>+GETPIVOTDATA(" New Asc. avg",'Averages Pivot Table'!$A$3,"State","VA","Category",13,"Category2","Technical")</f>
        <v>0</v>
      </c>
      <c r="E567" s="118">
        <f t="shared" si="84"/>
        <v>0</v>
      </c>
      <c r="F567" s="563">
        <f>+GETPIVOTDATA(" New Ast. avg",'Averages Pivot Table'!$A$3,"State","VA","Category",13,"Category2","Technical")</f>
        <v>0</v>
      </c>
      <c r="G567" s="118">
        <f t="shared" si="79"/>
        <v>0</v>
      </c>
      <c r="H567" s="563">
        <f>+GETPIVOTDATA(" New Inst. avg",'Averages Pivot Table'!$A$3,"State","VA","Category",13,"Category2","Technical")</f>
        <v>0</v>
      </c>
      <c r="I567" s="118">
        <f t="shared" si="80"/>
        <v>0</v>
      </c>
      <c r="J567" s="563">
        <f>+GETPIVOTDATA(" New Undesg. avg",'Averages Pivot Table'!$A$3,"State","VA","Category",13,"Category2","Technical")</f>
        <v>0</v>
      </c>
      <c r="K567" s="118">
        <f t="shared" si="81"/>
        <v>0</v>
      </c>
      <c r="L567" s="563">
        <f>+GETPIVOTDATA(" New Single Rnk avg",'Averages Pivot Table'!$A$3,"State","VA","Category",13,"Category2","Technical")</f>
        <v>0</v>
      </c>
      <c r="M567" s="118">
        <f t="shared" si="82"/>
        <v>0</v>
      </c>
      <c r="N567" s="126">
        <f>+GETPIVOTDATA(" New All Ranks avg",'Averages Pivot Table'!$A$3,"State","VA","Category",13,"Category2","Technical")</f>
        <v>0</v>
      </c>
      <c r="O567" s="118">
        <f t="shared" si="83"/>
        <v>0</v>
      </c>
    </row>
    <row r="568" spans="1:15" ht="12.95" customHeight="1" x14ac:dyDescent="0.25">
      <c r="A568" s="6" t="s">
        <v>219</v>
      </c>
      <c r="B568" s="566">
        <f>+GETPIVOTDATA(" New Prof avg",'Averages Pivot Table'!$A$3,"State","WV","Category",13,"Category2","Technical")</f>
        <v>0</v>
      </c>
      <c r="C568" s="119">
        <f t="shared" si="84"/>
        <v>0</v>
      </c>
      <c r="D568" s="566">
        <f>+GETPIVOTDATA(" New Asc. avg",'Averages Pivot Table'!$A$3,"State","WV","Category",13,"Category2","Technical")</f>
        <v>0</v>
      </c>
      <c r="E568" s="119">
        <f t="shared" si="84"/>
        <v>0</v>
      </c>
      <c r="F568" s="566">
        <f>+GETPIVOTDATA(" New Ast. avg",'Averages Pivot Table'!$A$3,"State","WV","Category",13,"Category2","Technical")</f>
        <v>0</v>
      </c>
      <c r="G568" s="119">
        <f t="shared" si="79"/>
        <v>0</v>
      </c>
      <c r="H568" s="566">
        <f>+GETPIVOTDATA(" New Inst. avg",'Averages Pivot Table'!$A$3,"State","WV","Category",13,"Category2","Technical")</f>
        <v>0</v>
      </c>
      <c r="I568" s="119">
        <f t="shared" si="80"/>
        <v>0</v>
      </c>
      <c r="J568" s="566">
        <f>+GETPIVOTDATA(" New Undesg. avg",'Averages Pivot Table'!$A$3,"State","WV","Category",13,"Category2","Technical")</f>
        <v>0</v>
      </c>
      <c r="K568" s="119">
        <f t="shared" si="81"/>
        <v>0</v>
      </c>
      <c r="L568" s="566">
        <f>+GETPIVOTDATA(" New Single Rnk avg",'Averages Pivot Table'!$A$3,"State","WV","Category",13,"Category2","Technical")</f>
        <v>0</v>
      </c>
      <c r="M568" s="119">
        <f t="shared" si="82"/>
        <v>0</v>
      </c>
      <c r="N568" s="566">
        <f>+GETPIVOTDATA(" New All Ranks avg",'Averages Pivot Table'!$A$3,"State","WV","Category",13,"Category2","Technical")</f>
        <v>0</v>
      </c>
      <c r="O568" s="119">
        <f t="shared" si="83"/>
        <v>0</v>
      </c>
    </row>
    <row r="569" spans="1:15" ht="30" customHeight="1" x14ac:dyDescent="0.25">
      <c r="A569" s="670" t="s">
        <v>91</v>
      </c>
      <c r="B569" s="670"/>
      <c r="C569" s="670"/>
      <c r="D569" s="670"/>
      <c r="E569" s="670"/>
      <c r="F569" s="670"/>
      <c r="G569" s="670"/>
      <c r="H569" s="670"/>
      <c r="I569" s="670"/>
      <c r="J569" s="670"/>
      <c r="K569" s="670"/>
      <c r="L569" s="670"/>
      <c r="M569" s="670"/>
      <c r="N569" s="670"/>
      <c r="O569" s="670"/>
    </row>
    <row r="570" spans="1:15" x14ac:dyDescent="0.25">
      <c r="O570" s="157" t="s">
        <v>1083</v>
      </c>
    </row>
    <row r="571" spans="1:15" ht="18" x14ac:dyDescent="0.25">
      <c r="A571" s="671" t="s">
        <v>1084</v>
      </c>
      <c r="B571" s="671"/>
      <c r="C571" s="671"/>
      <c r="D571" s="671"/>
      <c r="E571" s="671"/>
      <c r="F571" s="671"/>
      <c r="G571" s="671"/>
      <c r="H571" s="671"/>
      <c r="I571" s="671"/>
      <c r="J571" s="671"/>
      <c r="K571" s="671"/>
      <c r="L571" s="671"/>
      <c r="M571" s="671"/>
      <c r="N571" s="671"/>
      <c r="O571" s="671"/>
    </row>
    <row r="572" spans="1:15" x14ac:dyDescent="0.25">
      <c r="A572" s="588"/>
      <c r="B572" s="93"/>
      <c r="C572" s="93"/>
      <c r="D572" s="93"/>
      <c r="E572" s="93"/>
      <c r="F572" s="93"/>
      <c r="G572" s="93"/>
      <c r="H572" s="93"/>
      <c r="I572" s="93"/>
      <c r="J572" s="93"/>
      <c r="K572" s="93"/>
      <c r="L572" s="93"/>
      <c r="M572" s="93"/>
      <c r="N572" s="93"/>
      <c r="O572" s="93"/>
    </row>
    <row r="573" spans="1:15" x14ac:dyDescent="0.25">
      <c r="A573" s="665" t="s">
        <v>220</v>
      </c>
      <c r="B573" s="665"/>
      <c r="C573" s="665"/>
      <c r="D573" s="665"/>
      <c r="E573" s="665"/>
      <c r="F573" s="665"/>
      <c r="G573" s="665"/>
      <c r="H573" s="665"/>
      <c r="I573" s="665"/>
      <c r="J573" s="665"/>
      <c r="K573" s="665"/>
      <c r="L573" s="665"/>
      <c r="M573" s="665"/>
      <c r="N573" s="665"/>
      <c r="O573" s="665"/>
    </row>
    <row r="574" spans="1:15" x14ac:dyDescent="0.25">
      <c r="A574" s="665" t="s">
        <v>1054</v>
      </c>
      <c r="B574" s="665"/>
      <c r="C574" s="665"/>
      <c r="D574" s="665"/>
      <c r="E574" s="665"/>
      <c r="F574" s="665"/>
      <c r="G574" s="665"/>
      <c r="H574" s="665"/>
      <c r="I574" s="665"/>
      <c r="J574" s="665"/>
      <c r="K574" s="665"/>
      <c r="L574" s="665"/>
      <c r="M574" s="665"/>
      <c r="N574" s="665"/>
      <c r="O574" s="665"/>
    </row>
    <row r="575" spans="1:15" x14ac:dyDescent="0.25">
      <c r="A575" s="132"/>
      <c r="B575" s="93"/>
      <c r="C575" s="93"/>
      <c r="D575" s="93"/>
      <c r="E575" s="93"/>
      <c r="F575" s="93"/>
      <c r="G575" s="93"/>
      <c r="H575" s="93"/>
      <c r="I575" s="93"/>
      <c r="J575" s="93"/>
      <c r="K575" s="93"/>
      <c r="L575" s="93"/>
      <c r="M575" s="93"/>
      <c r="N575" s="93"/>
      <c r="O575" s="93"/>
    </row>
    <row r="576" spans="1:15" ht="33" customHeight="1" x14ac:dyDescent="0.25">
      <c r="A576" s="547"/>
      <c r="B576" s="589" t="s">
        <v>99</v>
      </c>
      <c r="C576" s="142"/>
      <c r="D576" s="590" t="s">
        <v>100</v>
      </c>
      <c r="E576" s="591"/>
      <c r="F576" s="590" t="s">
        <v>101</v>
      </c>
      <c r="G576" s="591"/>
      <c r="H576" s="589" t="s">
        <v>102</v>
      </c>
      <c r="I576" s="142"/>
      <c r="J576" s="590" t="s">
        <v>226</v>
      </c>
      <c r="K576" s="591"/>
      <c r="L576" s="142" t="s">
        <v>82</v>
      </c>
      <c r="M576" s="142"/>
      <c r="N576" s="142" t="s">
        <v>84</v>
      </c>
      <c r="O576" s="142"/>
    </row>
    <row r="577" spans="1:19" x14ac:dyDescent="0.25">
      <c r="A577" s="597"/>
      <c r="B577" s="115" t="s">
        <v>103</v>
      </c>
      <c r="C577" s="143" t="s">
        <v>193</v>
      </c>
      <c r="D577" s="115" t="s">
        <v>103</v>
      </c>
      <c r="E577" s="143" t="s">
        <v>193</v>
      </c>
      <c r="F577" s="115" t="s">
        <v>103</v>
      </c>
      <c r="G577" s="143" t="s">
        <v>193</v>
      </c>
      <c r="H577" s="115" t="s">
        <v>103</v>
      </c>
      <c r="I577" s="143" t="s">
        <v>193</v>
      </c>
      <c r="J577" s="115" t="s">
        <v>103</v>
      </c>
      <c r="K577" s="143" t="s">
        <v>193</v>
      </c>
      <c r="L577" s="115" t="s">
        <v>103</v>
      </c>
      <c r="M577" s="143" t="s">
        <v>193</v>
      </c>
      <c r="N577" s="115" t="s">
        <v>103</v>
      </c>
      <c r="O577" s="143" t="s">
        <v>193</v>
      </c>
    </row>
    <row r="578" spans="1:19" s="556" customFormat="1" ht="18" customHeight="1" x14ac:dyDescent="0.25">
      <c r="A578" s="554" t="s">
        <v>222</v>
      </c>
      <c r="B578" s="146"/>
      <c r="C578" s="146"/>
      <c r="D578" s="146"/>
      <c r="E578" s="146"/>
      <c r="F578" s="146"/>
      <c r="G578" s="146"/>
      <c r="H578" s="146"/>
      <c r="I578" s="146"/>
      <c r="J578" s="146"/>
      <c r="K578" s="146"/>
      <c r="L578" s="146"/>
      <c r="M578" s="146"/>
      <c r="N578" s="146"/>
      <c r="O578" s="133"/>
      <c r="Q578" s="558"/>
      <c r="R578" s="558"/>
      <c r="S578" s="558"/>
    </row>
    <row r="579" spans="1:19" ht="12.95" customHeight="1" x14ac:dyDescent="0.25">
      <c r="A579" s="132"/>
      <c r="B579" s="123"/>
      <c r="C579" s="150"/>
      <c r="D579" s="123"/>
      <c r="E579" s="150"/>
      <c r="F579" s="123"/>
      <c r="G579" s="150"/>
      <c r="H579" s="123"/>
      <c r="I579" s="150"/>
      <c r="J579" s="123"/>
      <c r="K579" s="150"/>
      <c r="L579" s="123"/>
      <c r="M579" s="150"/>
      <c r="N579" s="123"/>
      <c r="O579" s="134"/>
    </row>
    <row r="580" spans="1:19" ht="12.95" customHeight="1" x14ac:dyDescent="0.25">
      <c r="A580" s="132" t="s">
        <v>205</v>
      </c>
      <c r="B580" s="126"/>
      <c r="C580" s="118"/>
      <c r="D580" s="126"/>
      <c r="E580" s="118"/>
      <c r="F580" s="126"/>
      <c r="G580" s="118"/>
      <c r="H580" s="126"/>
      <c r="I580" s="118"/>
      <c r="J580" s="126"/>
      <c r="K580" s="118"/>
      <c r="L580" s="126"/>
      <c r="M580" s="118"/>
      <c r="N580" s="126"/>
      <c r="O580" s="118"/>
    </row>
    <row r="581" spans="1:19" ht="12.95" customHeight="1" x14ac:dyDescent="0.25">
      <c r="A581" s="132" t="s">
        <v>206</v>
      </c>
      <c r="B581" s="126"/>
      <c r="C581" s="118"/>
      <c r="D581" s="126"/>
      <c r="E581" s="118"/>
      <c r="F581" s="126"/>
      <c r="G581" s="118"/>
      <c r="H581" s="126"/>
      <c r="I581" s="118"/>
      <c r="J581" s="126"/>
      <c r="K581" s="118"/>
      <c r="L581" s="126"/>
      <c r="M581" s="118"/>
      <c r="N581" s="126"/>
      <c r="O581" s="118"/>
    </row>
    <row r="582" spans="1:19" ht="12.95" customHeight="1" x14ac:dyDescent="0.25">
      <c r="A582" s="132" t="s">
        <v>221</v>
      </c>
      <c r="B582" s="126"/>
      <c r="C582" s="118"/>
      <c r="D582" s="126"/>
      <c r="E582" s="118"/>
      <c r="F582" s="126"/>
      <c r="G582" s="118"/>
      <c r="H582" s="126"/>
      <c r="I582" s="118"/>
      <c r="J582" s="126"/>
      <c r="K582" s="118"/>
      <c r="L582" s="126"/>
      <c r="M582" s="118"/>
      <c r="N582" s="126"/>
      <c r="O582" s="118"/>
    </row>
    <row r="583" spans="1:19" ht="12.95" customHeight="1" x14ac:dyDescent="0.25">
      <c r="A583" s="132" t="s">
        <v>207</v>
      </c>
      <c r="B583" s="126"/>
      <c r="C583" s="118"/>
      <c r="D583" s="126"/>
      <c r="E583" s="118"/>
      <c r="F583" s="126"/>
      <c r="G583" s="118"/>
      <c r="H583" s="126"/>
      <c r="I583" s="118"/>
      <c r="J583" s="126"/>
      <c r="K583" s="118"/>
      <c r="L583" s="126"/>
      <c r="M583" s="118"/>
      <c r="N583" s="126"/>
      <c r="O583" s="118"/>
    </row>
    <row r="584" spans="1:19" ht="12.95" customHeight="1" x14ac:dyDescent="0.25">
      <c r="A584" s="132"/>
      <c r="B584" s="126"/>
      <c r="C584" s="118"/>
      <c r="D584" s="126"/>
      <c r="E584" s="118"/>
      <c r="F584" s="126"/>
      <c r="G584" s="118"/>
      <c r="H584" s="126"/>
      <c r="I584" s="118"/>
      <c r="J584" s="126"/>
      <c r="K584" s="118"/>
      <c r="L584" s="126"/>
      <c r="M584" s="118"/>
      <c r="N584" s="126"/>
      <c r="O584" s="118"/>
    </row>
    <row r="585" spans="1:19" ht="12.95" customHeight="1" x14ac:dyDescent="0.25">
      <c r="A585" s="132" t="s">
        <v>208</v>
      </c>
      <c r="B585" s="126"/>
      <c r="C585" s="118"/>
      <c r="D585" s="126"/>
      <c r="E585" s="118"/>
      <c r="F585" s="126"/>
      <c r="G585" s="118"/>
      <c r="H585" s="126"/>
      <c r="I585" s="118"/>
      <c r="J585" s="126"/>
      <c r="K585" s="118"/>
      <c r="L585" s="126"/>
      <c r="M585" s="118"/>
      <c r="N585" s="126"/>
      <c r="O585" s="118"/>
    </row>
    <row r="586" spans="1:19" ht="12.95" customHeight="1" x14ac:dyDescent="0.25">
      <c r="A586" s="132" t="s">
        <v>209</v>
      </c>
      <c r="B586" s="126"/>
      <c r="C586" s="118"/>
      <c r="D586" s="126"/>
      <c r="E586" s="118"/>
      <c r="F586" s="126"/>
      <c r="G586" s="118"/>
      <c r="H586" s="126"/>
      <c r="I586" s="118"/>
      <c r="J586" s="126"/>
      <c r="K586" s="118"/>
      <c r="L586" s="126"/>
      <c r="M586" s="118"/>
      <c r="N586" s="126"/>
      <c r="O586" s="118"/>
    </row>
    <row r="587" spans="1:19" ht="12.95" customHeight="1" x14ac:dyDescent="0.25">
      <c r="A587" s="132" t="s">
        <v>210</v>
      </c>
      <c r="B587" s="126"/>
      <c r="C587" s="118"/>
      <c r="D587" s="126"/>
      <c r="E587" s="118"/>
      <c r="F587" s="126"/>
      <c r="G587" s="118"/>
      <c r="H587" s="126"/>
      <c r="I587" s="118"/>
      <c r="J587" s="126"/>
      <c r="K587" s="118"/>
      <c r="L587" s="126"/>
      <c r="M587" s="118"/>
      <c r="N587" s="126"/>
      <c r="O587" s="118"/>
    </row>
    <row r="588" spans="1:19" ht="12.95" customHeight="1" x14ac:dyDescent="0.25">
      <c r="A588" s="132" t="s">
        <v>211</v>
      </c>
      <c r="B588" s="126"/>
      <c r="C588" s="118"/>
      <c r="D588" s="126"/>
      <c r="E588" s="118"/>
      <c r="F588" s="126"/>
      <c r="G588" s="118"/>
      <c r="H588" s="126"/>
      <c r="I588" s="118"/>
      <c r="J588" s="126"/>
      <c r="K588" s="118"/>
      <c r="L588" s="126"/>
      <c r="M588" s="118"/>
      <c r="N588" s="126"/>
      <c r="O588" s="118"/>
    </row>
    <row r="589" spans="1:19" ht="12.95" customHeight="1" x14ac:dyDescent="0.25">
      <c r="A589" s="132"/>
      <c r="B589" s="126"/>
      <c r="C589" s="118"/>
      <c r="D589" s="126"/>
      <c r="E589" s="118"/>
      <c r="F589" s="126"/>
      <c r="G589" s="118"/>
      <c r="H589" s="126"/>
      <c r="I589" s="118"/>
      <c r="J589" s="126"/>
      <c r="K589" s="118"/>
      <c r="L589" s="126"/>
      <c r="M589" s="118"/>
      <c r="N589" s="126"/>
      <c r="O589" s="118"/>
    </row>
    <row r="590" spans="1:19" ht="12.95" customHeight="1" x14ac:dyDescent="0.25">
      <c r="A590" s="132" t="s">
        <v>212</v>
      </c>
      <c r="B590" s="126"/>
      <c r="C590" s="118"/>
      <c r="D590" s="126"/>
      <c r="E590" s="118"/>
      <c r="F590" s="126"/>
      <c r="G590" s="118"/>
      <c r="H590" s="126"/>
      <c r="I590" s="118"/>
      <c r="J590" s="126"/>
      <c r="K590" s="118"/>
      <c r="L590" s="126"/>
      <c r="M590" s="118"/>
      <c r="N590" s="126"/>
      <c r="O590" s="118"/>
    </row>
    <row r="591" spans="1:19" ht="12.95" customHeight="1" x14ac:dyDescent="0.25">
      <c r="A591" s="132" t="s">
        <v>213</v>
      </c>
      <c r="B591" s="126"/>
      <c r="C591" s="118"/>
      <c r="D591" s="126"/>
      <c r="E591" s="118"/>
      <c r="F591" s="126"/>
      <c r="G591" s="118"/>
      <c r="H591" s="126"/>
      <c r="I591" s="118"/>
      <c r="J591" s="126"/>
      <c r="K591" s="118"/>
      <c r="L591" s="126"/>
      <c r="M591" s="118"/>
      <c r="N591" s="126"/>
      <c r="O591" s="118"/>
    </row>
    <row r="592" spans="1:19" ht="12.95" customHeight="1" x14ac:dyDescent="0.25">
      <c r="A592" s="132" t="s">
        <v>214</v>
      </c>
      <c r="B592" s="126"/>
      <c r="C592" s="118"/>
      <c r="D592" s="126"/>
      <c r="E592" s="118"/>
      <c r="F592" s="126"/>
      <c r="G592" s="118"/>
      <c r="H592" s="126"/>
      <c r="I592" s="118"/>
      <c r="J592" s="126"/>
      <c r="K592" s="118"/>
      <c r="L592" s="126"/>
      <c r="M592" s="118"/>
      <c r="N592" s="126"/>
      <c r="O592" s="118"/>
    </row>
    <row r="593" spans="1:16" ht="12.95" customHeight="1" x14ac:dyDescent="0.25">
      <c r="A593" s="132" t="s">
        <v>215</v>
      </c>
      <c r="B593" s="126"/>
      <c r="C593" s="118"/>
      <c r="D593" s="126"/>
      <c r="E593" s="118"/>
      <c r="F593" s="126"/>
      <c r="G593" s="118"/>
      <c r="H593" s="126"/>
      <c r="I593" s="118"/>
      <c r="J593" s="126"/>
      <c r="K593" s="118"/>
      <c r="L593" s="126"/>
      <c r="M593" s="118"/>
      <c r="N593" s="126"/>
      <c r="O593" s="118"/>
    </row>
    <row r="594" spans="1:16" ht="12.95" customHeight="1" x14ac:dyDescent="0.25">
      <c r="A594" s="132"/>
      <c r="B594" s="126"/>
      <c r="C594" s="118"/>
      <c r="D594" s="126"/>
      <c r="E594" s="118"/>
      <c r="F594" s="126"/>
      <c r="G594" s="118"/>
      <c r="H594" s="126"/>
      <c r="I594" s="118"/>
      <c r="J594" s="126"/>
      <c r="K594" s="118"/>
      <c r="L594" s="126"/>
      <c r="M594" s="118"/>
      <c r="N594" s="126"/>
      <c r="O594" s="118"/>
    </row>
    <row r="595" spans="1:16" ht="12.95" customHeight="1" x14ac:dyDescent="0.25">
      <c r="A595" s="132" t="s">
        <v>216</v>
      </c>
      <c r="B595" s="563"/>
      <c r="C595" s="118"/>
      <c r="D595" s="563"/>
      <c r="E595" s="118"/>
      <c r="F595" s="563"/>
      <c r="G595" s="118"/>
      <c r="H595" s="563"/>
      <c r="I595" s="118"/>
      <c r="J595" s="563"/>
      <c r="K595" s="118"/>
      <c r="L595" s="563"/>
      <c r="M595" s="118"/>
      <c r="N595" s="126"/>
      <c r="O595" s="118"/>
    </row>
    <row r="596" spans="1:16" ht="12.95" customHeight="1" x14ac:dyDescent="0.25">
      <c r="A596" s="132" t="s">
        <v>217</v>
      </c>
      <c r="B596" s="563"/>
      <c r="C596" s="118"/>
      <c r="D596" s="563"/>
      <c r="E596" s="118"/>
      <c r="F596" s="563"/>
      <c r="G596" s="118"/>
      <c r="H596" s="563"/>
      <c r="I596" s="118"/>
      <c r="J596" s="563"/>
      <c r="K596" s="118"/>
      <c r="L596" s="563"/>
      <c r="M596" s="118"/>
      <c r="N596" s="126"/>
      <c r="O596" s="118"/>
    </row>
    <row r="597" spans="1:16" ht="12.95" customHeight="1" x14ac:dyDescent="0.25">
      <c r="A597" s="132" t="s">
        <v>218</v>
      </c>
      <c r="B597" s="563"/>
      <c r="C597" s="118"/>
      <c r="D597" s="563"/>
      <c r="E597" s="118"/>
      <c r="F597" s="563"/>
      <c r="G597" s="118"/>
      <c r="H597" s="563"/>
      <c r="I597" s="118"/>
      <c r="J597" s="563"/>
      <c r="K597" s="118"/>
      <c r="L597" s="563"/>
      <c r="M597" s="118"/>
      <c r="N597" s="126"/>
      <c r="O597" s="118"/>
    </row>
    <row r="598" spans="1:16" ht="12.95" customHeight="1" x14ac:dyDescent="0.25">
      <c r="A598" s="6" t="s">
        <v>219</v>
      </c>
      <c r="B598" s="566"/>
      <c r="C598" s="119"/>
      <c r="D598" s="566"/>
      <c r="E598" s="119"/>
      <c r="F598" s="566"/>
      <c r="G598" s="119"/>
      <c r="H598" s="566"/>
      <c r="I598" s="119"/>
      <c r="J598" s="566"/>
      <c r="K598" s="119"/>
      <c r="L598" s="566"/>
      <c r="M598" s="119"/>
      <c r="N598" s="566"/>
      <c r="O598" s="119"/>
    </row>
    <row r="599" spans="1:16" ht="30" customHeight="1" x14ac:dyDescent="0.25">
      <c r="A599" s="668" t="s">
        <v>92</v>
      </c>
      <c r="B599" s="669"/>
      <c r="C599" s="669"/>
      <c r="D599" s="669"/>
      <c r="E599" s="669"/>
      <c r="F599" s="669"/>
      <c r="G599" s="669"/>
      <c r="H599" s="669"/>
      <c r="I599" s="669"/>
      <c r="J599" s="669"/>
      <c r="K599" s="669"/>
      <c r="L599" s="669"/>
      <c r="M599" s="669"/>
      <c r="N599" s="669"/>
      <c r="O599" s="669"/>
    </row>
    <row r="600" spans="1:16" x14ac:dyDescent="0.25">
      <c r="O600" s="157"/>
      <c r="P600" s="598"/>
    </row>
  </sheetData>
  <mergeCells count="60">
    <mergeCell ref="A239:M239"/>
    <mergeCell ref="A153:M153"/>
    <mergeCell ref="A154:M154"/>
    <mergeCell ref="A213:M213"/>
    <mergeCell ref="A214:M214"/>
    <mergeCell ref="A183:M183"/>
    <mergeCell ref="A184:M184"/>
    <mergeCell ref="A179:M179"/>
    <mergeCell ref="A209:M209"/>
    <mergeCell ref="A29:O29"/>
    <mergeCell ref="A89:I89"/>
    <mergeCell ref="A119:M119"/>
    <mergeCell ref="A149:M149"/>
    <mergeCell ref="A124:M124"/>
    <mergeCell ref="A91:M91"/>
    <mergeCell ref="A33:M33"/>
    <mergeCell ref="A34:M34"/>
    <mergeCell ref="A59:K59"/>
    <mergeCell ref="A93:M93"/>
    <mergeCell ref="A94:M94"/>
    <mergeCell ref="A63:I63"/>
    <mergeCell ref="A64:I64"/>
    <mergeCell ref="A123:M123"/>
    <mergeCell ref="A243:M243"/>
    <mergeCell ref="A244:M244"/>
    <mergeCell ref="A269:M269"/>
    <mergeCell ref="A364:O364"/>
    <mergeCell ref="A273:M273"/>
    <mergeCell ref="A333:O333"/>
    <mergeCell ref="A274:M274"/>
    <mergeCell ref="A299:M299"/>
    <mergeCell ref="A303:O303"/>
    <mergeCell ref="A304:O304"/>
    <mergeCell ref="A329:O329"/>
    <mergeCell ref="A394:O394"/>
    <mergeCell ref="A423:O423"/>
    <mergeCell ref="A424:O424"/>
    <mergeCell ref="A419:O419"/>
    <mergeCell ref="A449:O449"/>
    <mergeCell ref="A393:O393"/>
    <mergeCell ref="A389:O389"/>
    <mergeCell ref="A334:O334"/>
    <mergeCell ref="A359:O359"/>
    <mergeCell ref="A363:O363"/>
    <mergeCell ref="A574:O574"/>
    <mergeCell ref="A599:O599"/>
    <mergeCell ref="A453:O453"/>
    <mergeCell ref="A454:O454"/>
    <mergeCell ref="A479:O479"/>
    <mergeCell ref="A543:O543"/>
    <mergeCell ref="A544:O544"/>
    <mergeCell ref="A569:O569"/>
    <mergeCell ref="A573:O573"/>
    <mergeCell ref="A571:O571"/>
    <mergeCell ref="A513:O513"/>
    <mergeCell ref="A514:O514"/>
    <mergeCell ref="A539:O539"/>
    <mergeCell ref="A509:O509"/>
    <mergeCell ref="A483:O483"/>
    <mergeCell ref="A484:O484"/>
  </mergeCells>
  <phoneticPr fontId="21" type="noConversion"/>
  <pageMargins left="0.5" right="0.41708333333333331" top="1" bottom="0.75" header="0.75" footer="0.5"/>
  <pageSetup scale="91" firstPageNumber="177" orientation="landscape" useFirstPageNumber="1" r:id="rId1"/>
  <headerFooter alignWithMargins="0">
    <oddHeader>&amp;R&amp;"Arial,Regular"&amp;8SREB-State Data Exchange</oddHeader>
    <oddFooter>&amp;C&amp;"ARIAL,Regular"&amp;10&amp;P</oddFooter>
  </headerFooter>
  <rowBreaks count="19" manualBreakCount="19">
    <brk id="30" max="16383" man="1"/>
    <brk id="60" max="16383" man="1"/>
    <brk id="90" max="16383" man="1"/>
    <brk id="120" max="16383" man="1"/>
    <brk id="150" max="16383" man="1"/>
    <brk id="180" max="16383" man="1"/>
    <brk id="210" max="16383" man="1"/>
    <brk id="240" max="16383" man="1"/>
    <brk id="270" max="16383" man="1"/>
    <brk id="300" max="16383" man="1"/>
    <brk id="330" max="16383" man="1"/>
    <brk id="360" max="16383" man="1"/>
    <brk id="390" max="16383" man="1"/>
    <brk id="420" max="16383" man="1"/>
    <brk id="450" max="14" man="1"/>
    <brk id="480" max="16383" man="1"/>
    <brk id="510" max="16383" man="1"/>
    <brk id="540" max="16383" man="1"/>
    <brk id="570"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5" tint="0.59999389629810485"/>
  </sheetPr>
  <dimension ref="A1:S600"/>
  <sheetViews>
    <sheetView showGridLines="0" showZeros="0" view="pageLayout" topLeftCell="A565" zoomScaleNormal="75" zoomScaleSheetLayoutView="90" workbookViewId="0">
      <selection activeCell="A574" sqref="A574:O574"/>
    </sheetView>
  </sheetViews>
  <sheetFormatPr defaultColWidth="9" defaultRowHeight="15.75" x14ac:dyDescent="0.25"/>
  <cols>
    <col min="1" max="1" width="11.625" style="114" customWidth="1"/>
    <col min="2" max="2" width="8" style="114" customWidth="1"/>
    <col min="3" max="3" width="6.25" style="114" customWidth="1"/>
    <col min="4" max="4" width="8.25" style="114" customWidth="1"/>
    <col min="5" max="5" width="7.625" style="114" customWidth="1"/>
    <col min="6" max="6" width="8.5" style="114" customWidth="1"/>
    <col min="7" max="7" width="7.625" style="114" customWidth="1"/>
    <col min="8" max="8" width="8.25" style="114" customWidth="1"/>
    <col min="9" max="9" width="7.625" style="114" customWidth="1"/>
    <col min="10" max="10" width="8.5" style="114" customWidth="1"/>
    <col min="11" max="11" width="7.625" style="114" customWidth="1"/>
    <col min="12" max="12" width="8.5" style="114" customWidth="1"/>
    <col min="13" max="13" width="5.625" style="114" customWidth="1"/>
    <col min="14" max="15" width="7.625" style="114" customWidth="1"/>
    <col min="16" max="16" width="5" style="114" customWidth="1"/>
    <col min="17" max="17" width="9.25" style="147" bestFit="1" customWidth="1"/>
    <col min="18" max="19" width="8.875" style="147" customWidth="1"/>
    <col min="20" max="16384" width="9" style="114"/>
  </cols>
  <sheetData>
    <row r="1" spans="1:19" ht="18" x14ac:dyDescent="0.25">
      <c r="A1" s="544" t="s">
        <v>259</v>
      </c>
      <c r="B1" s="544"/>
      <c r="C1" s="544"/>
      <c r="D1" s="544"/>
      <c r="E1" s="544"/>
      <c r="F1" s="544"/>
      <c r="G1" s="544"/>
      <c r="H1" s="544"/>
      <c r="I1" s="544"/>
      <c r="J1" s="544"/>
      <c r="K1" s="544"/>
      <c r="L1" s="544"/>
      <c r="M1" s="544"/>
      <c r="N1" s="113"/>
      <c r="O1" s="113"/>
    </row>
    <row r="2" spans="1:19" ht="15.75" customHeight="1" x14ac:dyDescent="0.25">
      <c r="A2" s="544"/>
      <c r="B2" s="93"/>
      <c r="C2" s="93"/>
      <c r="D2" s="93"/>
      <c r="E2" s="93"/>
      <c r="F2" s="93"/>
      <c r="G2" s="93"/>
      <c r="H2" s="93"/>
      <c r="I2" s="93"/>
      <c r="J2" s="93"/>
      <c r="K2" s="93"/>
      <c r="L2" s="93" t="s">
        <v>223</v>
      </c>
      <c r="M2" s="93"/>
    </row>
    <row r="3" spans="1:19" x14ac:dyDescent="0.25">
      <c r="A3" s="545" t="s">
        <v>204</v>
      </c>
      <c r="B3" s="93"/>
      <c r="C3" s="93"/>
      <c r="D3" s="93"/>
      <c r="E3" s="93"/>
      <c r="F3" s="93"/>
      <c r="G3" s="93"/>
      <c r="H3" s="93"/>
      <c r="I3" s="93"/>
      <c r="J3" s="93"/>
      <c r="K3" s="93"/>
      <c r="L3" s="93"/>
      <c r="M3" s="93"/>
      <c r="N3" s="113"/>
      <c r="O3" s="113"/>
    </row>
    <row r="4" spans="1:19" x14ac:dyDescent="0.25">
      <c r="A4" s="545" t="s">
        <v>318</v>
      </c>
      <c r="B4" s="93"/>
      <c r="C4" s="93"/>
      <c r="D4" s="93"/>
      <c r="E4" s="93"/>
      <c r="F4" s="93"/>
      <c r="G4" s="93"/>
      <c r="H4" s="93"/>
      <c r="I4" s="93"/>
      <c r="J4" s="93"/>
      <c r="K4" s="93"/>
      <c r="L4" s="93"/>
      <c r="M4" s="93"/>
      <c r="N4" s="113"/>
      <c r="O4" s="113"/>
    </row>
    <row r="5" spans="1:19" ht="15.75" customHeight="1" x14ac:dyDescent="0.25">
      <c r="A5" s="93"/>
      <c r="B5" s="546"/>
      <c r="C5" s="93"/>
      <c r="D5" s="93"/>
      <c r="E5" s="93"/>
      <c r="F5" s="93"/>
      <c r="G5" s="93"/>
      <c r="H5" s="93"/>
      <c r="I5" s="93"/>
      <c r="J5" s="93"/>
      <c r="K5" s="93"/>
      <c r="L5" s="93"/>
      <c r="M5" s="93"/>
    </row>
    <row r="6" spans="1:19" x14ac:dyDescent="0.25">
      <c r="A6" s="547"/>
      <c r="B6" s="143">
        <v>1</v>
      </c>
      <c r="C6" s="115"/>
      <c r="D6" s="143">
        <v>2</v>
      </c>
      <c r="E6" s="115"/>
      <c r="F6" s="143">
        <v>3</v>
      </c>
      <c r="G6" s="115"/>
      <c r="H6" s="143">
        <v>4</v>
      </c>
      <c r="I6" s="115"/>
      <c r="J6" s="143">
        <v>5</v>
      </c>
      <c r="K6" s="115"/>
      <c r="L6" s="143">
        <v>6</v>
      </c>
      <c r="M6" s="115"/>
      <c r="N6" s="548" t="s">
        <v>201</v>
      </c>
      <c r="O6" s="115"/>
      <c r="Q6" s="549"/>
      <c r="S6" s="550"/>
    </row>
    <row r="7" spans="1:19" x14ac:dyDescent="0.25">
      <c r="A7" s="551"/>
      <c r="B7" s="552" t="s">
        <v>103</v>
      </c>
      <c r="C7" s="116" t="s">
        <v>193</v>
      </c>
      <c r="D7" s="552" t="s">
        <v>103</v>
      </c>
      <c r="E7" s="116" t="s">
        <v>193</v>
      </c>
      <c r="F7" s="552" t="s">
        <v>103</v>
      </c>
      <c r="G7" s="116" t="s">
        <v>193</v>
      </c>
      <c r="H7" s="552" t="s">
        <v>103</v>
      </c>
      <c r="I7" s="116" t="s">
        <v>193</v>
      </c>
      <c r="J7" s="552" t="s">
        <v>103</v>
      </c>
      <c r="K7" s="116" t="s">
        <v>193</v>
      </c>
      <c r="L7" s="552" t="s">
        <v>103</v>
      </c>
      <c r="M7" s="116" t="s">
        <v>193</v>
      </c>
      <c r="N7" s="553" t="s">
        <v>103</v>
      </c>
      <c r="O7" s="116" t="s">
        <v>193</v>
      </c>
      <c r="Q7" s="549"/>
    </row>
    <row r="8" spans="1:19" s="556" customFormat="1" ht="18" customHeight="1" x14ac:dyDescent="0.25">
      <c r="A8" s="554" t="s">
        <v>222</v>
      </c>
      <c r="B8" s="144">
        <f>+GETPIVOTDATA(" Old All Ranks avg",'Averages Pivot Table'!$A$3,"Category",1,"Category2","Four-Year")</f>
        <v>86344.785370794707</v>
      </c>
      <c r="C8" s="144"/>
      <c r="D8" s="144">
        <f>+GETPIVOTDATA(" Old All Ranks avg",'Averages Pivot Table'!$A$3,"Category",2,"Category2","Four-Year")</f>
        <v>77611.723464561204</v>
      </c>
      <c r="E8" s="144"/>
      <c r="F8" s="144">
        <f>+GETPIVOTDATA(" Old All Ranks avg",'Averages Pivot Table'!$A$3,"Category",3,"Category2","Four-Year")</f>
        <v>65262.438080962056</v>
      </c>
      <c r="G8" s="144"/>
      <c r="H8" s="144">
        <f>+GETPIVOTDATA(" Old All Ranks avg",'Averages Pivot Table'!$A$3,"Category",4,"Category2","Four-Year")</f>
        <v>61597.011568183159</v>
      </c>
      <c r="I8" s="144"/>
      <c r="J8" s="144">
        <f>+GETPIVOTDATA(" Old All Ranks avg",'Averages Pivot Table'!$A$3,"Category",5,"Category2","Four-Year")</f>
        <v>59803.985499071277</v>
      </c>
      <c r="K8" s="144"/>
      <c r="L8" s="144">
        <f>+GETPIVOTDATA(" Old All Ranks avg",'Averages Pivot Table'!$A$3,"Category",6,"Category2","Four-Year")</f>
        <v>57684.047198899352</v>
      </c>
      <c r="M8" s="144"/>
      <c r="N8" s="555">
        <f>+GETPIVOTDATA(" Old All Ranks avg",'Averages Pivot Table'!$A$3,"Category2","Four-Year")</f>
        <v>75400.498321541643</v>
      </c>
      <c r="O8" s="117"/>
      <c r="Q8" s="557"/>
      <c r="R8" s="558"/>
      <c r="S8" s="559"/>
    </row>
    <row r="9" spans="1:19" ht="12.95" customHeight="1" x14ac:dyDescent="0.25">
      <c r="A9" s="560"/>
      <c r="B9" s="123"/>
      <c r="C9" s="123"/>
      <c r="D9" s="123"/>
      <c r="E9" s="123"/>
      <c r="F9" s="123"/>
      <c r="G9" s="123"/>
      <c r="H9" s="123"/>
      <c r="I9" s="123"/>
      <c r="J9" s="123"/>
      <c r="K9" s="123"/>
      <c r="L9" s="123"/>
      <c r="M9" s="134"/>
      <c r="N9" s="561"/>
      <c r="O9" s="105"/>
      <c r="Q9" s="562"/>
      <c r="S9" s="212"/>
    </row>
    <row r="10" spans="1:19" ht="12.95" customHeight="1" x14ac:dyDescent="0.25">
      <c r="A10" s="132" t="s">
        <v>205</v>
      </c>
      <c r="B10" s="563">
        <f>+GETPIVOTDATA(" Old All Ranks avg",'Averages Pivot Table'!$A$3,"State","AL","Category",1,"Category2","Four-Year")</f>
        <v>81186.655495792074</v>
      </c>
      <c r="C10" s="118">
        <f t="shared" ref="C10:C28" si="0">IF(B10&gt;0,(RANK(B10,B$10:B$28)),0)</f>
        <v>8</v>
      </c>
      <c r="D10" s="563">
        <f>+GETPIVOTDATA(" Old All Ranks avg",'Averages Pivot Table'!$A$3,"State","AL","Category",2,"Category2","Four-Year")</f>
        <v>77123.619475907588</v>
      </c>
      <c r="E10" s="118">
        <f t="shared" ref="E10:E28" si="1">IF(D10&gt;0,(RANK(D10,D$10:D$28)),0)</f>
        <v>5</v>
      </c>
      <c r="F10" s="563">
        <f>+GETPIVOTDATA(" Old All Ranks avg",'Averages Pivot Table'!$A$3,"State","AL","Category",3,"Category2","Four-Year")</f>
        <v>61003.221698644287</v>
      </c>
      <c r="G10" s="118">
        <f t="shared" ref="G10:G28" si="2">IF(F10&gt;0,(RANK(F10,F$10:F$28)),0)</f>
        <v>8</v>
      </c>
      <c r="H10" s="563">
        <f>+GETPIVOTDATA(" Old All Ranks avg",'Averages Pivot Table'!$A$3,"State","AL","Category",4,"Category2","Four-Year")</f>
        <v>63609.936787779436</v>
      </c>
      <c r="I10" s="118">
        <f t="shared" ref="I10:I28" si="3">IF(H10&gt;0,(RANK(H10,H$10:H$28)),0)</f>
        <v>7</v>
      </c>
      <c r="J10" s="563">
        <f>+GETPIVOTDATA(" Old All Ranks avg",'Averages Pivot Table'!$A$3,"State","AL","Category",5,"Category2","Four-Year")</f>
        <v>56738.445081967213</v>
      </c>
      <c r="K10" s="118">
        <f t="shared" ref="K10:K28" si="4">IF(J10&gt;0,(RANK(J10,J$10:J$28)),0)</f>
        <v>8</v>
      </c>
      <c r="L10" s="563">
        <f>+GETPIVOTDATA(" Old All Ranks avg",'Averages Pivot Table'!$A$3,"State","AL","Category",6,"Category2","Four-Year")</f>
        <v>68725.878179069769</v>
      </c>
      <c r="M10" s="118">
        <f t="shared" ref="M10:M28" si="5">IF(L10&gt;0,(RANK(L10,L$10:L$28)),0)</f>
        <v>2</v>
      </c>
      <c r="N10" s="564">
        <f>+GETPIVOTDATA(" Old All Ranks avg",'Averages Pivot Table'!$A$3,"State","AL","Category2","Four-Year")</f>
        <v>72751.781656992607</v>
      </c>
      <c r="O10" s="118">
        <f t="shared" ref="O10:O28" si="6">IF(N10&gt;0,(RANK(N10,N$10:N$28)),0)</f>
        <v>7</v>
      </c>
      <c r="Q10" s="562"/>
      <c r="S10" s="212"/>
    </row>
    <row r="11" spans="1:19" ht="12.95" customHeight="1" x14ac:dyDescent="0.25">
      <c r="A11" s="132" t="s">
        <v>206</v>
      </c>
      <c r="B11" s="563">
        <f>+GETPIVOTDATA(" Old All Ranks avg",'Averages Pivot Table'!$A$3,"State","ar","Category",1,"Category2","Four-Year")</f>
        <v>77922.003020168064</v>
      </c>
      <c r="C11" s="118">
        <f t="shared" si="0"/>
        <v>12</v>
      </c>
      <c r="D11" s="563">
        <f>+GETPIVOTDATA(" Old All Ranks avg",'Averages Pivot Table'!$A$3,"State","ar","Category",2,"Category2","Four-Year")</f>
        <v>0</v>
      </c>
      <c r="E11" s="118">
        <f t="shared" si="1"/>
        <v>0</v>
      </c>
      <c r="F11" s="563">
        <f>+GETPIVOTDATA(" Old All Ranks avg",'Averages Pivot Table'!$A$3,"State","ar","Category",3,"Category2","Four-Year")</f>
        <v>57765.180917686172</v>
      </c>
      <c r="G11" s="118">
        <f t="shared" si="2"/>
        <v>14</v>
      </c>
      <c r="H11" s="563">
        <f>+GETPIVOTDATA(" Old All Ranks avg",'Averages Pivot Table'!$A$3,"State","ar","Category",4,"Category2","Four-Year")</f>
        <v>52555.77495040519</v>
      </c>
      <c r="I11" s="118">
        <f t="shared" si="3"/>
        <v>13</v>
      </c>
      <c r="J11" s="563">
        <f>+GETPIVOTDATA(" Old All Ranks avg",'Averages Pivot Table'!$A$3,"State","ar","Category",5,"Category2","Four-Year")</f>
        <v>47699.961701986758</v>
      </c>
      <c r="K11" s="118">
        <f t="shared" si="4"/>
        <v>11</v>
      </c>
      <c r="L11" s="563">
        <f>+GETPIVOTDATA(" Old All Ranks avg",'Averages Pivot Table'!$A$3,"State","ar","Category",6,"Category2","Four-Year")</f>
        <v>52019.414833838382</v>
      </c>
      <c r="M11" s="118">
        <f t="shared" si="5"/>
        <v>10</v>
      </c>
      <c r="N11" s="564">
        <f>+GETPIVOTDATA(" Old All Ranks avg",'Averages Pivot Table'!$A$3,"State","ar","Category2","Four-Year")</f>
        <v>61129.79961629834</v>
      </c>
      <c r="O11" s="118">
        <f t="shared" si="6"/>
        <v>16</v>
      </c>
      <c r="Q11" s="562"/>
      <c r="S11" s="212"/>
    </row>
    <row r="12" spans="1:19" ht="12.95" customHeight="1" x14ac:dyDescent="0.25">
      <c r="A12" s="132" t="s">
        <v>221</v>
      </c>
      <c r="B12" s="563">
        <f>+GETPIVOTDATA(" Old All Ranks avg",'Averages Pivot Table'!$A$3,"State","DE","Category",1,"Category2","Four-Year")</f>
        <v>99645.742565186505</v>
      </c>
      <c r="C12" s="118">
        <f t="shared" si="0"/>
        <v>2</v>
      </c>
      <c r="D12" s="563">
        <f>+GETPIVOTDATA(" Old All Ranks avg",'Averages Pivot Table'!$A$3,"State","DE","Category",2,"Category2","Four-Year")</f>
        <v>0</v>
      </c>
      <c r="E12" s="118">
        <f t="shared" si="1"/>
        <v>0</v>
      </c>
      <c r="F12" s="563">
        <f>+GETPIVOTDATA(" Old All Ranks avg",'Averages Pivot Table'!$A$3,"State","DE","Category",3,"Category2","Four-Year")</f>
        <v>0</v>
      </c>
      <c r="G12" s="118">
        <f t="shared" si="2"/>
        <v>0</v>
      </c>
      <c r="H12" s="563">
        <f>+GETPIVOTDATA(" Old All Ranks avg",'Averages Pivot Table'!$A$3,"State","DE","Category",4,"Category2","Four-Year")</f>
        <v>65065.276523232329</v>
      </c>
      <c r="I12" s="118">
        <f t="shared" si="3"/>
        <v>5</v>
      </c>
      <c r="J12" s="563">
        <f>+GETPIVOTDATA(" Old All Ranks avg",'Averages Pivot Table'!$A$3,"State","DE","Category",5,"Category2","Four-Year")</f>
        <v>0</v>
      </c>
      <c r="K12" s="118">
        <f t="shared" si="4"/>
        <v>0</v>
      </c>
      <c r="L12" s="563">
        <f>+GETPIVOTDATA(" Old All Ranks avg",'Averages Pivot Table'!$A$3,"State","DE","Category",6,"Category2","Four-Year")</f>
        <v>0</v>
      </c>
      <c r="M12" s="118">
        <f t="shared" si="5"/>
        <v>0</v>
      </c>
      <c r="N12" s="564">
        <f>+GETPIVOTDATA(" Old All Ranks avg",'Averages Pivot Table'!$A$3,"State","DE","Category2","Four-Year")</f>
        <v>94474.343564954674</v>
      </c>
      <c r="O12" s="118">
        <f t="shared" si="6"/>
        <v>1</v>
      </c>
      <c r="Q12" s="562"/>
      <c r="S12" s="212"/>
    </row>
    <row r="13" spans="1:19" ht="12.95" customHeight="1" x14ac:dyDescent="0.25">
      <c r="A13" s="132" t="s">
        <v>207</v>
      </c>
      <c r="B13" s="563">
        <f>+GETPIVOTDATA(" Old All Ranks avg",'Averages Pivot Table'!$A$3,"State","FL","Category",1,"Category2","Four-Year")</f>
        <v>82114.445515932341</v>
      </c>
      <c r="C13" s="118">
        <f t="shared" si="0"/>
        <v>7</v>
      </c>
      <c r="D13" s="563">
        <f>+GETPIVOTDATA(" Old All Ranks avg",'Averages Pivot Table'!$A$3,"State","FL","Category",2,"Category2","Four-Year")</f>
        <v>70789.5371002584</v>
      </c>
      <c r="E13" s="118">
        <f t="shared" si="1"/>
        <v>7</v>
      </c>
      <c r="F13" s="563">
        <f>+GETPIVOTDATA(" Old All Ranks avg",'Averages Pivot Table'!$A$3,"State","FL","Category",3,"Category2","Four-Year")</f>
        <v>66913.88671960785</v>
      </c>
      <c r="G13" s="118">
        <f t="shared" si="2"/>
        <v>4</v>
      </c>
      <c r="H13" s="563">
        <f>+GETPIVOTDATA(" Old All Ranks avg",'Averages Pivot Table'!$A$3,"State","FL","Category",4,"Category2","Four-Year")</f>
        <v>62745.088510991962</v>
      </c>
      <c r="I13" s="118">
        <f t="shared" si="3"/>
        <v>9</v>
      </c>
      <c r="J13" s="563">
        <f>+GETPIVOTDATA(" Old All Ranks avg",'Averages Pivot Table'!$A$3,"State","FL","Category",5,"Category2","Four-Year")</f>
        <v>0</v>
      </c>
      <c r="K13" s="118">
        <f t="shared" si="4"/>
        <v>0</v>
      </c>
      <c r="L13" s="563">
        <f>+GETPIVOTDATA(" Old All Ranks avg",'Averages Pivot Table'!$A$3,"State","FL","Category",6,"Category2","Four-Year")</f>
        <v>68274.343258591558</v>
      </c>
      <c r="M13" s="118">
        <f t="shared" si="5"/>
        <v>3</v>
      </c>
      <c r="N13" s="564">
        <f>+GETPIVOTDATA(" Old All Ranks avg",'Averages Pivot Table'!$A$3,"State","FL","Category2","Four-Year")</f>
        <v>78037.041880881618</v>
      </c>
      <c r="O13" s="118">
        <f t="shared" si="6"/>
        <v>6</v>
      </c>
      <c r="Q13" s="562"/>
      <c r="S13" s="212"/>
    </row>
    <row r="14" spans="1:19" ht="12.95" customHeight="1" x14ac:dyDescent="0.25">
      <c r="A14" s="132"/>
      <c r="B14" s="563"/>
      <c r="C14" s="118"/>
      <c r="D14" s="563"/>
      <c r="E14" s="118"/>
      <c r="F14" s="563"/>
      <c r="G14" s="118"/>
      <c r="H14" s="563"/>
      <c r="I14" s="118"/>
      <c r="J14" s="563"/>
      <c r="K14" s="118"/>
      <c r="L14" s="563"/>
      <c r="M14" s="118"/>
      <c r="N14" s="564"/>
      <c r="O14" s="118"/>
      <c r="Q14" s="562"/>
      <c r="S14" s="212"/>
    </row>
    <row r="15" spans="1:19" ht="12.95" customHeight="1" x14ac:dyDescent="0.25">
      <c r="A15" s="132" t="s">
        <v>208</v>
      </c>
      <c r="B15" s="563">
        <f>+GETPIVOTDATA(" Old All Ranks avg",'Averages Pivot Table'!$A$3,"State","GA","Category",1,"Category2","Four-Year")</f>
        <v>82834.245913112522</v>
      </c>
      <c r="C15" s="118">
        <f t="shared" si="0"/>
        <v>6</v>
      </c>
      <c r="D15" s="563">
        <f>+GETPIVOTDATA(" Old All Ranks avg",'Averages Pivot Table'!$A$3,"State","GA","Category",2,"Category2","Four-Year")</f>
        <v>107284.9052771282</v>
      </c>
      <c r="E15" s="118">
        <f t="shared" si="1"/>
        <v>1</v>
      </c>
      <c r="F15" s="563">
        <f>+GETPIVOTDATA(" Old All Ranks avg",'Averages Pivot Table'!$A$3,"State","GA","Category",3,"Category2","Four-Year")</f>
        <v>60750.07001122785</v>
      </c>
      <c r="G15" s="118">
        <f t="shared" si="2"/>
        <v>9</v>
      </c>
      <c r="H15" s="563">
        <f>+GETPIVOTDATA(" Old All Ranks avg",'Averages Pivot Table'!$A$3,"State","GA","Category",4,"Category2","Four-Year")</f>
        <v>59474.124227744163</v>
      </c>
      <c r="I15" s="118">
        <f t="shared" si="3"/>
        <v>10</v>
      </c>
      <c r="J15" s="563">
        <f>+GETPIVOTDATA(" Old All Ranks avg",'Averages Pivot Table'!$A$3,"State","GA","Category",5,"Category2","Four-Year")</f>
        <v>58237.508542764066</v>
      </c>
      <c r="K15" s="118">
        <f t="shared" si="4"/>
        <v>6</v>
      </c>
      <c r="L15" s="563">
        <f>+GETPIVOTDATA(" Old All Ranks avg",'Averages Pivot Table'!$A$3,"State","GA","Category",6,"Category2","Four-Year")</f>
        <v>58864.825675675675</v>
      </c>
      <c r="M15" s="118">
        <f t="shared" si="5"/>
        <v>6</v>
      </c>
      <c r="N15" s="564">
        <f>+GETPIVOTDATA(" Old All Ranks avg",'Averages Pivot Table'!$A$3,"State","GA","Category2","Four-Year")</f>
        <v>72573.992372108783</v>
      </c>
      <c r="O15" s="118">
        <f t="shared" si="6"/>
        <v>8</v>
      </c>
      <c r="Q15" s="562"/>
      <c r="S15" s="212"/>
    </row>
    <row r="16" spans="1:19" ht="12.95" customHeight="1" x14ac:dyDescent="0.25">
      <c r="A16" s="132" t="s">
        <v>209</v>
      </c>
      <c r="B16" s="563">
        <f>+GETPIVOTDATA(" Old All Ranks avg",'Averages Pivot Table'!$A$3,"State","KY","Category",1,"Category2","Four-Year")</f>
        <v>80062.521640869963</v>
      </c>
      <c r="C16" s="118">
        <f t="shared" si="0"/>
        <v>10</v>
      </c>
      <c r="D16" s="563">
        <f>+GETPIVOTDATA(" Old All Ranks avg",'Averages Pivot Table'!$A$3,"State","KY","Category",2,"Category2","Four-Year")</f>
        <v>0</v>
      </c>
      <c r="E16" s="118">
        <f t="shared" si="1"/>
        <v>0</v>
      </c>
      <c r="F16" s="563">
        <f>+GETPIVOTDATA(" Old All Ranks avg",'Averages Pivot Table'!$A$3,"State","KY","Category",3,"Category2","Four-Year")</f>
        <v>59655.037797591482</v>
      </c>
      <c r="G16" s="118">
        <f t="shared" si="2"/>
        <v>12</v>
      </c>
      <c r="H16" s="563">
        <f>+GETPIVOTDATA(" Old All Ranks avg",'Averages Pivot Table'!$A$3,"State","KY","Category",4,"Category2","Four-Year")</f>
        <v>62844.843185015299</v>
      </c>
      <c r="I16" s="118">
        <f t="shared" si="3"/>
        <v>8</v>
      </c>
      <c r="J16" s="563">
        <f>+GETPIVOTDATA(" Old All Ranks avg",'Averages Pivot Table'!$A$3,"State","KY","Category",5,"Category2","Four-Year")</f>
        <v>0</v>
      </c>
      <c r="K16" s="118">
        <f t="shared" si="4"/>
        <v>0</v>
      </c>
      <c r="L16" s="563">
        <f>+GETPIVOTDATA(" Old All Ranks avg",'Averages Pivot Table'!$A$3,"State","KY","Category",6,"Category2","Four-Year")</f>
        <v>0</v>
      </c>
      <c r="M16" s="118">
        <f t="shared" si="5"/>
        <v>0</v>
      </c>
      <c r="N16" s="564">
        <f>+GETPIVOTDATA(" Old All Ranks avg",'Averages Pivot Table'!$A$3,"State","KY","Category2","Four-Year")</f>
        <v>69042.577551673297</v>
      </c>
      <c r="O16" s="118">
        <f t="shared" si="6"/>
        <v>10</v>
      </c>
      <c r="Q16" s="562"/>
      <c r="S16" s="212"/>
    </row>
    <row r="17" spans="1:19" ht="12.95" customHeight="1" x14ac:dyDescent="0.25">
      <c r="A17" s="132" t="s">
        <v>210</v>
      </c>
      <c r="B17" s="563">
        <f>+GETPIVOTDATA(" Old All Ranks avg",'Averages Pivot Table'!$A$3,"State","LA","Category",1,"Category2","Four-Year")</f>
        <v>81172.056250565423</v>
      </c>
      <c r="C17" s="118">
        <f t="shared" si="0"/>
        <v>9</v>
      </c>
      <c r="D17" s="563">
        <f>+GETPIVOTDATA(" Old All Ranks avg",'Averages Pivot Table'!$A$3,"State","LA","Category",2,"Category2","Four-Year")</f>
        <v>67301.43570905141</v>
      </c>
      <c r="E17" s="118">
        <f t="shared" si="1"/>
        <v>8</v>
      </c>
      <c r="F17" s="563">
        <f>+GETPIVOTDATA(" Old All Ranks avg",'Averages Pivot Table'!$A$3,"State","LA","Category",3,"Category2","Four-Year")</f>
        <v>60355.430876537219</v>
      </c>
      <c r="G17" s="118">
        <f t="shared" si="2"/>
        <v>10</v>
      </c>
      <c r="H17" s="563">
        <f>+GETPIVOTDATA(" Old All Ranks avg",'Averages Pivot Table'!$A$3,"State","LA","Category",4,"Category2","Four-Year")</f>
        <v>55296.592518022815</v>
      </c>
      <c r="I17" s="118">
        <f t="shared" si="3"/>
        <v>11</v>
      </c>
      <c r="J17" s="563">
        <f>+GETPIVOTDATA(" Old All Ranks avg",'Averages Pivot Table'!$A$3,"State","LA","Category",5,"Category2","Four-Year")</f>
        <v>0</v>
      </c>
      <c r="K17" s="118">
        <f t="shared" si="4"/>
        <v>0</v>
      </c>
      <c r="L17" s="563">
        <f>+GETPIVOTDATA(" Old All Ranks avg",'Averages Pivot Table'!$A$3,"State","LA","Category",6,"Category2","Four-Year")</f>
        <v>48373.200119587629</v>
      </c>
      <c r="M17" s="118">
        <f t="shared" si="5"/>
        <v>11</v>
      </c>
      <c r="N17" s="564">
        <f>+GETPIVOTDATA(" Old All Ranks avg",'Averages Pivot Table'!$A$3,"State","LA","Category2","Four-Year")</f>
        <v>65585.878201746731</v>
      </c>
      <c r="O17" s="118">
        <f t="shared" si="6"/>
        <v>13</v>
      </c>
      <c r="Q17" s="562"/>
      <c r="S17" s="212"/>
    </row>
    <row r="18" spans="1:19" ht="12.95" customHeight="1" x14ac:dyDescent="0.25">
      <c r="A18" s="132" t="s">
        <v>211</v>
      </c>
      <c r="B18" s="563">
        <f>+GETPIVOTDATA(" Old All Ranks avg",'Averages Pivot Table'!$A$3,"State","MD","Category",1,"Category2","Four-Year")</f>
        <v>102890.11120579406</v>
      </c>
      <c r="C18" s="118">
        <f t="shared" si="0"/>
        <v>1</v>
      </c>
      <c r="D18" s="563">
        <f>+GETPIVOTDATA(" Old All Ranks avg",'Averages Pivot Table'!$A$3,"State","MD","Category",2,"Category2","Four-Year")</f>
        <v>73566.957331851852</v>
      </c>
      <c r="E18" s="118">
        <f t="shared" si="1"/>
        <v>6</v>
      </c>
      <c r="F18" s="563">
        <f>+GETPIVOTDATA(" Old All Ranks avg",'Averages Pivot Table'!$A$3,"State","MD","Category",3,"Category2","Four-Year")</f>
        <v>65152.888091566267</v>
      </c>
      <c r="G18" s="118">
        <f t="shared" si="2"/>
        <v>5</v>
      </c>
      <c r="H18" s="563">
        <f>+GETPIVOTDATA(" Old All Ranks avg",'Averages Pivot Table'!$A$3,"State","MD","Category",4,"Category2","Four-Year")</f>
        <v>69478.791378168506</v>
      </c>
      <c r="I18" s="118">
        <f t="shared" si="3"/>
        <v>2</v>
      </c>
      <c r="J18" s="563">
        <f>+GETPIVOTDATA(" Old All Ranks avg",'Averages Pivot Table'!$A$3,"State","MD","Category",5,"Category2","Four-Year")</f>
        <v>0</v>
      </c>
      <c r="K18" s="118">
        <f t="shared" si="4"/>
        <v>0</v>
      </c>
      <c r="L18" s="563">
        <f>+GETPIVOTDATA(" Old All Ranks avg",'Averages Pivot Table'!$A$3,"State","MD","Category",6,"Category2","Four-Year")</f>
        <v>67412.923611111109</v>
      </c>
      <c r="M18" s="118">
        <f t="shared" si="5"/>
        <v>5</v>
      </c>
      <c r="N18" s="564">
        <f>+GETPIVOTDATA(" Old All Ranks avg",'Averages Pivot Table'!$A$3,"State","MD","Category2","Four-Year")</f>
        <v>80478.95291009717</v>
      </c>
      <c r="O18" s="118">
        <f t="shared" si="6"/>
        <v>3</v>
      </c>
      <c r="Q18" s="562"/>
      <c r="S18" s="212"/>
    </row>
    <row r="19" spans="1:19" ht="12.95" customHeight="1" x14ac:dyDescent="0.25">
      <c r="A19" s="132"/>
      <c r="B19" s="563"/>
      <c r="C19" s="118"/>
      <c r="D19" s="563"/>
      <c r="E19" s="118"/>
      <c r="F19" s="563"/>
      <c r="G19" s="118"/>
      <c r="H19" s="563"/>
      <c r="I19" s="118"/>
      <c r="J19" s="563"/>
      <c r="K19" s="118"/>
      <c r="L19" s="563"/>
      <c r="M19" s="118"/>
      <c r="N19" s="564"/>
      <c r="O19" s="118"/>
      <c r="Q19" s="562"/>
      <c r="S19" s="212"/>
    </row>
    <row r="20" spans="1:19" ht="12.95" customHeight="1" x14ac:dyDescent="0.25">
      <c r="A20" s="132" t="s">
        <v>212</v>
      </c>
      <c r="B20" s="563">
        <f>+GETPIVOTDATA(" Old All Ranks avg",'Averages Pivot Table'!$A$3,"State","MS","Category",1,"Category2","Four-Year")</f>
        <v>64032.535242832259</v>
      </c>
      <c r="C20" s="118">
        <f t="shared" si="0"/>
        <v>16</v>
      </c>
      <c r="D20" s="563">
        <f>+GETPIVOTDATA(" Old All Ranks avg",'Averages Pivot Table'!$A$3,"State","MS","Category",2,"Category2","Four-Year")</f>
        <v>67040.908248304622</v>
      </c>
      <c r="E20" s="118">
        <f t="shared" si="1"/>
        <v>9</v>
      </c>
      <c r="F20" s="563">
        <f>+GETPIVOTDATA(" Old All Ranks avg",'Averages Pivot Table'!$A$3,"State","MS","Category",3,"Category2","Four-Year")</f>
        <v>0</v>
      </c>
      <c r="G20" s="118">
        <f t="shared" si="2"/>
        <v>0</v>
      </c>
      <c r="H20" s="563">
        <f>+GETPIVOTDATA(" Old All Ranks avg",'Averages Pivot Table'!$A$3,"State","MS","Category",4,"Category2","Four-Year")</f>
        <v>53010.426824948874</v>
      </c>
      <c r="I20" s="118">
        <f t="shared" si="3"/>
        <v>12</v>
      </c>
      <c r="J20" s="563">
        <f>+GETPIVOTDATA(" Old All Ranks avg",'Averages Pivot Table'!$A$3,"State","MS","Category",5,"Category2","Four-Year")</f>
        <v>49360.614268676931</v>
      </c>
      <c r="K20" s="118">
        <f t="shared" si="4"/>
        <v>10</v>
      </c>
      <c r="L20" s="563">
        <f>+GETPIVOTDATA(" Old All Ranks avg",'Averages Pivot Table'!$A$3,"State","MS","Category",6,"Category2","Four-Year")</f>
        <v>0</v>
      </c>
      <c r="M20" s="118">
        <f t="shared" si="5"/>
        <v>0</v>
      </c>
      <c r="N20" s="564">
        <f>+GETPIVOTDATA(" Old All Ranks avg",'Averages Pivot Table'!$A$3,"State","MS","Category2","Four-Year")</f>
        <v>62816.482272798901</v>
      </c>
      <c r="O20" s="118">
        <f t="shared" si="6"/>
        <v>15</v>
      </c>
      <c r="Q20" s="562"/>
      <c r="S20" s="212"/>
    </row>
    <row r="21" spans="1:19" ht="12.95" customHeight="1" x14ac:dyDescent="0.25">
      <c r="A21" s="132" t="s">
        <v>213</v>
      </c>
      <c r="B21" s="563">
        <f>+GETPIVOTDATA(" Old All Ranks avg",'Averages Pivot Table'!$A$3,"State","NC","Category",1,"Category2","Four-Year")</f>
        <v>92131.626543728024</v>
      </c>
      <c r="C21" s="118">
        <f t="shared" si="0"/>
        <v>4</v>
      </c>
      <c r="D21" s="563">
        <f>+GETPIVOTDATA(" Old All Ranks avg",'Averages Pivot Table'!$A$3,"State","NC","Category",2,"Category2","Four-Year")</f>
        <v>77955.361082191783</v>
      </c>
      <c r="E21" s="118">
        <f t="shared" si="1"/>
        <v>3</v>
      </c>
      <c r="F21" s="563">
        <f>+GETPIVOTDATA(" Old All Ranks avg",'Averages Pivot Table'!$A$3,"State","NC","Category",3,"Category2","Four-Year")</f>
        <v>70350.753561480393</v>
      </c>
      <c r="G21" s="118">
        <f t="shared" si="2"/>
        <v>2</v>
      </c>
      <c r="H21" s="563">
        <f>+GETPIVOTDATA(" Old All Ranks avg",'Averages Pivot Table'!$A$3,"State","NC","Category",4,"Category2","Four-Year")</f>
        <v>68710.412558122742</v>
      </c>
      <c r="I21" s="118">
        <f t="shared" si="3"/>
        <v>3</v>
      </c>
      <c r="J21" s="563">
        <f>+GETPIVOTDATA(" Old All Ranks avg",'Averages Pivot Table'!$A$3,"State","NC","Category",5,"Category2","Four-Year")</f>
        <v>65902.714320238098</v>
      </c>
      <c r="K21" s="118">
        <f t="shared" si="4"/>
        <v>2</v>
      </c>
      <c r="L21" s="563">
        <f>+GETPIVOTDATA(" Old All Ranks avg",'Averages Pivot Table'!$A$3,"State","NC","Category",6,"Category2","Four-Year")</f>
        <v>67903.819857881143</v>
      </c>
      <c r="M21" s="118">
        <f t="shared" si="5"/>
        <v>4</v>
      </c>
      <c r="N21" s="564">
        <f>+GETPIVOTDATA(" Old All Ranks avg",'Averages Pivot Table'!$A$3,"State","NC","Category2","Four-Year")</f>
        <v>79332.810015933195</v>
      </c>
      <c r="O21" s="118">
        <f t="shared" si="6"/>
        <v>5</v>
      </c>
      <c r="Q21" s="562"/>
      <c r="S21" s="212"/>
    </row>
    <row r="22" spans="1:19" ht="12.95" customHeight="1" x14ac:dyDescent="0.25">
      <c r="A22" s="132" t="s">
        <v>214</v>
      </c>
      <c r="B22" s="563">
        <f>+GETPIVOTDATA(" Old All Ranks avg",'Averages Pivot Table'!$A$3,"State","OK","Category",1,"Category2","Four-Year")</f>
        <v>77906.173074207705</v>
      </c>
      <c r="C22" s="118">
        <f t="shared" si="0"/>
        <v>13</v>
      </c>
      <c r="D22" s="563">
        <f>+GETPIVOTDATA(" Old All Ranks avg",'Averages Pivot Table'!$A$3,"State","OK","Category",2,"Category2","Four-Year")</f>
        <v>0</v>
      </c>
      <c r="E22" s="118">
        <f t="shared" si="1"/>
        <v>0</v>
      </c>
      <c r="F22" s="563">
        <f>+GETPIVOTDATA(" Old All Ranks avg",'Averages Pivot Table'!$A$3,"State","OK","Category",3,"Category2","Four-Year")</f>
        <v>58660.915931626121</v>
      </c>
      <c r="G22" s="118">
        <f t="shared" si="2"/>
        <v>13</v>
      </c>
      <c r="H22" s="563">
        <f>+GETPIVOTDATA(" Old All Ranks avg",'Averages Pivot Table'!$A$3,"State","OK","Category",4,"Category2","Four-Year")</f>
        <v>0</v>
      </c>
      <c r="I22" s="118">
        <f t="shared" si="3"/>
        <v>0</v>
      </c>
      <c r="J22" s="563">
        <f>+GETPIVOTDATA(" Old All Ranks avg",'Averages Pivot Table'!$A$3,"State","OK","Category",5,"Category2","Four-Year")</f>
        <v>53598.031679351356</v>
      </c>
      <c r="K22" s="118">
        <f t="shared" si="4"/>
        <v>9</v>
      </c>
      <c r="L22" s="563">
        <f>+GETPIVOTDATA(" Old All Ranks avg",'Averages Pivot Table'!$A$3,"State","OK","Category",6,"Category2","Four-Year")</f>
        <v>47440.789301869154</v>
      </c>
      <c r="M22" s="118">
        <f t="shared" si="5"/>
        <v>12</v>
      </c>
      <c r="N22" s="564">
        <f>+GETPIVOTDATA(" Old All Ranks avg",'Averages Pivot Table'!$A$3,"State","OK","Category2","Four-Year")</f>
        <v>66816.984268899527</v>
      </c>
      <c r="O22" s="118">
        <f t="shared" si="6"/>
        <v>12</v>
      </c>
      <c r="Q22" s="562"/>
      <c r="S22" s="212"/>
    </row>
    <row r="23" spans="1:19" ht="12.95" customHeight="1" x14ac:dyDescent="0.25">
      <c r="A23" s="132" t="s">
        <v>215</v>
      </c>
      <c r="B23" s="563">
        <f>+GETPIVOTDATA(" Old All Ranks avg",'Averages Pivot Table'!$A$3,"State","SC","Category",1,"Category2","Four-Year")</f>
        <v>79769.244417559661</v>
      </c>
      <c r="C23" s="118">
        <f t="shared" si="0"/>
        <v>11</v>
      </c>
      <c r="D23" s="563">
        <f>+GETPIVOTDATA(" Old All Ranks avg",'Averages Pivot Table'!$A$3,"State","SC","Category",2,"Category2","Four-Year")</f>
        <v>0</v>
      </c>
      <c r="E23" s="118">
        <f t="shared" si="1"/>
        <v>0</v>
      </c>
      <c r="F23" s="563">
        <f>+GETPIVOTDATA(" Old All Ranks avg",'Averages Pivot Table'!$A$3,"State","SC","Category",3,"Category2","Four-Year")</f>
        <v>63806.403644221107</v>
      </c>
      <c r="G23" s="118">
        <f t="shared" si="2"/>
        <v>6</v>
      </c>
      <c r="H23" s="563">
        <f>+GETPIVOTDATA(" Old All Ranks avg",'Averages Pivot Table'!$A$3,"State","SC","Category",4,"Category2","Four-Year")</f>
        <v>68333.49647058823</v>
      </c>
      <c r="I23" s="118">
        <f t="shared" si="3"/>
        <v>4</v>
      </c>
      <c r="J23" s="563">
        <f>+GETPIVOTDATA(" Old All Ranks avg",'Averages Pivot Table'!$A$3,"State","SC","Category",5,"Category2","Four-Year")</f>
        <v>60257.635737696342</v>
      </c>
      <c r="K23" s="118">
        <f t="shared" si="4"/>
        <v>4</v>
      </c>
      <c r="L23" s="563">
        <f>+GETPIVOTDATA(" Old All Ranks avg",'Averages Pivot Table'!$A$3,"State","SC","Category",6,"Category2","Four-Year")</f>
        <v>54216.326866173753</v>
      </c>
      <c r="M23" s="118">
        <f t="shared" si="5"/>
        <v>8</v>
      </c>
      <c r="N23" s="564">
        <f>+GETPIVOTDATA(" Old All Ranks avg",'Averages Pivot Table'!$A$3,"State","SC","Category2","Four-Year")</f>
        <v>70111.743118967046</v>
      </c>
      <c r="O23" s="118">
        <f t="shared" si="6"/>
        <v>9</v>
      </c>
      <c r="Q23" s="562"/>
      <c r="S23" s="212"/>
    </row>
    <row r="24" spans="1:19" ht="12.95" customHeight="1" x14ac:dyDescent="0.25">
      <c r="A24" s="132"/>
      <c r="B24" s="563"/>
      <c r="C24" s="118"/>
      <c r="D24" s="563"/>
      <c r="E24" s="118"/>
      <c r="F24" s="563"/>
      <c r="G24" s="118"/>
      <c r="H24" s="563"/>
      <c r="I24" s="118"/>
      <c r="J24" s="563"/>
      <c r="K24" s="118"/>
      <c r="L24" s="563"/>
      <c r="M24" s="118"/>
      <c r="N24" s="564"/>
      <c r="O24" s="118"/>
      <c r="Q24" s="562"/>
      <c r="S24" s="212"/>
    </row>
    <row r="25" spans="1:19" ht="12.95" customHeight="1" x14ac:dyDescent="0.25">
      <c r="A25" s="132" t="s">
        <v>216</v>
      </c>
      <c r="B25" s="563">
        <f>+GETPIVOTDATA(" Old All Ranks avg",'Averages Pivot Table'!$A$3,"State","TN","Category",1,"Category2","Four-Year")</f>
        <v>77389.687229785515</v>
      </c>
      <c r="C25" s="118">
        <f t="shared" si="0"/>
        <v>14</v>
      </c>
      <c r="D25" s="563">
        <f>+GETPIVOTDATA(" Old All Ranks avg",'Averages Pivot Table'!$A$3,"State","TN","Category",2,"Category2","Four-Year")</f>
        <v>57832.35075971223</v>
      </c>
      <c r="E25" s="118">
        <f t="shared" si="1"/>
        <v>10</v>
      </c>
      <c r="F25" s="563">
        <f>+GETPIVOTDATA(" Old All Ranks avg",'Averages Pivot Table'!$A$3,"State","TN","Category",3,"Category2","Four-Year")</f>
        <v>59822.223622908517</v>
      </c>
      <c r="G25" s="118">
        <f t="shared" si="2"/>
        <v>11</v>
      </c>
      <c r="H25" s="563">
        <f>+GETPIVOTDATA(" Old All Ranks avg",'Averages Pivot Table'!$A$3,"State","TN","Category",4,"Category2","Four-Year")</f>
        <v>0</v>
      </c>
      <c r="I25" s="118">
        <f t="shared" si="3"/>
        <v>0</v>
      </c>
      <c r="J25" s="563">
        <f>+GETPIVOTDATA(" Old All Ranks avg",'Averages Pivot Table'!$A$3,"State","TN","Category",5,"Category2","Four-Year")</f>
        <v>57751.886990647479</v>
      </c>
      <c r="K25" s="118">
        <f t="shared" si="4"/>
        <v>7</v>
      </c>
      <c r="L25" s="563">
        <f>+GETPIVOTDATA(" Old All Ranks avg",'Averages Pivot Table'!$A$3,"State","TN","Category",6,"Category2","Four-Year")</f>
        <v>0</v>
      </c>
      <c r="M25" s="118">
        <f t="shared" si="5"/>
        <v>0</v>
      </c>
      <c r="N25" s="564">
        <f>+GETPIVOTDATA(" Old All Ranks avg",'Averages Pivot Table'!$A$3,"State","TN","Category2","Four-Year")</f>
        <v>67160.426279245294</v>
      </c>
      <c r="O25" s="118">
        <f t="shared" si="6"/>
        <v>11</v>
      </c>
      <c r="Q25" s="562"/>
      <c r="S25" s="212"/>
    </row>
    <row r="26" spans="1:19" ht="12.95" customHeight="1" x14ac:dyDescent="0.25">
      <c r="A26" s="132" t="s">
        <v>217</v>
      </c>
      <c r="B26" s="563">
        <f>+GETPIVOTDATA(" Old All Ranks avg",'Averages Pivot Table'!$A$3,"State","TX","Category",1,"Category2","Four-Year")</f>
        <v>96648.160213169424</v>
      </c>
      <c r="C26" s="118">
        <f t="shared" si="0"/>
        <v>3</v>
      </c>
      <c r="D26" s="563">
        <f>+GETPIVOTDATA(" Old All Ranks avg",'Averages Pivot Table'!$A$3,"State","TX","Category",2,"Category2","Four-Year")</f>
        <v>85052.27643115008</v>
      </c>
      <c r="E26" s="118">
        <f t="shared" si="1"/>
        <v>2</v>
      </c>
      <c r="F26" s="563">
        <f>+GETPIVOTDATA(" Old All Ranks avg",'Averages Pivot Table'!$A$3,"State","TX","Category",3,"Category2","Four-Year")</f>
        <v>70889.620746171247</v>
      </c>
      <c r="G26" s="118">
        <f t="shared" si="2"/>
        <v>1</v>
      </c>
      <c r="H26" s="563">
        <f>+GETPIVOTDATA(" Old All Ranks avg",'Averages Pivot Table'!$A$3,"State","TX","Category",4,"Category2","Four-Year")</f>
        <v>76864.177408988762</v>
      </c>
      <c r="I26" s="118">
        <f t="shared" si="3"/>
        <v>1</v>
      </c>
      <c r="J26" s="563">
        <f>+GETPIVOTDATA(" Old All Ranks avg",'Averages Pivot Table'!$A$3,"State","TX","Category",5,"Category2","Four-Year")</f>
        <v>74606.685854639174</v>
      </c>
      <c r="K26" s="118">
        <f t="shared" si="4"/>
        <v>1</v>
      </c>
      <c r="L26" s="563">
        <f>+GETPIVOTDATA(" Old All Ranks avg",'Averages Pivot Table'!$A$3,"State","TX","Category",6,"Category2","Four-Year")</f>
        <v>75975.039992500009</v>
      </c>
      <c r="M26" s="118">
        <f t="shared" si="5"/>
        <v>1</v>
      </c>
      <c r="N26" s="564">
        <f>+GETPIVOTDATA(" Old All Ranks avg",'Averages Pivot Table'!$A$3,"State","TX","Category2","Four-Year")</f>
        <v>85161.071393400547</v>
      </c>
      <c r="O26" s="118">
        <f t="shared" si="6"/>
        <v>2</v>
      </c>
      <c r="Q26" s="562"/>
      <c r="S26" s="212"/>
    </row>
    <row r="27" spans="1:19" ht="12.95" customHeight="1" x14ac:dyDescent="0.25">
      <c r="A27" s="132" t="s">
        <v>218</v>
      </c>
      <c r="B27" s="563">
        <f>+GETPIVOTDATA(" Old All Ranks avg",'Averages Pivot Table'!$A$3,"State","VA","Category",1,"Category2","Four-Year")</f>
        <v>90662.896214982669</v>
      </c>
      <c r="C27" s="118">
        <f t="shared" si="0"/>
        <v>5</v>
      </c>
      <c r="D27" s="563">
        <f>+GETPIVOTDATA(" Old All Ranks avg",'Averages Pivot Table'!$A$3,"State","VA","Category",2,"Category2","Four-Year")</f>
        <v>77444.275890813951</v>
      </c>
      <c r="E27" s="118">
        <f t="shared" si="1"/>
        <v>4</v>
      </c>
      <c r="F27" s="563">
        <f>+GETPIVOTDATA(" Old All Ranks avg",'Averages Pivot Table'!$A$3,"State","VA","Category",3,"Category2","Four-Year")</f>
        <v>67240.761729702121</v>
      </c>
      <c r="G27" s="118">
        <f t="shared" si="2"/>
        <v>3</v>
      </c>
      <c r="H27" s="563">
        <f>+GETPIVOTDATA(" Old All Ranks avg",'Averages Pivot Table'!$A$3,"State","VA","Category",4,"Category2","Four-Year")</f>
        <v>64445.783102499998</v>
      </c>
      <c r="I27" s="118">
        <f t="shared" si="3"/>
        <v>6</v>
      </c>
      <c r="J27" s="563">
        <f>+GETPIVOTDATA(" Old All Ranks avg",'Averages Pivot Table'!$A$3,"State","VA","Category",5,"Category2","Four-Year")</f>
        <v>64633.128875574715</v>
      </c>
      <c r="K27" s="118">
        <f t="shared" si="4"/>
        <v>3</v>
      </c>
      <c r="L27" s="563">
        <f>+GETPIVOTDATA(" Old All Ranks avg",'Averages Pivot Table'!$A$3,"State","VA","Category",6,"Category2","Four-Year")</f>
        <v>57971.185274725278</v>
      </c>
      <c r="M27" s="118">
        <f t="shared" si="5"/>
        <v>7</v>
      </c>
      <c r="N27" s="564">
        <f>+GETPIVOTDATA(" Old All Ranks avg",'Averages Pivot Table'!$A$3,"State","VA","Category2","Four-Year")</f>
        <v>80471.193759384754</v>
      </c>
      <c r="O27" s="118">
        <f t="shared" si="6"/>
        <v>4</v>
      </c>
      <c r="Q27" s="562"/>
      <c r="S27" s="212"/>
    </row>
    <row r="28" spans="1:19" ht="12.95" customHeight="1" x14ac:dyDescent="0.25">
      <c r="A28" s="565" t="s">
        <v>219</v>
      </c>
      <c r="B28" s="566">
        <f>+GETPIVOTDATA(" Old All Ranks avg",'Averages Pivot Table'!$A$3,"State","WV","Category",1,"Category2","Four-Year")</f>
        <v>75753.584786514519</v>
      </c>
      <c r="C28" s="119">
        <f t="shared" si="0"/>
        <v>15</v>
      </c>
      <c r="D28" s="566">
        <f>+GETPIVOTDATA(" Old All Ranks avg",'Averages Pivot Table'!$A$3,"State","WV","Category",2,"Category2","Four-Year")</f>
        <v>0</v>
      </c>
      <c r="E28" s="119">
        <f t="shared" si="1"/>
        <v>0</v>
      </c>
      <c r="F28" s="566">
        <f>+GETPIVOTDATA(" Old All Ranks avg",'Averages Pivot Table'!$A$3,"State","WV","Category",3,"Category2","Four-Year")</f>
        <v>61513.993002928873</v>
      </c>
      <c r="G28" s="119">
        <f t="shared" si="2"/>
        <v>7</v>
      </c>
      <c r="H28" s="566">
        <f>+GETPIVOTDATA(" Old All Ranks avg",'Averages Pivot Table'!$A$3,"State","WV","Category",4,"Category2","Four-Year")</f>
        <v>0</v>
      </c>
      <c r="I28" s="119">
        <f t="shared" si="3"/>
        <v>0</v>
      </c>
      <c r="J28" s="566">
        <f>+GETPIVOTDATA(" Old All Ranks avg",'Averages Pivot Table'!$A$3,"State","WV","Category",5,"Category2","Four-Year")</f>
        <v>59307.394686111104</v>
      </c>
      <c r="K28" s="119">
        <f t="shared" si="4"/>
        <v>5</v>
      </c>
      <c r="L28" s="566">
        <f>+GETPIVOTDATA(" Old All Ranks avg",'Averages Pivot Table'!$A$3,"State","WV","Category",6,"Category2","Four-Year")</f>
        <v>54021.619901543745</v>
      </c>
      <c r="M28" s="119">
        <f t="shared" si="5"/>
        <v>9</v>
      </c>
      <c r="N28" s="567">
        <f>+GETPIVOTDATA(" Old All Ranks avg",'Averages Pivot Table'!$A$3,"State","WV","Category2","Four-Year")</f>
        <v>65285.464099351499</v>
      </c>
      <c r="O28" s="119">
        <f t="shared" si="6"/>
        <v>14</v>
      </c>
      <c r="Q28" s="562"/>
      <c r="S28" s="212"/>
    </row>
    <row r="29" spans="1:19" ht="30" customHeight="1" x14ac:dyDescent="0.25">
      <c r="A29" s="666" t="s">
        <v>91</v>
      </c>
      <c r="B29" s="682"/>
      <c r="C29" s="682"/>
      <c r="D29" s="682"/>
      <c r="E29" s="682"/>
      <c r="F29" s="682"/>
      <c r="G29" s="682"/>
      <c r="H29" s="682"/>
      <c r="I29" s="682"/>
      <c r="J29" s="682"/>
      <c r="K29" s="682"/>
      <c r="L29" s="682"/>
      <c r="M29" s="682"/>
      <c r="N29" s="683"/>
      <c r="O29" s="683"/>
      <c r="Q29" s="549"/>
    </row>
    <row r="30" spans="1:19" x14ac:dyDescent="0.25">
      <c r="O30" s="157" t="s">
        <v>1083</v>
      </c>
      <c r="Q30" s="549"/>
    </row>
    <row r="31" spans="1:19" ht="18" x14ac:dyDescent="0.25">
      <c r="A31" s="544" t="s">
        <v>260</v>
      </c>
      <c r="B31" s="544"/>
      <c r="C31" s="544"/>
      <c r="D31" s="544"/>
      <c r="E31" s="544"/>
      <c r="F31" s="544"/>
      <c r="G31" s="544"/>
      <c r="H31" s="544"/>
      <c r="I31" s="544"/>
      <c r="J31" s="544"/>
      <c r="K31" s="544"/>
      <c r="L31" s="544"/>
      <c r="M31" s="544"/>
      <c r="Q31" s="549"/>
    </row>
    <row r="32" spans="1:19" x14ac:dyDescent="0.25">
      <c r="A32" s="93"/>
      <c r="B32" s="93"/>
      <c r="C32" s="93"/>
      <c r="D32" s="93"/>
      <c r="E32" s="93"/>
      <c r="F32" s="93"/>
      <c r="G32" s="113"/>
      <c r="H32" s="113"/>
      <c r="I32" s="113"/>
      <c r="J32" s="113"/>
      <c r="K32" s="113"/>
      <c r="Q32" s="549"/>
    </row>
    <row r="33" spans="1:19" x14ac:dyDescent="0.25">
      <c r="A33" s="665" t="s">
        <v>204</v>
      </c>
      <c r="B33" s="665"/>
      <c r="C33" s="665"/>
      <c r="D33" s="665"/>
      <c r="E33" s="665"/>
      <c r="F33" s="665"/>
      <c r="G33" s="665"/>
      <c r="H33" s="665"/>
      <c r="I33" s="665"/>
      <c r="J33" s="665"/>
      <c r="K33" s="665"/>
      <c r="L33" s="665"/>
      <c r="M33" s="665"/>
      <c r="Q33" s="549"/>
    </row>
    <row r="34" spans="1:19" x14ac:dyDescent="0.25">
      <c r="A34" s="665" t="s">
        <v>319</v>
      </c>
      <c r="B34" s="665"/>
      <c r="C34" s="665"/>
      <c r="D34" s="665"/>
      <c r="E34" s="665"/>
      <c r="F34" s="665"/>
      <c r="G34" s="665"/>
      <c r="H34" s="665"/>
      <c r="I34" s="665"/>
      <c r="J34" s="665"/>
      <c r="K34" s="665"/>
      <c r="L34" s="665"/>
      <c r="M34" s="665"/>
      <c r="Q34" s="549"/>
    </row>
    <row r="35" spans="1:19" x14ac:dyDescent="0.25">
      <c r="A35" s="93"/>
      <c r="B35" s="93"/>
      <c r="C35" s="93"/>
      <c r="D35" s="93"/>
      <c r="E35" s="93"/>
      <c r="F35" s="93"/>
      <c r="G35" s="113"/>
      <c r="H35" s="113"/>
      <c r="I35" s="113"/>
      <c r="J35" s="113"/>
      <c r="K35" s="113"/>
      <c r="L35" s="105"/>
      <c r="M35" s="105"/>
      <c r="N35" s="105"/>
      <c r="O35" s="105"/>
      <c r="Q35" s="549"/>
    </row>
    <row r="36" spans="1:19" ht="24" x14ac:dyDescent="0.25">
      <c r="A36" s="547"/>
      <c r="B36" s="568" t="s">
        <v>73</v>
      </c>
      <c r="C36" s="569"/>
      <c r="D36" s="143" t="s">
        <v>202</v>
      </c>
      <c r="E36" s="115"/>
      <c r="F36" s="143" t="s">
        <v>203</v>
      </c>
      <c r="G36" s="115"/>
      <c r="H36" s="143" t="s">
        <v>74</v>
      </c>
      <c r="I36" s="115"/>
      <c r="J36" s="548" t="s">
        <v>75</v>
      </c>
      <c r="K36" s="115"/>
      <c r="N36" s="137" t="s">
        <v>223</v>
      </c>
      <c r="O36" s="120"/>
      <c r="Q36" s="549"/>
    </row>
    <row r="37" spans="1:19" x14ac:dyDescent="0.25">
      <c r="A37" s="551"/>
      <c r="B37" s="570" t="s">
        <v>103</v>
      </c>
      <c r="C37" s="145" t="s">
        <v>193</v>
      </c>
      <c r="D37" s="570" t="s">
        <v>103</v>
      </c>
      <c r="E37" s="145" t="s">
        <v>193</v>
      </c>
      <c r="F37" s="570" t="s">
        <v>103</v>
      </c>
      <c r="G37" s="145" t="s">
        <v>193</v>
      </c>
      <c r="H37" s="570" t="s">
        <v>103</v>
      </c>
      <c r="I37" s="145" t="s">
        <v>193</v>
      </c>
      <c r="J37" s="571" t="s">
        <v>103</v>
      </c>
      <c r="K37" s="145" t="s">
        <v>193</v>
      </c>
      <c r="N37" s="572"/>
      <c r="O37" s="121"/>
      <c r="Q37" s="549"/>
    </row>
    <row r="38" spans="1:19" s="556" customFormat="1" ht="18" customHeight="1" x14ac:dyDescent="0.25">
      <c r="A38" s="554" t="s">
        <v>222</v>
      </c>
      <c r="B38" s="146">
        <f>+GETPIVOTDATA(" Old All Ranks avg",'Averages Pivot Table'!$A$3,"Category",7,"Category2","Two-Year")</f>
        <v>54704.754153011076</v>
      </c>
      <c r="C38" s="146"/>
      <c r="D38" s="146">
        <f>+GETPIVOTDATA(" Old All Ranks avg",'Averages Pivot Table'!$A$3,"Category",8,"Category2","Two-Year")</f>
        <v>53637.213173291741</v>
      </c>
      <c r="E38" s="146"/>
      <c r="F38" s="146">
        <f>+GETPIVOTDATA(" Old All Ranks avg",'Averages Pivot Table'!$A$3,"Category",9,"Category2","Two-Year")</f>
        <v>48691.620113288482</v>
      </c>
      <c r="G38" s="146"/>
      <c r="H38" s="146">
        <f>+GETPIVOTDATA(" Old All Ranks avg",'Averages Pivot Table'!$A$3,"Category",10,"Category2","Two-Year")</f>
        <v>45773.151378810107</v>
      </c>
      <c r="I38" s="151"/>
      <c r="J38" s="573">
        <f>+GETPIVOTDATA(" Old All Ranks avg",'Averages Pivot Table'!$A$3,"Category2","Two-Year")</f>
        <v>51679.10817866453</v>
      </c>
      <c r="K38" s="146"/>
      <c r="N38" s="122"/>
      <c r="O38" s="122"/>
      <c r="Q38" s="557"/>
      <c r="R38" s="558"/>
      <c r="S38" s="559"/>
    </row>
    <row r="39" spans="1:19" ht="12.95" customHeight="1" x14ac:dyDescent="0.25">
      <c r="A39" s="132"/>
      <c r="B39" s="123"/>
      <c r="C39" s="150"/>
      <c r="D39" s="123"/>
      <c r="E39" s="150"/>
      <c r="F39" s="574"/>
      <c r="G39" s="147"/>
      <c r="H39" s="147"/>
      <c r="I39" s="147"/>
      <c r="J39" s="223"/>
      <c r="K39" s="147"/>
      <c r="Q39" s="562"/>
      <c r="S39" s="212"/>
    </row>
    <row r="40" spans="1:19" ht="12.95" customHeight="1" x14ac:dyDescent="0.25">
      <c r="A40" s="132" t="s">
        <v>205</v>
      </c>
      <c r="B40" s="124">
        <f>+GETPIVOTDATA(" Old All Ranks avg",'Averages Pivot Table'!$A$3,"State","AL","Category",7,"Category2","Two-Year")</f>
        <v>0</v>
      </c>
      <c r="C40" s="118">
        <f t="shared" ref="C40:C58" si="7">IF(B40&gt;0,(RANK(B40,B$40:B$58)),0)</f>
        <v>0</v>
      </c>
      <c r="D40" s="124">
        <f>+GETPIVOTDATA(" Old All Ranks avg",'Averages Pivot Table'!$A$3,"State","AL","Category",8,"Category2","Two-Year")</f>
        <v>53107.406635650623</v>
      </c>
      <c r="E40" s="118">
        <f t="shared" ref="E40:E58" si="8">IF(D40&gt;0,(RANK(D40,D$40:D$58)),0)</f>
        <v>5</v>
      </c>
      <c r="F40" s="124">
        <f>+GETPIVOTDATA(" Old All Ranks avg",'Averages Pivot Table'!$A$3,"State","AL","Category",9,"Category2","Two-Year")</f>
        <v>53267.022607226354</v>
      </c>
      <c r="G40" s="118">
        <f t="shared" ref="G40:G58" si="9">IF(F40&gt;0,(RANK(F40,F$40:F$58)),0)</f>
        <v>3</v>
      </c>
      <c r="H40" s="575">
        <f>+GETPIVOTDATA(" Old All Ranks avg",'Averages Pivot Table'!$A$3,"State","AL","Category",10,"Category2","Two-Year")</f>
        <v>51974.395768265684</v>
      </c>
      <c r="I40" s="118">
        <f t="shared" ref="I40:I58" si="10">IF(H40&gt;0,(RANK(H40,H$40:H$58)),0)</f>
        <v>4</v>
      </c>
      <c r="J40" s="576">
        <f>+GETPIVOTDATA(" Old All Ranks avg",'Averages Pivot Table'!$A$3,"State","AL","Category2","Two-Year")</f>
        <v>53018.942272532433</v>
      </c>
      <c r="K40" s="118">
        <f>IF(J40&gt;0,(RANK(J40,J$40:J$58)),0)</f>
        <v>6</v>
      </c>
      <c r="Q40" s="562"/>
      <c r="S40" s="212"/>
    </row>
    <row r="41" spans="1:19" ht="12.95" customHeight="1" x14ac:dyDescent="0.25">
      <c r="A41" s="132" t="s">
        <v>206</v>
      </c>
      <c r="B41" s="124">
        <f>+GETPIVOTDATA(" Old All Ranks avg",'Averages Pivot Table'!$A$3,"State","AR","Category",7,"Category2","Two-Year")</f>
        <v>0</v>
      </c>
      <c r="C41" s="118">
        <f t="shared" si="7"/>
        <v>0</v>
      </c>
      <c r="D41" s="124">
        <f>+GETPIVOTDATA(" Old All Ranks avg",'Averages Pivot Table'!$A$3,"State","AR","Category",8,"Category2","Two-Year")</f>
        <v>48797.317589808918</v>
      </c>
      <c r="E41" s="118">
        <f t="shared" si="8"/>
        <v>10</v>
      </c>
      <c r="F41" s="124">
        <f>+GETPIVOTDATA(" Old All Ranks avg",'Averages Pivot Table'!$A$3,"State","AR","Category",9,"Category2","Two-Year")</f>
        <v>43161.708376415088</v>
      </c>
      <c r="G41" s="118">
        <f t="shared" si="9"/>
        <v>15</v>
      </c>
      <c r="H41" s="575">
        <f>+GETPIVOTDATA(" Old All Ranks avg",'Averages Pivot Table'!$A$3,"State","AR","Category",10,"Category2","Two-Year")</f>
        <v>41852.148659777784</v>
      </c>
      <c r="I41" s="118">
        <f t="shared" si="10"/>
        <v>15</v>
      </c>
      <c r="J41" s="576">
        <f>+GETPIVOTDATA(" Old All Ranks avg",'Averages Pivot Table'!$A$3,"State","AR","Category2","Two-Year")</f>
        <v>43576.138634502102</v>
      </c>
      <c r="K41" s="118">
        <f>IF(J41&gt;0,(RANK(J41,J$40:J$58)),0)</f>
        <v>16</v>
      </c>
      <c r="Q41" s="562"/>
      <c r="S41" s="212"/>
    </row>
    <row r="42" spans="1:19" ht="12.95" customHeight="1" x14ac:dyDescent="0.25">
      <c r="A42" s="132" t="s">
        <v>221</v>
      </c>
      <c r="B42" s="124">
        <f>+GETPIVOTDATA(" Old All Ranks avg",'Averages Pivot Table'!$A$3,"State","DE","Category",7,"Category2","Two-Year")</f>
        <v>0</v>
      </c>
      <c r="C42" s="118">
        <f t="shared" si="7"/>
        <v>0</v>
      </c>
      <c r="D42" s="124">
        <f>+GETPIVOTDATA(" Old All Ranks avg",'Averages Pivot Table'!$A$3,"State","DE","Category",8,"Category2","Two-Year")</f>
        <v>63950.964324022345</v>
      </c>
      <c r="E42" s="118">
        <f t="shared" si="8"/>
        <v>2</v>
      </c>
      <c r="F42" s="124">
        <f>+GETPIVOTDATA(" Old All Ranks avg",'Averages Pivot Table'!$A$3,"State","DE","Category",9,"Category2","Two-Year")</f>
        <v>63649.230462809915</v>
      </c>
      <c r="G42" s="118">
        <f t="shared" si="9"/>
        <v>1</v>
      </c>
      <c r="H42" s="575">
        <f>+GETPIVOTDATA(" Old All Ranks avg",'Averages Pivot Table'!$A$3,"State","DE","Category",10,"Category2","Two-Year")</f>
        <v>63715.690800000004</v>
      </c>
      <c r="I42" s="118">
        <f t="shared" si="10"/>
        <v>1</v>
      </c>
      <c r="J42" s="576">
        <f>+GETPIVOTDATA(" Old All Ranks avg",'Averages Pivot Table'!$A$3,"State","DE","Category2","Two-Year")</f>
        <v>63804.420643749996</v>
      </c>
      <c r="K42" s="118">
        <f>IF(J42&gt;0,(RANK(J42,J$40:J$58)),0)</f>
        <v>2</v>
      </c>
      <c r="Q42" s="562"/>
      <c r="S42" s="212"/>
    </row>
    <row r="43" spans="1:19" ht="12.95" customHeight="1" x14ac:dyDescent="0.25">
      <c r="A43" s="132" t="s">
        <v>207</v>
      </c>
      <c r="B43" s="124">
        <f>+GETPIVOTDATA(" Old All Ranks avg",'Averages Pivot Table'!$A$3,"State","FL","Category",7,"Category2","Two-Year")</f>
        <v>57557.836516068935</v>
      </c>
      <c r="C43" s="118">
        <f t="shared" si="7"/>
        <v>1</v>
      </c>
      <c r="D43" s="124">
        <f>+GETPIVOTDATA(" Old All Ranks avg",'Averages Pivot Table'!$A$3,"State","FL","Category",8,"Category2","Two-Year")</f>
        <v>53060.702731092439</v>
      </c>
      <c r="E43" s="118">
        <f t="shared" si="8"/>
        <v>6</v>
      </c>
      <c r="F43" s="124">
        <f>+GETPIVOTDATA(" Old All Ranks avg",'Averages Pivot Table'!$A$3,"State","FL","Category",9,"Category2","Two-Year")</f>
        <v>46161.699769053121</v>
      </c>
      <c r="G43" s="118">
        <f t="shared" si="9"/>
        <v>10</v>
      </c>
      <c r="H43" s="575">
        <f>+GETPIVOTDATA(" Old All Ranks avg",'Averages Pivot Table'!$A$3,"State","FL","Category",10,"Category2","Two-Year")</f>
        <v>50101.859649122809</v>
      </c>
      <c r="I43" s="118">
        <f t="shared" si="10"/>
        <v>6</v>
      </c>
      <c r="J43" s="576">
        <f>+GETPIVOTDATA(" Old All Ranks avg",'Averages Pivot Table'!$A$3,"State","FL","Category2","Two-Year")</f>
        <v>54243.92208265065</v>
      </c>
      <c r="K43" s="118">
        <f>IF(J43&gt;0,(RANK(J43,J$40:J$58)),0)</f>
        <v>4</v>
      </c>
      <c r="Q43" s="562"/>
      <c r="S43" s="212"/>
    </row>
    <row r="44" spans="1:19" ht="12.95" customHeight="1" x14ac:dyDescent="0.25">
      <c r="A44" s="132"/>
      <c r="B44" s="124"/>
      <c r="C44" s="118"/>
      <c r="D44" s="124"/>
      <c r="E44" s="118"/>
      <c r="F44" s="124"/>
      <c r="G44" s="118"/>
      <c r="H44" s="575"/>
      <c r="I44" s="118"/>
      <c r="J44" s="576"/>
      <c r="K44" s="118"/>
      <c r="Q44" s="562"/>
      <c r="S44" s="212"/>
    </row>
    <row r="45" spans="1:19" ht="12.95" customHeight="1" x14ac:dyDescent="0.25">
      <c r="A45" s="132" t="s">
        <v>208</v>
      </c>
      <c r="B45" s="124">
        <f>+GETPIVOTDATA(" Old All Ranks avg",'Averages Pivot Table'!$A$3,"State","GA","Category",7,"Category2","Two-Year")</f>
        <v>49898.093414316711</v>
      </c>
      <c r="C45" s="118">
        <f t="shared" si="7"/>
        <v>4</v>
      </c>
      <c r="D45" s="124">
        <f>+GETPIVOTDATA(" Old All Ranks avg",'Averages Pivot Table'!$A$3,"State","GA","Category",8,"Category2","Two-Year")</f>
        <v>50469.596227610629</v>
      </c>
      <c r="E45" s="118">
        <f t="shared" si="8"/>
        <v>8</v>
      </c>
      <c r="F45" s="124">
        <f>+GETPIVOTDATA(" Old All Ranks avg",'Averages Pivot Table'!$A$3,"State","GA","Category",9,"Category2","Two-Year")</f>
        <v>45727.225563689193</v>
      </c>
      <c r="G45" s="118">
        <f t="shared" si="9"/>
        <v>11</v>
      </c>
      <c r="H45" s="575">
        <f>+GETPIVOTDATA(" Old All Ranks avg",'Averages Pivot Table'!$A$3,"State","GA","Category",10,"Category2","Two-Year")</f>
        <v>42884.390000000007</v>
      </c>
      <c r="I45" s="118">
        <f t="shared" si="10"/>
        <v>12</v>
      </c>
      <c r="J45" s="576">
        <f>+GETPIVOTDATA(" Old All Ranks avg",'Averages Pivot Table'!$A$3,"State","GA","Category2","Two-Year")</f>
        <v>47971.754367968657</v>
      </c>
      <c r="K45" s="118">
        <f>IF(J45&gt;0,(RANK(J45,J$40:J$58)),0)</f>
        <v>11</v>
      </c>
      <c r="Q45" s="562"/>
      <c r="S45" s="212"/>
    </row>
    <row r="46" spans="1:19" ht="12.95" customHeight="1" x14ac:dyDescent="0.25">
      <c r="A46" s="132" t="s">
        <v>209</v>
      </c>
      <c r="B46" s="124">
        <f>+GETPIVOTDATA(" Old All Ranks avg",'Averages Pivot Table'!$A$3,"State","KY","Category",7,"Category2","Two-Year")</f>
        <v>0</v>
      </c>
      <c r="C46" s="118">
        <f t="shared" si="7"/>
        <v>0</v>
      </c>
      <c r="D46" s="124">
        <f>+GETPIVOTDATA(" Old All Ranks avg",'Averages Pivot Table'!$A$3,"State","KY","Category",8,"Category2","Two-Year")</f>
        <v>49864.814483203125</v>
      </c>
      <c r="E46" s="118">
        <f t="shared" si="8"/>
        <v>9</v>
      </c>
      <c r="F46" s="124">
        <f>+GETPIVOTDATA(" Old All Ranks avg",'Averages Pivot Table'!$A$3,"State","KY","Category",9,"Category2","Two-Year")</f>
        <v>47706.153072694397</v>
      </c>
      <c r="G46" s="118">
        <f t="shared" si="9"/>
        <v>6</v>
      </c>
      <c r="H46" s="575">
        <f>+GETPIVOTDATA(" Old All Ranks avg",'Averages Pivot Table'!$A$3,"State","KY","Category",10,"Category2","Two-Year")</f>
        <v>50811.44674394904</v>
      </c>
      <c r="I46" s="118">
        <f t="shared" si="10"/>
        <v>5</v>
      </c>
      <c r="J46" s="576">
        <f>+GETPIVOTDATA(" Old All Ranks avg",'Averages Pivot Table'!$A$3,"State","KY","Category2","Two-Year")</f>
        <v>48603.485888788731</v>
      </c>
      <c r="K46" s="118">
        <f>IF(J46&gt;0,(RANK(J46,J$40:J$58)),0)</f>
        <v>9</v>
      </c>
      <c r="Q46" s="562"/>
      <c r="S46" s="212"/>
    </row>
    <row r="47" spans="1:19" ht="12.95" customHeight="1" x14ac:dyDescent="0.25">
      <c r="A47" s="132" t="s">
        <v>210</v>
      </c>
      <c r="B47" s="124">
        <f>+GETPIVOTDATA(" Old All Ranks avg",'Averages Pivot Table'!$A$3,"State","LA","Category",7,"Category2","Two-Year")</f>
        <v>0</v>
      </c>
      <c r="C47" s="118">
        <f t="shared" si="7"/>
        <v>0</v>
      </c>
      <c r="D47" s="124">
        <f>+GETPIVOTDATA(" Old All Ranks avg",'Averages Pivot Table'!$A$3,"State","LA","Category",8,"Category2","Two-Year")</f>
        <v>54621.772600000004</v>
      </c>
      <c r="E47" s="118">
        <f t="shared" si="8"/>
        <v>4</v>
      </c>
      <c r="F47" s="124">
        <f>+GETPIVOTDATA(" Old All Ranks avg",'Averages Pivot Table'!$A$3,"State","LA","Category",9,"Category2","Two-Year")</f>
        <v>43833.85845</v>
      </c>
      <c r="G47" s="118">
        <f t="shared" si="9"/>
        <v>14</v>
      </c>
      <c r="H47" s="575">
        <f>+GETPIVOTDATA(" Old All Ranks avg",'Averages Pivot Table'!$A$3,"State","LA","Category",10,"Category2","Two-Year")</f>
        <v>42470.149945714293</v>
      </c>
      <c r="I47" s="118">
        <f t="shared" si="10"/>
        <v>13</v>
      </c>
      <c r="J47" s="576">
        <f>+GETPIVOTDATA(" Old All Ranks avg",'Averages Pivot Table'!$A$3,"State","LA","Category2","Two-Year")</f>
        <v>49938.14158728972</v>
      </c>
      <c r="K47" s="118">
        <f>IF(J47&gt;0,(RANK(J47,J$40:J$58)),0)</f>
        <v>7</v>
      </c>
      <c r="Q47" s="562"/>
      <c r="S47" s="212"/>
    </row>
    <row r="48" spans="1:19" ht="12.95" customHeight="1" x14ac:dyDescent="0.25">
      <c r="A48" s="132" t="s">
        <v>211</v>
      </c>
      <c r="B48" s="124">
        <f>+GETPIVOTDATA(" Old All Ranks avg",'Averages Pivot Table'!$A$3,"State","MD","Category",7,"Category2","Two-Year")</f>
        <v>0</v>
      </c>
      <c r="C48" s="118">
        <f t="shared" si="7"/>
        <v>0</v>
      </c>
      <c r="D48" s="124">
        <f>+GETPIVOTDATA(" Old All Ranks avg",'Averages Pivot Table'!$A$3,"State","MD","Category",8,"Category2","Two-Year")</f>
        <v>69383.191922772268</v>
      </c>
      <c r="E48" s="118">
        <f t="shared" si="8"/>
        <v>1</v>
      </c>
      <c r="F48" s="124">
        <f>+GETPIVOTDATA(" Old All Ranks avg",'Averages Pivot Table'!$A$3,"State","MD","Category",9,"Category2","Two-Year")</f>
        <v>57177.534984383747</v>
      </c>
      <c r="G48" s="118">
        <f t="shared" si="9"/>
        <v>2</v>
      </c>
      <c r="H48" s="575">
        <f>+GETPIVOTDATA(" Old All Ranks avg",'Averages Pivot Table'!$A$3,"State","MD","Category",10,"Category2","Two-Year")</f>
        <v>60503.105001587304</v>
      </c>
      <c r="I48" s="118">
        <f t="shared" si="10"/>
        <v>2</v>
      </c>
      <c r="J48" s="576">
        <f>+GETPIVOTDATA(" Old All Ranks avg",'Averages Pivot Table'!$A$3,"State","MD","Category2","Two-Year")</f>
        <v>65745.12407672072</v>
      </c>
      <c r="K48" s="118">
        <f>IF(J48&gt;0,(RANK(J48,J$40:J$58)),0)</f>
        <v>1</v>
      </c>
      <c r="Q48" s="562"/>
      <c r="S48" s="212"/>
    </row>
    <row r="49" spans="1:19" ht="12.95" customHeight="1" x14ac:dyDescent="0.25">
      <c r="A49" s="132"/>
      <c r="B49" s="124"/>
      <c r="C49" s="118"/>
      <c r="D49" s="124"/>
      <c r="E49" s="118"/>
      <c r="F49" s="124"/>
      <c r="G49" s="118"/>
      <c r="H49" s="575"/>
      <c r="I49" s="118"/>
      <c r="J49" s="576"/>
      <c r="K49" s="118"/>
      <c r="Q49" s="562"/>
      <c r="S49" s="212"/>
    </row>
    <row r="50" spans="1:19" x14ac:dyDescent="0.25">
      <c r="A50" s="132" t="s">
        <v>212</v>
      </c>
      <c r="B50" s="124">
        <f>+GETPIVOTDATA(" Old All Ranks avg",'Averages Pivot Table'!$A$3,"State","MS","Category",7,"Category2","Two-Year")</f>
        <v>0</v>
      </c>
      <c r="C50" s="118">
        <f t="shared" si="7"/>
        <v>0</v>
      </c>
      <c r="D50" s="124">
        <f>+GETPIVOTDATA(" Old All Ranks avg",'Averages Pivot Table'!$A$3,"State","MS","Category",8,"Category2","Two-Year")</f>
        <v>48532.744048788845</v>
      </c>
      <c r="E50" s="118">
        <f t="shared" si="8"/>
        <v>11</v>
      </c>
      <c r="F50" s="124">
        <f>+GETPIVOTDATA(" Old All Ranks avg",'Averages Pivot Table'!$A$3,"State","MS","Category",9,"Category2","Two-Year")</f>
        <v>50427.004317114108</v>
      </c>
      <c r="G50" s="118">
        <f t="shared" si="9"/>
        <v>4</v>
      </c>
      <c r="H50" s="575">
        <f>+GETPIVOTDATA(" Old All Ranks avg",'Averages Pivot Table'!$A$3,"State","MS","Category",10,"Category2","Two-Year")</f>
        <v>46379.342922758617</v>
      </c>
      <c r="I50" s="118">
        <f t="shared" si="10"/>
        <v>8</v>
      </c>
      <c r="J50" s="576">
        <f>+GETPIVOTDATA(" Old All Ranks avg",'Averages Pivot Table'!$A$3,"State","MS","Category2","Two-Year")</f>
        <v>49309.383603560455</v>
      </c>
      <c r="K50" s="118">
        <f>IF(J50&gt;0,(RANK(J50,J$40:J$58)),0)</f>
        <v>8</v>
      </c>
      <c r="Q50" s="562"/>
      <c r="S50" s="212"/>
    </row>
    <row r="51" spans="1:19" ht="12.95" customHeight="1" x14ac:dyDescent="0.25">
      <c r="A51" s="132" t="s">
        <v>213</v>
      </c>
      <c r="B51" s="124">
        <f>+GETPIVOTDATA(" Old All Ranks avg",'Averages Pivot Table'!$A$3,"State","NC","Category",7,"Category2","Two-Year")</f>
        <v>0</v>
      </c>
      <c r="C51" s="118">
        <f t="shared" si="7"/>
        <v>0</v>
      </c>
      <c r="D51" s="124">
        <f>+GETPIVOTDATA(" Old All Ranks avg",'Averages Pivot Table'!$A$3,"State","NC","Category",8,"Category2","Two-Year")</f>
        <v>47747.426765799253</v>
      </c>
      <c r="E51" s="118">
        <f t="shared" si="8"/>
        <v>12</v>
      </c>
      <c r="F51" s="124">
        <f>+GETPIVOTDATA(" Old All Ranks avg",'Averages Pivot Table'!$A$3,"State","NC","Category",9,"Category2","Two-Year")</f>
        <v>47465.146570397112</v>
      </c>
      <c r="G51" s="118">
        <f t="shared" si="9"/>
        <v>7</v>
      </c>
      <c r="H51" s="575">
        <f>+GETPIVOTDATA(" Old All Ranks avg",'Averages Pivot Table'!$A$3,"State","NC","Category",10,"Category2","Two-Year")</f>
        <v>45986.983667409055</v>
      </c>
      <c r="I51" s="118">
        <f t="shared" si="10"/>
        <v>9</v>
      </c>
      <c r="J51" s="576">
        <f>+GETPIVOTDATA(" Old All Ranks avg",'Averages Pivot Table'!$A$3,"State","NC","Category2","Two-Year")</f>
        <v>47284.192889672398</v>
      </c>
      <c r="K51" s="118">
        <f>IF(J51&gt;0,(RANK(J51,J$40:J$58)),0)</f>
        <v>12</v>
      </c>
      <c r="Q51" s="562"/>
      <c r="S51" s="212"/>
    </row>
    <row r="52" spans="1:19" ht="12.95" customHeight="1" x14ac:dyDescent="0.25">
      <c r="A52" s="132" t="s">
        <v>214</v>
      </c>
      <c r="B52" s="124">
        <f>+GETPIVOTDATA(" Old All Ranks avg",'Averages Pivot Table'!$A$3,"State","OK","Category",7,"Category2","Two-Year")</f>
        <v>50883.843137254902</v>
      </c>
      <c r="C52" s="118">
        <f t="shared" si="7"/>
        <v>3</v>
      </c>
      <c r="D52" s="124">
        <f>+GETPIVOTDATA(" Old All Ranks avg",'Averages Pivot Table'!$A$3,"State","OK","Category",8,"Category2","Two-Year")</f>
        <v>51633.238653475935</v>
      </c>
      <c r="E52" s="118">
        <f t="shared" si="8"/>
        <v>7</v>
      </c>
      <c r="F52" s="124">
        <f>+GETPIVOTDATA(" Old All Ranks avg",'Averages Pivot Table'!$A$3,"State","OK","Category",9,"Category2","Two-Year")</f>
        <v>46166.305581052628</v>
      </c>
      <c r="G52" s="118">
        <f t="shared" si="9"/>
        <v>9</v>
      </c>
      <c r="H52" s="575">
        <f>+GETPIVOTDATA(" Old All Ranks avg",'Averages Pivot Table'!$A$3,"State","OK","Category",10,"Category2","Two-Year")</f>
        <v>43035.543432978724</v>
      </c>
      <c r="I52" s="118">
        <f t="shared" si="10"/>
        <v>11</v>
      </c>
      <c r="J52" s="576">
        <f>+GETPIVOTDATA(" Old All Ranks avg",'Averages Pivot Table'!$A$3,"State","OK","Category2","Two-Year")</f>
        <v>48473.878839482204</v>
      </c>
      <c r="K52" s="118">
        <f>IF(J52&gt;0,(RANK(J52,J$40:J$58)),0)</f>
        <v>10</v>
      </c>
      <c r="Q52" s="562"/>
      <c r="S52" s="212"/>
    </row>
    <row r="53" spans="1:19" ht="12.95" customHeight="1" x14ac:dyDescent="0.25">
      <c r="A53" s="132" t="s">
        <v>215</v>
      </c>
      <c r="B53" s="124">
        <f>+GETPIVOTDATA(" Old All Ranks avg",'Averages Pivot Table'!$A$3,"State","SC","Category",7,"Category2","Two-Year")</f>
        <v>0</v>
      </c>
      <c r="C53" s="118">
        <f t="shared" si="7"/>
        <v>0</v>
      </c>
      <c r="D53" s="124">
        <f>+GETPIVOTDATA(" Old All Ranks avg",'Averages Pivot Table'!$A$3,"State","SC","Category",8,"Category2","Two-Year")</f>
        <v>46855.321899736147</v>
      </c>
      <c r="E53" s="118">
        <f t="shared" si="8"/>
        <v>13</v>
      </c>
      <c r="F53" s="124">
        <f>+GETPIVOTDATA(" Old All Ranks avg",'Averages Pivot Table'!$A$3,"State","SC","Category",9,"Category2","Two-Year")</f>
        <v>45562.785294117646</v>
      </c>
      <c r="G53" s="118">
        <f t="shared" si="9"/>
        <v>12</v>
      </c>
      <c r="H53" s="575">
        <f>+GETPIVOTDATA(" Old All Ranks avg",'Averages Pivot Table'!$A$3,"State","SC","Category",10,"Category2","Two-Year")</f>
        <v>45150.896684251966</v>
      </c>
      <c r="I53" s="118">
        <f t="shared" si="10"/>
        <v>10</v>
      </c>
      <c r="J53" s="576">
        <f>+GETPIVOTDATA(" Old All Ranks avg",'Averages Pivot Table'!$A$3,"State","SC","Category2","Two-Year")</f>
        <v>46221.884479864799</v>
      </c>
      <c r="K53" s="118">
        <f>IF(J53&gt;0,(RANK(J53,J$40:J$58)),0)</f>
        <v>15</v>
      </c>
      <c r="Q53" s="562"/>
      <c r="S53" s="212"/>
    </row>
    <row r="54" spans="1:19" ht="12.95" customHeight="1" x14ac:dyDescent="0.25">
      <c r="A54" s="132"/>
      <c r="B54" s="124"/>
      <c r="C54" s="118"/>
      <c r="D54" s="124"/>
      <c r="E54" s="118"/>
      <c r="F54" s="124"/>
      <c r="G54" s="118"/>
      <c r="H54" s="575"/>
      <c r="I54" s="118"/>
      <c r="J54" s="576"/>
      <c r="K54" s="118"/>
      <c r="Q54" s="562"/>
      <c r="S54" s="212"/>
    </row>
    <row r="55" spans="1:19" ht="12.95" customHeight="1" x14ac:dyDescent="0.25">
      <c r="A55" s="132" t="s">
        <v>216</v>
      </c>
      <c r="B55" s="124">
        <f>+GETPIVOTDATA(" Old All Ranks avg",'Averages Pivot Table'!$A$3,"State","TN","Category",7,"Category2","Two-Year")</f>
        <v>0</v>
      </c>
      <c r="C55" s="118">
        <f t="shared" si="7"/>
        <v>0</v>
      </c>
      <c r="D55" s="124">
        <f>+GETPIVOTDATA(" Old All Ranks avg",'Averages Pivot Table'!$A$3,"State","TN","Category",8,"Category2","Two-Year")</f>
        <v>46424.999420855056</v>
      </c>
      <c r="E55" s="118">
        <f t="shared" si="8"/>
        <v>14</v>
      </c>
      <c r="F55" s="124">
        <f>+GETPIVOTDATA(" Old All Ranks avg",'Averages Pivot Table'!$A$3,"State","TN","Category",9,"Category2","Two-Year")</f>
        <v>46590.95081552941</v>
      </c>
      <c r="G55" s="118">
        <f t="shared" si="9"/>
        <v>8</v>
      </c>
      <c r="H55" s="575">
        <f>+GETPIVOTDATA(" Old All Ranks avg",'Averages Pivot Table'!$A$3,"State","TN","Category",10,"Category2","Two-Year")</f>
        <v>0</v>
      </c>
      <c r="I55" s="118">
        <f t="shared" si="10"/>
        <v>0</v>
      </c>
      <c r="J55" s="576">
        <f>+GETPIVOTDATA(" Old All Ranks avg",'Averages Pivot Table'!$A$3,"State","TN","Category2","Two-Year")</f>
        <v>46502.975476948595</v>
      </c>
      <c r="K55" s="118">
        <f>IF(J55&gt;0,(RANK(J55,J$40:J$58)),0)</f>
        <v>14</v>
      </c>
      <c r="O55" s="123"/>
      <c r="Q55" s="562"/>
      <c r="S55" s="212"/>
    </row>
    <row r="56" spans="1:19" ht="12.95" customHeight="1" x14ac:dyDescent="0.25">
      <c r="A56" s="132" t="s">
        <v>217</v>
      </c>
      <c r="B56" s="124">
        <f>+GETPIVOTDATA(" Old All Ranks avg",'Averages Pivot Table'!$A$3,"State","TX","Category",7,"Category2","Two-Year")</f>
        <v>51946.065672823221</v>
      </c>
      <c r="C56" s="118">
        <f t="shared" si="7"/>
        <v>2</v>
      </c>
      <c r="D56" s="124">
        <f>+GETPIVOTDATA(" Old All Ranks avg",'Averages Pivot Table'!$A$3,"State","TX","Category",8,"Category2","Two-Year")</f>
        <v>55386.922138906521</v>
      </c>
      <c r="E56" s="118">
        <f t="shared" si="8"/>
        <v>3</v>
      </c>
      <c r="F56" s="124">
        <f>+GETPIVOTDATA(" Old All Ranks avg",'Averages Pivot Table'!$A$3,"State","TX","Category",9,"Category2","Two-Year")</f>
        <v>48984.291104009528</v>
      </c>
      <c r="G56" s="118">
        <f t="shared" si="9"/>
        <v>5</v>
      </c>
      <c r="H56" s="575">
        <f>+GETPIVOTDATA(" Old All Ranks avg",'Averages Pivot Table'!$A$3,"State","TX","Category",10,"Category2","Two-Year")</f>
        <v>42399.341966795371</v>
      </c>
      <c r="I56" s="118">
        <f t="shared" si="10"/>
        <v>14</v>
      </c>
      <c r="J56" s="576">
        <f>+GETPIVOTDATA(" Old All Ranks avg",'Averages Pivot Table'!$A$3,"State","TX","Category2","Two-Year")</f>
        <v>53316.681219609753</v>
      </c>
      <c r="K56" s="118">
        <f>IF(J56&gt;0,(RANK(J56,J$40:J$58)),0)</f>
        <v>5</v>
      </c>
      <c r="O56" s="124"/>
      <c r="Q56" s="562"/>
      <c r="S56" s="212"/>
    </row>
    <row r="57" spans="1:19" ht="12.95" customHeight="1" x14ac:dyDescent="0.25">
      <c r="A57" s="132" t="s">
        <v>218</v>
      </c>
      <c r="B57" s="124">
        <f>+GETPIVOTDATA(" Old All Ranks avg",'Averages Pivot Table'!$A$3,"State","VA","Category",7,"Category2","Two-Year")</f>
        <v>0</v>
      </c>
      <c r="C57" s="118">
        <f t="shared" si="7"/>
        <v>0</v>
      </c>
      <c r="D57" s="124">
        <f>+GETPIVOTDATA(" Old All Ranks avg",'Averages Pivot Table'!$A$3,"State","VA","Category",8,"Category2","Two-Year")</f>
        <v>0</v>
      </c>
      <c r="E57" s="118">
        <f t="shared" si="8"/>
        <v>0</v>
      </c>
      <c r="F57" s="124">
        <f>+GETPIVOTDATA(" Old All Ranks avg",'Averages Pivot Table'!$A$3,"State","VA","Category",9,"Category2","Two-Year")</f>
        <v>0</v>
      </c>
      <c r="G57" s="118">
        <f t="shared" si="9"/>
        <v>0</v>
      </c>
      <c r="H57" s="575">
        <f>+GETPIVOTDATA(" Old All Ranks avg",'Averages Pivot Table'!$A$3,"State","VA","Category",10,"Category2","Two-Year")</f>
        <v>54434.63636363636</v>
      </c>
      <c r="I57" s="118">
        <f t="shared" si="10"/>
        <v>3</v>
      </c>
      <c r="J57" s="576">
        <f>+GETPIVOTDATA(" Old All Ranks avg",'Averages Pivot Table'!$A$3,"State","VA","Category2","Two-Year")</f>
        <v>56975.266498981851</v>
      </c>
      <c r="K57" s="118">
        <f>IF(J57&gt;0,(RANK(J57,J$40:J$58)),0)</f>
        <v>3</v>
      </c>
      <c r="O57" s="124"/>
      <c r="Q57" s="562"/>
      <c r="S57" s="212"/>
    </row>
    <row r="58" spans="1:19" ht="12.95" customHeight="1" x14ac:dyDescent="0.25">
      <c r="A58" s="6" t="s">
        <v>219</v>
      </c>
      <c r="B58" s="577">
        <f>+GETPIVOTDATA(" Old All Ranks avg",'Averages Pivot Table'!$A$3,"State","WV","Category",7,"Category2","Two-Year")</f>
        <v>46891.629959398495</v>
      </c>
      <c r="C58" s="119">
        <f t="shared" si="7"/>
        <v>5</v>
      </c>
      <c r="D58" s="577">
        <f>+GETPIVOTDATA(" Old All Ranks avg",'Averages Pivot Table'!$A$3,"State","WV","Category",8,"Category2","Two-Year")</f>
        <v>0</v>
      </c>
      <c r="E58" s="119">
        <f t="shared" si="8"/>
        <v>0</v>
      </c>
      <c r="F58" s="577">
        <f>+GETPIVOTDATA(" Old All Ranks avg",'Averages Pivot Table'!$A$3,"State","WV","Category",9,"Category2","Two-Year")</f>
        <v>44746.472580645161</v>
      </c>
      <c r="G58" s="119">
        <f t="shared" si="9"/>
        <v>13</v>
      </c>
      <c r="H58" s="578">
        <f>+GETPIVOTDATA(" Old All Ranks avg",'Averages Pivot Table'!$A$3,"State","WV","Category",10,"Category2","Two-Year")</f>
        <v>47485.874400555556</v>
      </c>
      <c r="I58" s="119">
        <f t="shared" si="10"/>
        <v>7</v>
      </c>
      <c r="J58" s="579">
        <f>+GETPIVOTDATA(" Old All Ranks avg",'Averages Pivot Table'!$A$3,"State","WV","Category2","Two-Year")</f>
        <v>47037.446610450446</v>
      </c>
      <c r="K58" s="119">
        <f>IF(J58&gt;0,(RANK(J58,J$40:J$58)),0)</f>
        <v>13</v>
      </c>
      <c r="O58" s="124"/>
      <c r="Q58" s="562"/>
      <c r="S58" s="212"/>
    </row>
    <row r="59" spans="1:19" ht="30" customHeight="1" x14ac:dyDescent="0.25">
      <c r="A59" s="677" t="s">
        <v>91</v>
      </c>
      <c r="B59" s="677"/>
      <c r="C59" s="677"/>
      <c r="D59" s="677"/>
      <c r="E59" s="677"/>
      <c r="F59" s="677"/>
      <c r="G59" s="677"/>
      <c r="H59" s="677"/>
      <c r="I59" s="677"/>
      <c r="J59" s="677"/>
      <c r="K59" s="677"/>
      <c r="L59" s="580"/>
      <c r="M59" s="580"/>
      <c r="N59" s="125"/>
      <c r="O59" s="125"/>
      <c r="Q59" s="549"/>
    </row>
    <row r="60" spans="1:19" x14ac:dyDescent="0.25">
      <c r="K60" s="157" t="s">
        <v>1083</v>
      </c>
      <c r="Q60" s="549"/>
    </row>
    <row r="61" spans="1:19" ht="18" x14ac:dyDescent="0.25">
      <c r="A61" s="544" t="s">
        <v>261</v>
      </c>
      <c r="B61" s="544"/>
      <c r="C61" s="544"/>
      <c r="D61" s="544"/>
      <c r="E61" s="544"/>
      <c r="F61" s="544"/>
      <c r="G61" s="544"/>
      <c r="H61" s="544"/>
      <c r="I61" s="544"/>
      <c r="J61" s="544" t="s">
        <v>223</v>
      </c>
      <c r="K61" s="544"/>
      <c r="L61" s="544"/>
      <c r="M61" s="544"/>
      <c r="O61" s="124"/>
      <c r="Q61" s="549"/>
    </row>
    <row r="62" spans="1:19" x14ac:dyDescent="0.25">
      <c r="A62" s="93"/>
      <c r="B62" s="93"/>
      <c r="C62" s="93"/>
      <c r="D62" s="93"/>
      <c r="E62" s="93"/>
      <c r="F62" s="93"/>
      <c r="G62" s="113"/>
      <c r="H62" s="113"/>
      <c r="I62" s="113"/>
      <c r="J62" s="113"/>
      <c r="K62" s="113"/>
      <c r="O62" s="124"/>
      <c r="Q62" s="549"/>
    </row>
    <row r="63" spans="1:19" x14ac:dyDescent="0.25">
      <c r="A63" s="665" t="s">
        <v>204</v>
      </c>
      <c r="B63" s="665"/>
      <c r="C63" s="665"/>
      <c r="D63" s="665"/>
      <c r="E63" s="665"/>
      <c r="F63" s="665"/>
      <c r="G63" s="665"/>
      <c r="H63" s="665"/>
      <c r="I63" s="665"/>
      <c r="J63" s="113" t="s">
        <v>223</v>
      </c>
      <c r="K63" s="113"/>
      <c r="O63" s="124"/>
      <c r="Q63" s="549"/>
    </row>
    <row r="64" spans="1:19" x14ac:dyDescent="0.25">
      <c r="A64" s="665" t="s">
        <v>305</v>
      </c>
      <c r="B64" s="665"/>
      <c r="C64" s="665"/>
      <c r="D64" s="665"/>
      <c r="E64" s="665"/>
      <c r="F64" s="665"/>
      <c r="G64" s="665"/>
      <c r="H64" s="665"/>
      <c r="I64" s="665"/>
      <c r="J64" s="113" t="s">
        <v>223</v>
      </c>
      <c r="K64" s="113"/>
      <c r="O64" s="124"/>
      <c r="Q64" s="549"/>
    </row>
    <row r="65" spans="1:19" x14ac:dyDescent="0.25">
      <c r="A65" s="93"/>
      <c r="B65" s="93"/>
      <c r="C65" s="93"/>
      <c r="D65" s="93"/>
      <c r="E65" s="93"/>
      <c r="F65" s="93"/>
      <c r="G65" s="113"/>
      <c r="H65" s="113"/>
      <c r="I65" s="113"/>
      <c r="J65" s="113"/>
      <c r="K65" s="113"/>
      <c r="L65" s="105"/>
      <c r="M65" s="105"/>
      <c r="N65" s="105"/>
      <c r="O65" s="126"/>
      <c r="Q65" s="549"/>
    </row>
    <row r="66" spans="1:19" s="556" customFormat="1" ht="48" customHeight="1" x14ac:dyDescent="0.2">
      <c r="A66" s="581"/>
      <c r="B66" s="582" t="s">
        <v>227</v>
      </c>
      <c r="C66" s="583"/>
      <c r="D66" s="582" t="s">
        <v>9</v>
      </c>
      <c r="E66" s="115"/>
      <c r="F66" s="584" t="s">
        <v>10</v>
      </c>
      <c r="G66" s="115"/>
      <c r="L66" s="585" t="s">
        <v>223</v>
      </c>
      <c r="M66" s="148"/>
      <c r="N66" s="585"/>
      <c r="O66" s="127"/>
      <c r="Q66" s="549"/>
      <c r="R66" s="558"/>
      <c r="S66" s="147"/>
    </row>
    <row r="67" spans="1:19" x14ac:dyDescent="0.25">
      <c r="A67" s="551"/>
      <c r="B67" s="570" t="s">
        <v>103</v>
      </c>
      <c r="C67" s="145" t="s">
        <v>193</v>
      </c>
      <c r="D67" s="570" t="s">
        <v>103</v>
      </c>
      <c r="E67" s="145" t="s">
        <v>193</v>
      </c>
      <c r="F67" s="571" t="s">
        <v>103</v>
      </c>
      <c r="G67" s="145" t="s">
        <v>193</v>
      </c>
      <c r="L67" s="572"/>
      <c r="M67" s="121"/>
      <c r="N67" s="572"/>
      <c r="O67" s="124"/>
      <c r="Q67" s="549"/>
    </row>
    <row r="68" spans="1:19" s="556" customFormat="1" ht="18" customHeight="1" x14ac:dyDescent="0.25">
      <c r="A68" s="554" t="s">
        <v>222</v>
      </c>
      <c r="B68" s="146">
        <f>+GETPIVOTDATA(" New All Ranks avg",'Averages Pivot Table'!$A$3,"Category",12,"Category2","Technical")</f>
        <v>44205.837539800697</v>
      </c>
      <c r="C68" s="146"/>
      <c r="D68" s="146">
        <f>+GETPIVOTDATA(" New All Ranks avg",'Averages Pivot Table'!$A$3,"Category",13,"Category2","Technical")</f>
        <v>45578.095484334925</v>
      </c>
      <c r="E68" s="146"/>
      <c r="F68" s="573">
        <f>+GETPIVOTDATA(" New All Ranks avg",'Averages Pivot Table'!$A$3,"Category2","Technical")</f>
        <v>44617.655667565545</v>
      </c>
      <c r="G68" s="146"/>
      <c r="J68" s="146"/>
      <c r="K68" s="146"/>
      <c r="L68" s="146"/>
      <c r="M68" s="122"/>
      <c r="N68" s="122"/>
      <c r="O68" s="127"/>
      <c r="Q68" s="557"/>
      <c r="R68" s="558"/>
      <c r="S68" s="559"/>
    </row>
    <row r="69" spans="1:19" ht="12.95" customHeight="1" x14ac:dyDescent="0.25">
      <c r="A69" s="132"/>
      <c r="B69" s="126"/>
      <c r="C69" s="126"/>
      <c r="D69" s="126"/>
      <c r="E69" s="126"/>
      <c r="F69" s="224"/>
      <c r="G69" s="90"/>
      <c r="J69" s="105"/>
      <c r="O69" s="124"/>
      <c r="Q69" s="562"/>
      <c r="S69" s="212"/>
    </row>
    <row r="70" spans="1:19" ht="12.95" customHeight="1" x14ac:dyDescent="0.25">
      <c r="A70" s="132" t="s">
        <v>205</v>
      </c>
      <c r="B70" s="126">
        <f>+GETPIVOTDATA(" Old Single Rnk avg",'Averages Pivot Table'!$A$3,"State","AL","Category",12,"Category2","Technical")</f>
        <v>54504.933505263158</v>
      </c>
      <c r="C70" s="118">
        <f>IF(B70&gt;0,(RANK(B70,B$70:B$88)),0)</f>
        <v>1</v>
      </c>
      <c r="D70" s="126">
        <f>+GETPIVOTDATA(" Old Single Rnk avg",'Averages Pivot Table'!$A$3,"State","AL","Category",13,"Category2","Technical")</f>
        <v>52453.511352941176</v>
      </c>
      <c r="E70" s="118">
        <f>IF(D70&gt;0,(RANK(D70,D$70:D$88)),0)</f>
        <v>1</v>
      </c>
      <c r="F70" s="224">
        <f>+GETPIVOTDATA(" Old Single Rnk avg",'Averages Pivot Table'!$A$3,"State","AL","Category2","Technical")</f>
        <v>53421.884542857144</v>
      </c>
      <c r="G70" s="118">
        <f>IF(F70&gt;0,(RANK(F70,F$70:F$88)),0)</f>
        <v>1</v>
      </c>
      <c r="J70" s="105"/>
      <c r="O70" s="126"/>
      <c r="Q70" s="562"/>
      <c r="S70" s="212"/>
    </row>
    <row r="71" spans="1:19" ht="12.95" customHeight="1" x14ac:dyDescent="0.25">
      <c r="A71" s="132" t="s">
        <v>206</v>
      </c>
      <c r="B71" s="126">
        <f>+GETPIVOTDATA(" Old All Ranks avg",'Averages Pivot Table'!$A$3,"State","AR","Category",12,"Category2","Technical")</f>
        <v>0</v>
      </c>
      <c r="C71" s="118">
        <f>IF(B71&gt;0,(RANK(B71,B$70:B$88)),0)</f>
        <v>0</v>
      </c>
      <c r="D71" s="126">
        <f>+GETPIVOTDATA(" Old All Ranks avg",'Averages Pivot Table'!$A$3,"State","AR","Category",13,"Category2","Technical")</f>
        <v>0</v>
      </c>
      <c r="E71" s="118">
        <f>IF(D71&gt;0,(RANK(D71,D$70:D$88)),0)</f>
        <v>0</v>
      </c>
      <c r="F71" s="224">
        <f>+GETPIVOTDATA(" Old All Ranks avg",'Averages Pivot Table'!$A$3:$A$3,"State","AR","Category2","Technical")</f>
        <v>0</v>
      </c>
      <c r="G71" s="118">
        <f>IF(F71&gt;0,(RANK(F71,F$70:F$88)),0)</f>
        <v>0</v>
      </c>
      <c r="J71" s="105"/>
      <c r="O71" s="124"/>
      <c r="Q71" s="562"/>
      <c r="S71" s="212"/>
    </row>
    <row r="72" spans="1:19" ht="12.95" customHeight="1" x14ac:dyDescent="0.25">
      <c r="A72" s="132" t="s">
        <v>221</v>
      </c>
      <c r="B72" s="126">
        <f>+GETPIVOTDATA(" Old All Ranks avg",'Averages Pivot Table'!$A$3,"State","DE","Category",12,"Category2","Technical")</f>
        <v>0</v>
      </c>
      <c r="C72" s="118">
        <f>IF(B72&gt;0,(RANK(B72,B$70:B$88)),0)</f>
        <v>0</v>
      </c>
      <c r="D72" s="126">
        <f>+GETPIVOTDATA(" Old All Ranks avg",'Averages Pivot Table'!$A$3,"State","DE","Category",13,"Category2","Technical")</f>
        <v>0</v>
      </c>
      <c r="E72" s="118">
        <f>IF(D72&gt;0,(RANK(D72,D$70:D$88)),0)</f>
        <v>0</v>
      </c>
      <c r="F72" s="224">
        <f>+GETPIVOTDATA(" Old All Ranks avg",'Averages Pivot Table'!$A$3,"State","DE","Category2","Technical")</f>
        <v>0</v>
      </c>
      <c r="G72" s="118">
        <f>IF(F72&gt;0,(RANK(F72,F$70:F$88)),0)</f>
        <v>0</v>
      </c>
      <c r="J72" s="105"/>
      <c r="O72" s="124"/>
      <c r="Q72" s="562"/>
      <c r="S72" s="212"/>
    </row>
    <row r="73" spans="1:19" ht="12.95" customHeight="1" x14ac:dyDescent="0.25">
      <c r="A73" s="132" t="s">
        <v>207</v>
      </c>
      <c r="B73" s="126">
        <f>+GETPIVOTDATA(" Old All Ranks avg",'Averages Pivot Table'!$A$3,"State","FL","Category",12,"Category2","Technical")</f>
        <v>0</v>
      </c>
      <c r="C73" s="118">
        <f>IF(B73&gt;0,(RANK(B73,B$70:B$88)),0)</f>
        <v>0</v>
      </c>
      <c r="D73" s="126">
        <f>+GETPIVOTDATA(" Old All Ranks avg",'Averages Pivot Table'!$A$3,"State","FL","Category",13,"Category2","Technical")</f>
        <v>0</v>
      </c>
      <c r="E73" s="118">
        <f>IF(D73&gt;0,(RANK(D73,D$70:D$88)),0)</f>
        <v>0</v>
      </c>
      <c r="F73" s="224">
        <f>+GETPIVOTDATA(" Old All Ranks avg",'Averages Pivot Table'!$A$3,"State","FL","Category2","Technical")</f>
        <v>0</v>
      </c>
      <c r="G73" s="118">
        <f>IF(F73&gt;0,(RANK(F73,F$70:F$88)),0)</f>
        <v>0</v>
      </c>
      <c r="J73" s="105"/>
      <c r="O73" s="124"/>
      <c r="Q73" s="562"/>
      <c r="S73" s="212"/>
    </row>
    <row r="74" spans="1:19" ht="12.95" customHeight="1" x14ac:dyDescent="0.25">
      <c r="A74" s="132"/>
      <c r="B74" s="126"/>
      <c r="C74" s="118"/>
      <c r="D74" s="126"/>
      <c r="E74" s="118"/>
      <c r="F74" s="224"/>
      <c r="G74" s="118"/>
      <c r="J74" s="105"/>
      <c r="O74" s="124"/>
      <c r="Q74" s="562"/>
      <c r="S74" s="212"/>
    </row>
    <row r="75" spans="1:19" ht="12.95" customHeight="1" x14ac:dyDescent="0.25">
      <c r="A75" s="132" t="s">
        <v>208</v>
      </c>
      <c r="B75" s="126">
        <f>+GETPIVOTDATA(" Old All Ranks avg",'Averages Pivot Table'!$A$3,"State","GA","Category",12,"Category2","Technical")</f>
        <v>45023.665847234435</v>
      </c>
      <c r="C75" s="118">
        <f>IF(B75&gt;0,(RANK(B75,B$70:B$88)),0)</f>
        <v>3</v>
      </c>
      <c r="D75" s="126">
        <f>+GETPIVOTDATA(" Old All Ranks avg",'Averages Pivot Table'!$A$3,"State","GA","Category",13,"Category2","Technical")</f>
        <v>0</v>
      </c>
      <c r="E75" s="118">
        <f>IF(D75&gt;0,(RANK(D75,D$70:D$88)),0)</f>
        <v>0</v>
      </c>
      <c r="F75" s="224">
        <f>+GETPIVOTDATA(" Old All Ranks avg",'Averages Pivot Table'!$A$3,"State","GA","Category2","Technical")</f>
        <v>45023.665847234435</v>
      </c>
      <c r="G75" s="118">
        <f>IF(F75&gt;0,(RANK(F75,F$70:F$88)),0)</f>
        <v>3</v>
      </c>
      <c r="J75" s="105"/>
      <c r="O75" s="124"/>
      <c r="Q75" s="562"/>
      <c r="S75" s="212"/>
    </row>
    <row r="76" spans="1:19" ht="12.95" customHeight="1" x14ac:dyDescent="0.25">
      <c r="A76" s="132" t="s">
        <v>209</v>
      </c>
      <c r="B76" s="126">
        <f>+GETPIVOTDATA(" Old All Ranks avg",'Averages Pivot Table'!$A$3,"State","KY","Category",12,"Category2","Technical")</f>
        <v>44076.473624050632</v>
      </c>
      <c r="C76" s="118">
        <f>IF(B76&gt;0,(RANK(B76,B$70:B$88)),0)</f>
        <v>4</v>
      </c>
      <c r="D76" s="126">
        <f>+GETPIVOTDATA(" Old All Ranks avg",'Averages Pivot Table'!$A$3,"State","KY","Category",13,"Category2","Technical")</f>
        <v>0</v>
      </c>
      <c r="E76" s="118">
        <f>IF(D76&gt;0,(RANK(D76,D$70:D$88)),0)</f>
        <v>0</v>
      </c>
      <c r="F76" s="224">
        <f>+GETPIVOTDATA(" Old All Ranks avg",'Averages Pivot Table'!$A$3,"State","KY","Category2","Technical")</f>
        <v>44076.473624050632</v>
      </c>
      <c r="G76" s="118">
        <f>IF(F76&gt;0,(RANK(F76,F$70:F$88)),0)</f>
        <v>4</v>
      </c>
      <c r="J76" s="105"/>
      <c r="O76" s="124"/>
      <c r="Q76" s="562"/>
      <c r="S76" s="212"/>
    </row>
    <row r="77" spans="1:19" ht="12.95" customHeight="1" x14ac:dyDescent="0.25">
      <c r="A77" s="132" t="s">
        <v>210</v>
      </c>
      <c r="B77" s="126">
        <f>+GETPIVOTDATA(" Old All Ranks avg",'Averages Pivot Table'!$A$3,"State","LA","Category",12,"Category2","Technical")</f>
        <v>39066.325418487395</v>
      </c>
      <c r="C77" s="118">
        <f>IF(B77&gt;0,(RANK(B77,B$70:B$88)),0)</f>
        <v>5</v>
      </c>
      <c r="D77" s="126">
        <f>+GETPIVOTDATA(" Old All Ranks avg",'Averages Pivot Table'!$A$3,"State","LA","Category",13,"Category2","Technical")</f>
        <v>0</v>
      </c>
      <c r="E77" s="118">
        <f>IF(D77&gt;0,(RANK(D77,D$70:D$88)),0)</f>
        <v>0</v>
      </c>
      <c r="F77" s="224">
        <f>+GETPIVOTDATA(" Old All Ranks avg",'Averages Pivot Table'!$A$3,"State","LA","Category2","Technical")</f>
        <v>39066.325418487395</v>
      </c>
      <c r="G77" s="118">
        <f>IF(F77&gt;0,(RANK(F77,F$70:F$88)),0)</f>
        <v>5</v>
      </c>
      <c r="J77" s="105"/>
      <c r="Q77" s="562"/>
      <c r="S77" s="212"/>
    </row>
    <row r="78" spans="1:19" ht="12.95" customHeight="1" x14ac:dyDescent="0.25">
      <c r="A78" s="132" t="s">
        <v>211</v>
      </c>
      <c r="B78" s="126">
        <f>+GETPIVOTDATA(" Old All Ranks avg",'Averages Pivot Table'!$A$3,"State","MD","Category",12,"Category2","Technical")</f>
        <v>0</v>
      </c>
      <c r="C78" s="118">
        <f>IF(B78&gt;0,(RANK(B78,B$70:B$88)),0)</f>
        <v>0</v>
      </c>
      <c r="D78" s="126">
        <f>+GETPIVOTDATA(" Old All Ranks avg",'Averages Pivot Table'!$A$3,"State","MD","Category",13,"Category2","Technical")</f>
        <v>0</v>
      </c>
      <c r="E78" s="118">
        <f>IF(D78&gt;0,(RANK(D78,D$70:D$88)),0)</f>
        <v>0</v>
      </c>
      <c r="F78" s="224">
        <f>+GETPIVOTDATA(" Old All Ranks avg",'Averages Pivot Table'!$A$3,"State","MD","Category2","Technical")</f>
        <v>0</v>
      </c>
      <c r="G78" s="118">
        <f>IF(F78&gt;0,(RANK(F78,F$70:F$88)),0)</f>
        <v>0</v>
      </c>
      <c r="J78" s="105"/>
      <c r="Q78" s="562"/>
      <c r="S78" s="212"/>
    </row>
    <row r="79" spans="1:19" ht="12.95" customHeight="1" x14ac:dyDescent="0.25">
      <c r="A79" s="132"/>
      <c r="B79" s="126"/>
      <c r="C79" s="118"/>
      <c r="D79" s="126"/>
      <c r="E79" s="118"/>
      <c r="F79" s="224"/>
      <c r="G79" s="118"/>
      <c r="J79" s="105"/>
      <c r="Q79" s="562"/>
      <c r="S79" s="212"/>
    </row>
    <row r="80" spans="1:19" ht="12.95" customHeight="1" x14ac:dyDescent="0.25">
      <c r="A80" s="132" t="s">
        <v>212</v>
      </c>
      <c r="B80" s="126">
        <f>+GETPIVOTDATA(" Old All Ranks avg",'Averages Pivot Table'!$A$3,"State","MS","Category",12,"Category2","Technical")</f>
        <v>0</v>
      </c>
      <c r="C80" s="118">
        <f>IF(B80&gt;0,(RANK(B80,B$70:B$88)),0)</f>
        <v>0</v>
      </c>
      <c r="D80" s="126">
        <f>+GETPIVOTDATA(" Old All Ranks avg",'Averages Pivot Table'!$A$3,"State","MS","Category",13,"Category2","Technical")</f>
        <v>0</v>
      </c>
      <c r="E80" s="118">
        <f>IF(D80&gt;0,(RANK(D80,D$70:D$88)),0)</f>
        <v>0</v>
      </c>
      <c r="F80" s="224">
        <f>+GETPIVOTDATA(" Old All Ranks avg",'Averages Pivot Table'!$A$3,"State","MS","Category2","Technical")</f>
        <v>0</v>
      </c>
      <c r="G80" s="118">
        <f>IF(F80&gt;0,(RANK(F80,F$70:F$88)),0)</f>
        <v>0</v>
      </c>
      <c r="J80" s="105"/>
      <c r="Q80" s="562"/>
      <c r="S80" s="212"/>
    </row>
    <row r="81" spans="1:19" ht="12.95" customHeight="1" x14ac:dyDescent="0.25">
      <c r="A81" s="132" t="s">
        <v>213</v>
      </c>
      <c r="B81" s="126">
        <f>+GETPIVOTDATA(" Old All Ranks avg",'Averages Pivot Table'!$A$3,"State","NC","Category",12,"Category2","Technical")</f>
        <v>0</v>
      </c>
      <c r="C81" s="118">
        <f>IF(B81&gt;0,(RANK(B81,B$70:B$88)),0)</f>
        <v>0</v>
      </c>
      <c r="D81" s="126">
        <f>+GETPIVOTDATA(" Old All Ranks avg",'Averages Pivot Table'!$A$3,"State","NC","Category",13,"Category2","Technical")</f>
        <v>0</v>
      </c>
      <c r="E81" s="118">
        <f>IF(D81&gt;0,(RANK(D81,D$70:D$88)),0)</f>
        <v>0</v>
      </c>
      <c r="F81" s="224">
        <f>+GETPIVOTDATA(" Old All Ranks avg",'Averages Pivot Table'!$A$3,"State","NC","Category2","Technical")</f>
        <v>0</v>
      </c>
      <c r="G81" s="118">
        <f>IF(F81&gt;0,(RANK(F81,F$70:F$88)),0)</f>
        <v>0</v>
      </c>
      <c r="J81" s="105"/>
      <c r="Q81" s="562"/>
      <c r="S81" s="212"/>
    </row>
    <row r="82" spans="1:19" ht="12.95" customHeight="1" x14ac:dyDescent="0.25">
      <c r="A82" s="132" t="s">
        <v>214</v>
      </c>
      <c r="B82" s="126">
        <f>+GETPIVOTDATA(" Old All Ranks avg",'Averages Pivot Table'!$A$3,"State","OK","Category",12,"Category2","Technical")</f>
        <v>53634.627888990821</v>
      </c>
      <c r="C82" s="118">
        <f>IF(B82&gt;0,(RANK(B82,B$70:B$88)),0)</f>
        <v>2</v>
      </c>
      <c r="D82" s="126">
        <f>+GETPIVOTDATA(" Old All Ranks avg",'Averages Pivot Table'!$A$3,"State","OK","Category",13,"Category2","Technical")</f>
        <v>47745.686610537872</v>
      </c>
      <c r="E82" s="118">
        <f>IF(D82&gt;0,(RANK(D82,D$70:D$88)),0)</f>
        <v>2</v>
      </c>
      <c r="F82" s="224">
        <f>+GETPIVOTDATA(" Old All Ranks avg",'Averages Pivot Table'!$A$3,"State","OK","Category2","Technical")</f>
        <v>48882.789532329494</v>
      </c>
      <c r="G82" s="118">
        <f>IF(F82&gt;0,(RANK(F82,F$70:F$88)),0)</f>
        <v>2</v>
      </c>
      <c r="J82" s="105"/>
      <c r="Q82" s="562"/>
      <c r="S82" s="212"/>
    </row>
    <row r="83" spans="1:19" ht="12.95" customHeight="1" x14ac:dyDescent="0.25">
      <c r="A83" s="132" t="s">
        <v>215</v>
      </c>
      <c r="B83" s="126">
        <f>+GETPIVOTDATA(" Old All Ranks avg",'Averages Pivot Table'!$A$3,"State","SC","Category",12,"Category2","Technical")</f>
        <v>0</v>
      </c>
      <c r="C83" s="118">
        <f>IF(B83&gt;0,(RANK(B83,B$70:B$88)),0)</f>
        <v>0</v>
      </c>
      <c r="D83" s="126">
        <f>+GETPIVOTDATA(" Old All Ranks avg",'Averages Pivot Table'!$A$3,"State","SC","Category",13,"Category2","Technical")</f>
        <v>0</v>
      </c>
      <c r="E83" s="118">
        <f>IF(D83&gt;0,(RANK(D83,D$70:D$88)),0)</f>
        <v>0</v>
      </c>
      <c r="F83" s="224">
        <f>+GETPIVOTDATA(" Old All Ranks avg",'Averages Pivot Table'!$A$3,"State","SC","Category2","Technical")</f>
        <v>0</v>
      </c>
      <c r="G83" s="118">
        <f>IF(F83&gt;0,(RANK(F83,F$70:F$88)),0)</f>
        <v>0</v>
      </c>
      <c r="J83" s="105"/>
      <c r="Q83" s="562"/>
      <c r="S83" s="212"/>
    </row>
    <row r="84" spans="1:19" ht="12.95" customHeight="1" x14ac:dyDescent="0.25">
      <c r="A84" s="132"/>
      <c r="B84" s="126"/>
      <c r="C84" s="118"/>
      <c r="D84" s="126"/>
      <c r="E84" s="118"/>
      <c r="F84" s="224"/>
      <c r="G84" s="118"/>
      <c r="J84" s="105"/>
      <c r="Q84" s="562"/>
      <c r="S84" s="212"/>
    </row>
    <row r="85" spans="1:19" ht="12.95" customHeight="1" x14ac:dyDescent="0.25">
      <c r="A85" s="132" t="s">
        <v>216</v>
      </c>
      <c r="B85" s="563">
        <f>+GETPIVOTDATA(" Old All Ranks avg",'Averages Pivot Table'!$A$3,"State","TN","Category",12,"Category2","Technical")</f>
        <v>0</v>
      </c>
      <c r="C85" s="118">
        <f>IF(B85&gt;0,(RANK(B85,B$70:B$88)),0)</f>
        <v>0</v>
      </c>
      <c r="D85" s="563">
        <f>+GETPIVOTDATA(" Old All Ranks avg",'Averages Pivot Table'!$A$3,"State","TN","Category",13,"Category2","Technical")</f>
        <v>36905.217244990548</v>
      </c>
      <c r="E85" s="118">
        <f>IF(D85&gt;0,(RANK(D85,D$70:D$88)),0)</f>
        <v>3</v>
      </c>
      <c r="F85" s="224">
        <f>+GETPIVOTDATA(" Old All Ranks avg",'Averages Pivot Table'!$A$3,"State","TN","Category2","Technical")</f>
        <v>36905.217244990548</v>
      </c>
      <c r="G85" s="118">
        <f>IF(F85&gt;0,(RANK(F85,F$70:F$88)),0)</f>
        <v>6</v>
      </c>
      <c r="J85" s="105"/>
      <c r="Q85" s="562"/>
      <c r="S85" s="212"/>
    </row>
    <row r="86" spans="1:19" ht="12.95" customHeight="1" x14ac:dyDescent="0.25">
      <c r="A86" s="132" t="s">
        <v>217</v>
      </c>
      <c r="B86" s="563">
        <f>+GETPIVOTDATA(" Old All Ranks avg",'Averages Pivot Table'!$A$3,"State","TX","Category",12,"Category2","Technical")</f>
        <v>0</v>
      </c>
      <c r="C86" s="118">
        <f>IF(B86&gt;0,(RANK(B86,B$70:B$88)),0)</f>
        <v>0</v>
      </c>
      <c r="D86" s="563">
        <f>+GETPIVOTDATA(" Old All Ranks avg",'Averages Pivot Table'!$A$3,"State","TX","Category",13,"Category2","Technical")</f>
        <v>0</v>
      </c>
      <c r="E86" s="118">
        <f>IF(D86&gt;0,(RANK(D86,D$70:D$88)),0)</f>
        <v>0</v>
      </c>
      <c r="F86" s="224">
        <f>+GETPIVOTDATA(" Old All Ranks avg",'Averages Pivot Table'!$A$3,"State","TX","Category2","Technical")</f>
        <v>0</v>
      </c>
      <c r="G86" s="118">
        <f>IF(F86&gt;0,(RANK(F86,F$70:F$88)),0)</f>
        <v>0</v>
      </c>
      <c r="J86" s="105"/>
      <c r="Q86" s="562"/>
      <c r="S86" s="212"/>
    </row>
    <row r="87" spans="1:19" ht="12.95" customHeight="1" x14ac:dyDescent="0.25">
      <c r="A87" s="132" t="s">
        <v>218</v>
      </c>
      <c r="B87" s="563">
        <f>+GETPIVOTDATA(" Old Prof avg",'Averages Pivot Table'!$A$3,"State","WV","Category",12,"Category2","Technical")</f>
        <v>0</v>
      </c>
      <c r="C87" s="118">
        <f>IF(B87&gt;0,(RANK(B87,B$70:B$88)),0)</f>
        <v>0</v>
      </c>
      <c r="D87" s="563">
        <f>+GETPIVOTDATA(" Old All Ranks avg",'Averages Pivot Table'!$A$3,"State","VA","Category",13,"Category2","Technical")</f>
        <v>0</v>
      </c>
      <c r="E87" s="118">
        <f>IF(D87&gt;0,(RANK(D87,D$70:D$88)),0)</f>
        <v>0</v>
      </c>
      <c r="F87" s="224">
        <f>+GETPIVOTDATA(" Old All Ranks avg",'Averages Pivot Table'!$A$3,"State","VA","Category2","Technical")</f>
        <v>0</v>
      </c>
      <c r="G87" s="118">
        <f>IF(F87&gt;0,(RANK(F87,F$70:F$88)),0)</f>
        <v>0</v>
      </c>
      <c r="J87" s="105"/>
      <c r="Q87" s="562"/>
      <c r="S87" s="212"/>
    </row>
    <row r="88" spans="1:19" ht="12.95" customHeight="1" x14ac:dyDescent="0.25">
      <c r="A88" s="6" t="s">
        <v>219</v>
      </c>
      <c r="B88" s="566">
        <f>+GETPIVOTDATA(" Old All Ranks avg",'Averages Pivot Table'!$A$3,"State","WV","Category",12,"Category2","Technical")</f>
        <v>0</v>
      </c>
      <c r="C88" s="119">
        <f>IF(B88&gt;0,(RANK(B88,B$70:B$88)),0)</f>
        <v>0</v>
      </c>
      <c r="D88" s="566">
        <f>+GETPIVOTDATA(" Old All Ranks avg",'Averages Pivot Table'!$A$3,"State","WV","Category",13,"Category2","Technical")</f>
        <v>0</v>
      </c>
      <c r="E88" s="119">
        <f>IF(D88&gt;0,(RANK(D88,D$70:D$88)),0)</f>
        <v>0</v>
      </c>
      <c r="F88" s="586">
        <f>+GETPIVOTDATA(" Old All Ranks avg",'Averages Pivot Table'!$A$3,"State","WV","Category2","Technical")</f>
        <v>0</v>
      </c>
      <c r="G88" s="119">
        <f>IF(F88&gt;0,(RANK(F88,F$70:F$88)),0)</f>
        <v>0</v>
      </c>
      <c r="J88" s="105"/>
      <c r="Q88" s="562"/>
      <c r="S88" s="212"/>
    </row>
    <row r="89" spans="1:19" ht="54" customHeight="1" x14ac:dyDescent="0.25">
      <c r="A89" s="670" t="s">
        <v>92</v>
      </c>
      <c r="B89" s="681"/>
      <c r="C89" s="681"/>
      <c r="D89" s="681"/>
      <c r="E89" s="681"/>
      <c r="F89" s="681"/>
      <c r="G89" s="681"/>
      <c r="H89" s="587"/>
      <c r="I89" s="587"/>
      <c r="J89" s="105"/>
    </row>
    <row r="90" spans="1:19" x14ac:dyDescent="0.25">
      <c r="I90" s="157" t="s">
        <v>1083</v>
      </c>
    </row>
    <row r="91" spans="1:19" ht="18" x14ac:dyDescent="0.25">
      <c r="A91" s="544" t="s">
        <v>262</v>
      </c>
      <c r="B91" s="544"/>
      <c r="C91" s="544"/>
      <c r="D91" s="544"/>
      <c r="E91" s="544"/>
      <c r="F91" s="544"/>
      <c r="G91" s="544"/>
      <c r="H91" s="544"/>
      <c r="I91" s="544"/>
      <c r="J91" s="544"/>
      <c r="K91" s="544"/>
      <c r="L91" s="544"/>
      <c r="M91" s="544"/>
      <c r="N91" s="100"/>
      <c r="O91" s="100"/>
    </row>
    <row r="92" spans="1:19" x14ac:dyDescent="0.25">
      <c r="A92" s="588"/>
      <c r="B92" s="93"/>
      <c r="C92" s="93"/>
      <c r="D92" s="93"/>
      <c r="E92" s="93"/>
      <c r="F92" s="93"/>
      <c r="G92" s="93"/>
      <c r="H92" s="93"/>
      <c r="I92" s="93"/>
      <c r="J92" s="93"/>
      <c r="K92" s="93"/>
      <c r="L92" s="93"/>
      <c r="M92" s="93"/>
      <c r="N92" s="93"/>
      <c r="O92" s="93"/>
    </row>
    <row r="93" spans="1:19" x14ac:dyDescent="0.25">
      <c r="A93" s="665" t="s">
        <v>220</v>
      </c>
      <c r="B93" s="665"/>
      <c r="C93" s="665"/>
      <c r="D93" s="665"/>
      <c r="E93" s="665"/>
      <c r="F93" s="665"/>
      <c r="G93" s="665"/>
      <c r="H93" s="665"/>
      <c r="I93" s="665"/>
      <c r="J93" s="665"/>
      <c r="K93" s="665"/>
      <c r="L93" s="665"/>
      <c r="M93" s="665"/>
      <c r="N93" s="128"/>
      <c r="O93" s="128"/>
    </row>
    <row r="94" spans="1:19" x14ac:dyDescent="0.25">
      <c r="A94" s="665" t="s">
        <v>318</v>
      </c>
      <c r="B94" s="665"/>
      <c r="C94" s="665"/>
      <c r="D94" s="665"/>
      <c r="E94" s="665"/>
      <c r="F94" s="665"/>
      <c r="G94" s="665"/>
      <c r="H94" s="665"/>
      <c r="I94" s="665"/>
      <c r="J94" s="665"/>
      <c r="K94" s="665"/>
      <c r="L94" s="665"/>
      <c r="M94" s="665"/>
      <c r="N94" s="128"/>
      <c r="O94" s="128"/>
    </row>
    <row r="95" spans="1:19" x14ac:dyDescent="0.25">
      <c r="A95" s="132"/>
      <c r="B95" s="132"/>
      <c r="C95" s="132"/>
      <c r="D95" s="132"/>
      <c r="E95" s="132"/>
      <c r="F95" s="132"/>
      <c r="G95" s="132"/>
      <c r="H95" s="132"/>
      <c r="I95" s="132"/>
      <c r="J95" s="132"/>
      <c r="K95" s="132"/>
      <c r="L95" s="132"/>
      <c r="M95" s="132"/>
      <c r="N95" s="132"/>
      <c r="O95" s="132"/>
    </row>
    <row r="96" spans="1:19" ht="31.5" customHeight="1" x14ac:dyDescent="0.25">
      <c r="A96" s="547"/>
      <c r="B96" s="589" t="s">
        <v>99</v>
      </c>
      <c r="C96" s="142"/>
      <c r="D96" s="590" t="s">
        <v>100</v>
      </c>
      <c r="E96" s="591"/>
      <c r="F96" s="590" t="s">
        <v>101</v>
      </c>
      <c r="G96" s="591"/>
      <c r="H96" s="589" t="s">
        <v>102</v>
      </c>
      <c r="I96" s="142"/>
      <c r="J96" s="590" t="s">
        <v>226</v>
      </c>
      <c r="K96" s="591"/>
      <c r="L96" s="142" t="s">
        <v>84</v>
      </c>
      <c r="M96" s="142"/>
      <c r="N96" s="129" t="s">
        <v>223</v>
      </c>
      <c r="O96" s="129"/>
    </row>
    <row r="97" spans="1:19" x14ac:dyDescent="0.25">
      <c r="A97" s="551"/>
      <c r="B97" s="115" t="s">
        <v>103</v>
      </c>
      <c r="C97" s="143" t="s">
        <v>193</v>
      </c>
      <c r="D97" s="115" t="s">
        <v>103</v>
      </c>
      <c r="E97" s="143" t="s">
        <v>193</v>
      </c>
      <c r="F97" s="115" t="s">
        <v>103</v>
      </c>
      <c r="G97" s="143" t="s">
        <v>193</v>
      </c>
      <c r="H97" s="115" t="s">
        <v>103</v>
      </c>
      <c r="I97" s="143" t="s">
        <v>193</v>
      </c>
      <c r="J97" s="115" t="s">
        <v>103</v>
      </c>
      <c r="K97" s="143" t="s">
        <v>193</v>
      </c>
      <c r="L97" s="115" t="s">
        <v>103</v>
      </c>
      <c r="M97" s="143" t="s">
        <v>193</v>
      </c>
    </row>
    <row r="98" spans="1:19" s="556" customFormat="1" ht="18" customHeight="1" x14ac:dyDescent="0.25">
      <c r="A98" s="554" t="s">
        <v>222</v>
      </c>
      <c r="B98" s="146">
        <f>+GETPIVOTDATA(" Old Prof avg",'Averages Pivot Table'!$A$3,"Category2","Four-Year")</f>
        <v>103171.35836739712</v>
      </c>
      <c r="C98" s="146"/>
      <c r="D98" s="146">
        <f>+GETPIVOTDATA(" Old Asc. avg",'Averages Pivot Table'!$A$3,"Category2","Four-Year")</f>
        <v>73867.059970744565</v>
      </c>
      <c r="E98" s="146"/>
      <c r="F98" s="146">
        <f>+GETPIVOTDATA(" Old Ast. avg",'Averages Pivot Table'!$A$3,"Category2","Four-Year")</f>
        <v>62384.662165140937</v>
      </c>
      <c r="G98" s="146"/>
      <c r="H98" s="146">
        <f>+GETPIVOTDATA(" Old Inst. avg",'Averages Pivot Table'!$A$3,"Category2","Four-Year")</f>
        <v>44496.715302167962</v>
      </c>
      <c r="I98" s="146"/>
      <c r="J98" s="146">
        <f>+GETPIVOTDATA(" Old Undesg. avg",'Averages Pivot Table'!$A$3,"Category2","Four-Year")</f>
        <v>49526.454898951015</v>
      </c>
      <c r="K98" s="146"/>
      <c r="L98" s="146">
        <f>+GETPIVOTDATA(" Old All Ranks avg",'Averages Pivot Table'!$A$3,"Category2","Four-Year")</f>
        <v>75400.498321541643</v>
      </c>
      <c r="M98" s="149"/>
      <c r="N98" s="146"/>
      <c r="O98" s="133"/>
      <c r="Q98" s="558"/>
      <c r="R98" s="558"/>
      <c r="S98" s="558"/>
    </row>
    <row r="99" spans="1:19" ht="12.95" customHeight="1" x14ac:dyDescent="0.25">
      <c r="A99" s="132"/>
      <c r="B99" s="123"/>
      <c r="C99" s="150"/>
      <c r="D99" s="123"/>
      <c r="E99" s="150"/>
      <c r="F99" s="123"/>
      <c r="G99" s="150"/>
      <c r="H99" s="123"/>
      <c r="I99" s="150"/>
      <c r="J99" s="123"/>
      <c r="K99" s="150"/>
      <c r="L99" s="123"/>
      <c r="M99" s="150"/>
      <c r="N99" s="123"/>
      <c r="O99" s="134"/>
    </row>
    <row r="100" spans="1:19" ht="12.95" customHeight="1" x14ac:dyDescent="0.25">
      <c r="A100" s="132" t="s">
        <v>205</v>
      </c>
      <c r="B100" s="130">
        <f>+GETPIVOTDATA(" Old Prof avg",'Averages Pivot Table'!$A$3,"State","AL","Category2","Four-Year")</f>
        <v>101278.95544807122</v>
      </c>
      <c r="C100" s="118">
        <f t="shared" ref="C100:C118" si="11">IF(B100&gt;0,(RANK(B100,B$100:B$118)),0)</f>
        <v>7</v>
      </c>
      <c r="D100" s="130">
        <f>+GETPIVOTDATA(" Old Asc. avg",'Averages Pivot Table'!$A$3,"State","AL","Category2","Four-Year")</f>
        <v>74325.366958983883</v>
      </c>
      <c r="E100" s="118">
        <f t="shared" ref="E100:E118" si="12">IF(D100&gt;0,(RANK(D100,D$100:D$118)),0)</f>
        <v>7</v>
      </c>
      <c r="F100" s="130">
        <f>+GETPIVOTDATA(" Old Ast. avg",'Averages Pivot Table'!$A$3,"State","AL","Category2","Four-Year")</f>
        <v>59541.282097691896</v>
      </c>
      <c r="G100" s="118">
        <f t="shared" ref="G100:G118" si="13">IF(F100&gt;0,(RANK(F100,F$100:F$118)),0)</f>
        <v>9</v>
      </c>
      <c r="H100" s="130">
        <f>+GETPIVOTDATA(" Old Inst. avg",'Averages Pivot Table'!$A$3,"State","AL","Category2","Four-Year")</f>
        <v>44337.701189961394</v>
      </c>
      <c r="I100" s="118">
        <f t="shared" ref="I100:I118" si="14">IF(H100&gt;0,(RANK(H100,H$100:H$118)),0)</f>
        <v>9</v>
      </c>
      <c r="J100" s="130">
        <f>+GETPIVOTDATA(" Old Undesg. avg",'Averages Pivot Table'!$A$3,"State","AL","Category2","Four-Year")</f>
        <v>45908.26581095891</v>
      </c>
      <c r="K100" s="118">
        <f t="shared" ref="K100:K118" si="15">IF(J100&gt;0,(RANK(J100,J$100:J$118)),0)</f>
        <v>10</v>
      </c>
      <c r="L100" s="130">
        <f>+GETPIVOTDATA(" Old All Ranks avg",'Averages Pivot Table'!$A$3,"State","AL","Category2","Four-Year")</f>
        <v>72751.781656992607</v>
      </c>
      <c r="M100" s="118">
        <f t="shared" ref="M100:M118" si="16">IF(L100&gt;0,(RANK(L100,L$100:L$118)),0)</f>
        <v>7</v>
      </c>
      <c r="N100" s="130"/>
      <c r="O100" s="135"/>
    </row>
    <row r="101" spans="1:19" ht="12.95" customHeight="1" x14ac:dyDescent="0.25">
      <c r="A101" s="132" t="s">
        <v>206</v>
      </c>
      <c r="B101" s="130">
        <f>+GETPIVOTDATA(" Old Prof avg",'Averages Pivot Table'!$A$3,"State","AR","Category2","Four-Year")</f>
        <v>85496.518468750015</v>
      </c>
      <c r="C101" s="118">
        <f t="shared" si="11"/>
        <v>15</v>
      </c>
      <c r="D101" s="130">
        <f>+GETPIVOTDATA(" Old Asc. avg",'Averages Pivot Table'!$A$3,"State","AR","Category2","Four-Year")</f>
        <v>64329.264804502367</v>
      </c>
      <c r="E101" s="118">
        <f t="shared" si="12"/>
        <v>16</v>
      </c>
      <c r="F101" s="130">
        <f>+GETPIVOTDATA(" Old Ast. avg",'Averages Pivot Table'!$A$3,"State","AR","Category2","Four-Year")</f>
        <v>55323.244611267604</v>
      </c>
      <c r="G101" s="118">
        <f t="shared" si="13"/>
        <v>15</v>
      </c>
      <c r="H101" s="130">
        <f>+GETPIVOTDATA(" Old Inst. avg",'Averages Pivot Table'!$A$3,"State","AR","Category2","Four-Year")</f>
        <v>39685.125020909087</v>
      </c>
      <c r="I101" s="118">
        <f t="shared" si="14"/>
        <v>15</v>
      </c>
      <c r="J101" s="130">
        <f>+GETPIVOTDATA(" Old Undesg. avg",'Averages Pivot Table'!$A$3,"State","AR","Category2","Four-Year")</f>
        <v>40741.623498230081</v>
      </c>
      <c r="K101" s="118">
        <f t="shared" si="15"/>
        <v>13</v>
      </c>
      <c r="L101" s="130">
        <f>+GETPIVOTDATA(" Old All Ranks avg",'Averages Pivot Table'!$A$3,"State","AR","Category2","Four-Year")</f>
        <v>61129.79961629834</v>
      </c>
      <c r="M101" s="118">
        <f t="shared" si="16"/>
        <v>16</v>
      </c>
      <c r="N101" s="130"/>
      <c r="O101" s="135"/>
    </row>
    <row r="102" spans="1:19" ht="12.95" customHeight="1" x14ac:dyDescent="0.25">
      <c r="A102" s="132" t="s">
        <v>221</v>
      </c>
      <c r="B102" s="130">
        <f>+GETPIVOTDATA(" Old Prof avg",'Averages Pivot Table'!$A$3,"State","DE","Category2","Four-Year")</f>
        <v>129796.89912192771</v>
      </c>
      <c r="C102" s="118">
        <f t="shared" si="11"/>
        <v>1</v>
      </c>
      <c r="D102" s="130">
        <f>+GETPIVOTDATA(" Old Asc. avg",'Averages Pivot Table'!$A$3,"State","DE","Category2","Four-Year")</f>
        <v>86343.212614678909</v>
      </c>
      <c r="E102" s="118">
        <f t="shared" si="12"/>
        <v>1</v>
      </c>
      <c r="F102" s="130">
        <f>+GETPIVOTDATA(" Old Ast. avg",'Averages Pivot Table'!$A$3,"State","DE","Category2","Four-Year")</f>
        <v>74674.032444759214</v>
      </c>
      <c r="G102" s="118">
        <f t="shared" si="13"/>
        <v>1</v>
      </c>
      <c r="H102" s="130">
        <f>+GETPIVOTDATA(" Old Inst. avg",'Averages Pivot Table'!$A$3,"State","DE","Category2","Four-Year")</f>
        <v>60414.894842372887</v>
      </c>
      <c r="I102" s="118">
        <f t="shared" si="14"/>
        <v>1</v>
      </c>
      <c r="J102" s="130">
        <f>+GETPIVOTDATA(" Old Undesg. avg",'Averages Pivot Table'!$A$3,"State","DE","Category2","Four-Year")</f>
        <v>41893</v>
      </c>
      <c r="K102" s="118">
        <f t="shared" si="15"/>
        <v>12</v>
      </c>
      <c r="L102" s="130">
        <f>+GETPIVOTDATA(" Old All Ranks avg",'Averages Pivot Table'!$A$3,"State","DE","Category2","Four-Year")</f>
        <v>94474.343564954674</v>
      </c>
      <c r="M102" s="118">
        <f t="shared" si="16"/>
        <v>1</v>
      </c>
      <c r="N102" s="130"/>
      <c r="O102" s="135"/>
    </row>
    <row r="103" spans="1:19" ht="12.95" customHeight="1" x14ac:dyDescent="0.25">
      <c r="A103" s="132" t="s">
        <v>207</v>
      </c>
      <c r="B103" s="130">
        <f>+GETPIVOTDATA(" Old Prof avg",'Averages Pivot Table'!$A$3,"State","FL","Category2","Four-Year")</f>
        <v>108816.0737400261</v>
      </c>
      <c r="C103" s="118">
        <f t="shared" si="11"/>
        <v>6</v>
      </c>
      <c r="D103" s="130">
        <f>+GETPIVOTDATA(" Old Asc. avg",'Averages Pivot Table'!$A$3,"State","FL","Category2","Four-Year")</f>
        <v>76213.591940350088</v>
      </c>
      <c r="E103" s="118">
        <f t="shared" si="12"/>
        <v>6</v>
      </c>
      <c r="F103" s="130">
        <f>+GETPIVOTDATA(" Old Ast. avg",'Averages Pivot Table'!$A$3,"State","FL","Category2","Four-Year")</f>
        <v>66022.436329974167</v>
      </c>
      <c r="G103" s="118">
        <f t="shared" si="13"/>
        <v>4</v>
      </c>
      <c r="H103" s="130">
        <f>+GETPIVOTDATA(" Old Inst. avg",'Averages Pivot Table'!$A$3,"State","FL","Category2","Four-Year")</f>
        <v>48193.315039025052</v>
      </c>
      <c r="I103" s="118">
        <f t="shared" si="14"/>
        <v>4</v>
      </c>
      <c r="J103" s="130">
        <f>+GETPIVOTDATA(" Old Undesg. avg",'Averages Pivot Table'!$A$3,"State","FL","Category2","Four-Year")</f>
        <v>56330.965895367524</v>
      </c>
      <c r="K103" s="118">
        <f t="shared" si="15"/>
        <v>2</v>
      </c>
      <c r="L103" s="130">
        <f>+GETPIVOTDATA(" Old All Ranks avg",'Averages Pivot Table'!$A$3,"State","FL","Category2","Four-Year")</f>
        <v>78037.041880881618</v>
      </c>
      <c r="M103" s="118">
        <f t="shared" si="16"/>
        <v>6</v>
      </c>
      <c r="N103" s="130"/>
      <c r="O103" s="135"/>
    </row>
    <row r="104" spans="1:19" ht="12.95" customHeight="1" x14ac:dyDescent="0.25">
      <c r="A104" s="132"/>
      <c r="B104" s="130"/>
      <c r="C104" s="118"/>
      <c r="D104" s="130"/>
      <c r="E104" s="118"/>
      <c r="F104" s="130"/>
      <c r="G104" s="118"/>
      <c r="H104" s="130"/>
      <c r="I104" s="118"/>
      <c r="J104" s="130"/>
      <c r="K104" s="118"/>
      <c r="L104" s="130"/>
      <c r="M104" s="118"/>
      <c r="N104" s="130"/>
      <c r="O104" s="135"/>
    </row>
    <row r="105" spans="1:19" ht="12.95" customHeight="1" x14ac:dyDescent="0.25">
      <c r="A105" s="132" t="s">
        <v>208</v>
      </c>
      <c r="B105" s="130">
        <f>+GETPIVOTDATA(" Old Prof avg",'Averages Pivot Table'!$A$3,"State","GA","Category2","Four-Year")</f>
        <v>101196.83490453183</v>
      </c>
      <c r="C105" s="118">
        <f t="shared" si="11"/>
        <v>8</v>
      </c>
      <c r="D105" s="130">
        <f>+GETPIVOTDATA(" Old Asc. avg",'Averages Pivot Table'!$A$3,"State","GA","Category2","Four-Year")</f>
        <v>72068.454938327384</v>
      </c>
      <c r="E105" s="118">
        <f t="shared" si="12"/>
        <v>8</v>
      </c>
      <c r="F105" s="130">
        <f>+GETPIVOTDATA(" Old Ast. avg",'Averages Pivot Table'!$A$3,"State","GA","Category2","Four-Year")</f>
        <v>61239.524631338041</v>
      </c>
      <c r="G105" s="118">
        <f t="shared" si="13"/>
        <v>8</v>
      </c>
      <c r="H105" s="130">
        <f>+GETPIVOTDATA(" Old Inst. avg",'Averages Pivot Table'!$A$3,"State","GA","Category2","Four-Year")</f>
        <v>43449.488756434112</v>
      </c>
      <c r="I105" s="118">
        <f t="shared" si="14"/>
        <v>10</v>
      </c>
      <c r="J105" s="130">
        <f>+GETPIVOTDATA(" Old Undesg. avg",'Averages Pivot Table'!$A$3,"State","GA","Category2","Four-Year")</f>
        <v>50140.536737910537</v>
      </c>
      <c r="K105" s="118">
        <f t="shared" si="15"/>
        <v>5</v>
      </c>
      <c r="L105" s="130">
        <f>+GETPIVOTDATA(" Old All Ranks avg",'Averages Pivot Table'!$A$3,"State","GA","Category2","Four-Year")</f>
        <v>72573.992372108783</v>
      </c>
      <c r="M105" s="118">
        <f t="shared" si="16"/>
        <v>8</v>
      </c>
      <c r="N105" s="130"/>
      <c r="O105" s="135"/>
    </row>
    <row r="106" spans="1:19" ht="12.95" customHeight="1" x14ac:dyDescent="0.25">
      <c r="A106" s="132" t="s">
        <v>209</v>
      </c>
      <c r="B106" s="130">
        <f>+GETPIVOTDATA(" Old Prof avg",'Averages Pivot Table'!$A$3,"State","KY","Category2","Four-Year")</f>
        <v>95418.927701073626</v>
      </c>
      <c r="C106" s="118">
        <f t="shared" si="11"/>
        <v>10</v>
      </c>
      <c r="D106" s="130">
        <f>+GETPIVOTDATA(" Old Asc. avg",'Averages Pivot Table'!$A$3,"State","KY","Category2","Four-Year")</f>
        <v>69662.165112973758</v>
      </c>
      <c r="E106" s="118">
        <f t="shared" si="12"/>
        <v>10</v>
      </c>
      <c r="F106" s="130">
        <f>+GETPIVOTDATA(" Old Ast. avg",'Averages Pivot Table'!$A$3,"State","KY","Category2","Four-Year")</f>
        <v>59297.967202305474</v>
      </c>
      <c r="G106" s="118">
        <f t="shared" si="13"/>
        <v>10</v>
      </c>
      <c r="H106" s="130">
        <f>+GETPIVOTDATA(" Old Inst. avg",'Averages Pivot Table'!$A$3,"State","KY","Category2","Four-Year")</f>
        <v>44482.54244432717</v>
      </c>
      <c r="I106" s="118">
        <f t="shared" si="14"/>
        <v>8</v>
      </c>
      <c r="J106" s="130">
        <f>+GETPIVOTDATA(" Old Undesg. avg",'Averages Pivot Table'!$A$3,"State","KY","Category2","Four-Year")</f>
        <v>47532.937589254769</v>
      </c>
      <c r="K106" s="118">
        <f t="shared" si="15"/>
        <v>8</v>
      </c>
      <c r="L106" s="130">
        <f>+GETPIVOTDATA(" Old All Ranks avg",'Averages Pivot Table'!$A$3,"State","KY","Category2","Four-Year")</f>
        <v>69042.577551673297</v>
      </c>
      <c r="M106" s="118">
        <f t="shared" si="16"/>
        <v>10</v>
      </c>
      <c r="N106" s="130"/>
      <c r="O106" s="135"/>
    </row>
    <row r="107" spans="1:19" ht="12.95" customHeight="1" x14ac:dyDescent="0.25">
      <c r="A107" s="132" t="s">
        <v>210</v>
      </c>
      <c r="B107" s="130">
        <f>+GETPIVOTDATA(" Old Prof avg",'Averages Pivot Table'!$A$3,"State","LA","Category2","Four-Year")</f>
        <v>90812.388790356083</v>
      </c>
      <c r="C107" s="118">
        <f t="shared" si="11"/>
        <v>12</v>
      </c>
      <c r="D107" s="130">
        <f>+GETPIVOTDATA(" Old Asc. avg",'Averages Pivot Table'!$A$3,"State","LA","Category2","Four-Year")</f>
        <v>68078.118377419363</v>
      </c>
      <c r="E107" s="118">
        <f t="shared" si="12"/>
        <v>11</v>
      </c>
      <c r="F107" s="130">
        <f>+GETPIVOTDATA(" Old Ast. avg",'Averages Pivot Table'!$A$3,"State","LA","Category2","Four-Year")</f>
        <v>57786.565763542341</v>
      </c>
      <c r="G107" s="118">
        <f t="shared" si="13"/>
        <v>12</v>
      </c>
      <c r="H107" s="130">
        <f>+GETPIVOTDATA(" Old Inst. avg",'Averages Pivot Table'!$A$3,"State","LA","Category2","Four-Year")</f>
        <v>42462.540926843103</v>
      </c>
      <c r="I107" s="118">
        <f t="shared" si="14"/>
        <v>11</v>
      </c>
      <c r="J107" s="130">
        <f>+GETPIVOTDATA(" Old Undesg. avg",'Averages Pivot Table'!$A$3,"State","LA","Category2","Four-Year")</f>
        <v>57941.460464864867</v>
      </c>
      <c r="K107" s="118">
        <f t="shared" si="15"/>
        <v>1</v>
      </c>
      <c r="L107" s="130">
        <f>+GETPIVOTDATA(" Old All Ranks avg",'Averages Pivot Table'!$A$3,"State","LA","Category2","Four-Year")</f>
        <v>65585.878201746731</v>
      </c>
      <c r="M107" s="118">
        <f t="shared" si="16"/>
        <v>13</v>
      </c>
      <c r="N107" s="130"/>
      <c r="O107" s="135"/>
    </row>
    <row r="108" spans="1:19" ht="12.95" customHeight="1" x14ac:dyDescent="0.25">
      <c r="A108" s="132" t="s">
        <v>211</v>
      </c>
      <c r="B108" s="130">
        <f>+GETPIVOTDATA(" Old Prof avg",'Averages Pivot Table'!$A$3,"State","MD","Category2","Four-Year")</f>
        <v>114004.12994166066</v>
      </c>
      <c r="C108" s="118">
        <f t="shared" si="11"/>
        <v>2</v>
      </c>
      <c r="D108" s="130">
        <f>+GETPIVOTDATA(" Old Asc. avg",'Averages Pivot Table'!$A$3,"State","MD","Category2","Four-Year")</f>
        <v>81246.602108148145</v>
      </c>
      <c r="E108" s="118">
        <f t="shared" si="12"/>
        <v>2</v>
      </c>
      <c r="F108" s="130">
        <f>+GETPIVOTDATA(" Old Ast. avg",'Averages Pivot Table'!$A$3,"State","MD","Category2","Four-Year")</f>
        <v>67836.610830391408</v>
      </c>
      <c r="G108" s="118">
        <f t="shared" si="13"/>
        <v>2</v>
      </c>
      <c r="H108" s="130">
        <f>+GETPIVOTDATA(" Old Inst. avg",'Averages Pivot Table'!$A$3,"State","MD","Category2","Four-Year")</f>
        <v>55119.232844712249</v>
      </c>
      <c r="I108" s="118">
        <f t="shared" si="14"/>
        <v>3</v>
      </c>
      <c r="J108" s="130">
        <f>+GETPIVOTDATA(" Old Undesg. avg",'Averages Pivot Table'!$A$3,"State","MD","Category2","Four-Year")</f>
        <v>48774.890780540176</v>
      </c>
      <c r="K108" s="118">
        <f t="shared" si="15"/>
        <v>6</v>
      </c>
      <c r="L108" s="130">
        <f>+GETPIVOTDATA(" Old All Ranks avg",'Averages Pivot Table'!$A$3,"State","MD","Category2","Four-Year")</f>
        <v>80478.95291009717</v>
      </c>
      <c r="M108" s="118">
        <f t="shared" si="16"/>
        <v>3</v>
      </c>
      <c r="N108" s="130"/>
      <c r="O108" s="135"/>
    </row>
    <row r="109" spans="1:19" ht="12.95" customHeight="1" x14ac:dyDescent="0.25">
      <c r="A109" s="132"/>
      <c r="B109" s="130"/>
      <c r="C109" s="118"/>
      <c r="D109" s="130"/>
      <c r="E109" s="118"/>
      <c r="F109" s="130"/>
      <c r="G109" s="118"/>
      <c r="H109" s="130"/>
      <c r="I109" s="118"/>
      <c r="J109" s="130"/>
      <c r="K109" s="118"/>
      <c r="L109" s="130"/>
      <c r="M109" s="118"/>
      <c r="N109" s="130"/>
      <c r="O109" s="135"/>
    </row>
    <row r="110" spans="1:19" ht="12.95" customHeight="1" x14ac:dyDescent="0.25">
      <c r="A110" s="132" t="s">
        <v>212</v>
      </c>
      <c r="B110" s="130">
        <f>+GETPIVOTDATA(" Old Prof avg",'Averages Pivot Table'!$A$3,"State","MS","Category2","Four-Year")</f>
        <v>86896.227739107344</v>
      </c>
      <c r="C110" s="118">
        <f t="shared" si="11"/>
        <v>14</v>
      </c>
      <c r="D110" s="130">
        <f>+GETPIVOTDATA(" Old Asc. avg",'Averages Pivot Table'!$A$3,"State","MS","Category2","Four-Year")</f>
        <v>67331.25147659854</v>
      </c>
      <c r="E110" s="118">
        <f t="shared" si="12"/>
        <v>13</v>
      </c>
      <c r="F110" s="130">
        <f>+GETPIVOTDATA(" Old Ast. avg",'Averages Pivot Table'!$A$3,"State","MS","Category2","Four-Year")</f>
        <v>57791.179785715409</v>
      </c>
      <c r="G110" s="118">
        <f t="shared" si="13"/>
        <v>11</v>
      </c>
      <c r="H110" s="130">
        <f>+GETPIVOTDATA(" Old Inst. avg",'Averages Pivot Table'!$A$3,"State","MS","Category2","Four-Year")</f>
        <v>41829.063639444103</v>
      </c>
      <c r="I110" s="118">
        <f t="shared" si="14"/>
        <v>12</v>
      </c>
      <c r="J110" s="130">
        <f>+GETPIVOTDATA(" Old Undesg. avg",'Averages Pivot Table'!$A$3,"State","MS","Category2","Four-Year")</f>
        <v>33820.063883333336</v>
      </c>
      <c r="K110" s="118">
        <f t="shared" si="15"/>
        <v>15</v>
      </c>
      <c r="L110" s="130">
        <f>+GETPIVOTDATA(" Old All Ranks avg",'Averages Pivot Table'!$A$3,"State","MS","Category2","Four-Year")</f>
        <v>62816.482272798901</v>
      </c>
      <c r="M110" s="118">
        <f t="shared" si="16"/>
        <v>15</v>
      </c>
      <c r="N110" s="130"/>
      <c r="O110" s="135"/>
    </row>
    <row r="111" spans="1:19" ht="12.95" customHeight="1" x14ac:dyDescent="0.25">
      <c r="A111" s="132" t="s">
        <v>213</v>
      </c>
      <c r="B111" s="130">
        <f>+GETPIVOTDATA(" Old Prof avg",'Averages Pivot Table'!$A$3,"State","NC","Category2","Four-Year")</f>
        <v>111209.74035163083</v>
      </c>
      <c r="C111" s="118">
        <f t="shared" si="11"/>
        <v>4</v>
      </c>
      <c r="D111" s="130">
        <f>+GETPIVOTDATA(" Old Asc. avg",'Averages Pivot Table'!$A$3,"State","NC","Category2","Four-Year")</f>
        <v>78771.143588214662</v>
      </c>
      <c r="E111" s="118">
        <f t="shared" si="12"/>
        <v>3</v>
      </c>
      <c r="F111" s="130">
        <f>+GETPIVOTDATA(" Old Ast. avg",'Averages Pivot Table'!$A$3,"State","NC","Category2","Four-Year")</f>
        <v>67119.989633777426</v>
      </c>
      <c r="G111" s="118">
        <f t="shared" si="13"/>
        <v>3</v>
      </c>
      <c r="H111" s="130">
        <f>+GETPIVOTDATA(" Old Inst. avg",'Averages Pivot Table'!$A$3,"State","NC","Category2","Four-Year")</f>
        <v>57502.924204678369</v>
      </c>
      <c r="I111" s="118">
        <f t="shared" si="14"/>
        <v>2</v>
      </c>
      <c r="J111" s="130">
        <f>+GETPIVOTDATA(" Old Undesg. avg",'Averages Pivot Table'!$A$3,"State","NC","Category2","Four-Year")</f>
        <v>54176.983503861884</v>
      </c>
      <c r="K111" s="118">
        <f t="shared" si="15"/>
        <v>3</v>
      </c>
      <c r="L111" s="130">
        <f>+GETPIVOTDATA(" Old All Ranks avg",'Averages Pivot Table'!$A$3,"State","NC","Category2","Four-Year")</f>
        <v>79332.810015933195</v>
      </c>
      <c r="M111" s="118">
        <f t="shared" si="16"/>
        <v>5</v>
      </c>
      <c r="N111" s="130"/>
      <c r="O111" s="135"/>
    </row>
    <row r="112" spans="1:19" ht="12.95" customHeight="1" x14ac:dyDescent="0.25">
      <c r="A112" s="132" t="s">
        <v>214</v>
      </c>
      <c r="B112" s="130">
        <f>+GETPIVOTDATA(" Old Prof avg",'Averages Pivot Table'!$A$3,"State","OK","Category2","Four-Year")</f>
        <v>94344.138759067355</v>
      </c>
      <c r="C112" s="118">
        <f t="shared" si="11"/>
        <v>11</v>
      </c>
      <c r="D112" s="130">
        <f>+GETPIVOTDATA(" Old Asc. avg",'Averages Pivot Table'!$A$3,"State","OK","Category2","Four-Year")</f>
        <v>66256.438672746328</v>
      </c>
      <c r="E112" s="118">
        <f t="shared" si="12"/>
        <v>14</v>
      </c>
      <c r="F112" s="130">
        <f>+GETPIVOTDATA(" Old Ast. avg",'Averages Pivot Table'!$A$3,"State","OK","Category2","Four-Year")</f>
        <v>56960.608642215855</v>
      </c>
      <c r="G112" s="118">
        <f t="shared" si="13"/>
        <v>13</v>
      </c>
      <c r="H112" s="130">
        <f>+GETPIVOTDATA(" Old Inst. avg",'Averages Pivot Table'!$A$3,"State","OK","Category2","Four-Year")</f>
        <v>40927.748899753693</v>
      </c>
      <c r="I112" s="118">
        <f t="shared" si="14"/>
        <v>13</v>
      </c>
      <c r="J112" s="130">
        <f>+GETPIVOTDATA(" Old Undesg. avg",'Averages Pivot Table'!$A$3,"State","OK","Category2","Four-Year")</f>
        <v>0</v>
      </c>
      <c r="K112" s="118">
        <f t="shared" si="15"/>
        <v>0</v>
      </c>
      <c r="L112" s="130">
        <f>+GETPIVOTDATA(" Old All Ranks avg",'Averages Pivot Table'!$A$3,"State","OK","Category2","Four-Year")</f>
        <v>66816.984268899527</v>
      </c>
      <c r="M112" s="118">
        <f t="shared" si="16"/>
        <v>12</v>
      </c>
      <c r="N112" s="130"/>
      <c r="O112" s="135"/>
    </row>
    <row r="113" spans="1:19" ht="12.95" customHeight="1" x14ac:dyDescent="0.25">
      <c r="A113" s="132" t="s">
        <v>215</v>
      </c>
      <c r="B113" s="130">
        <f>+GETPIVOTDATA(" Old Prof avg",'Averages Pivot Table'!$A$3,"State","SC","Category2","Four-Year")</f>
        <v>95606.892432047985</v>
      </c>
      <c r="C113" s="118">
        <f t="shared" si="11"/>
        <v>9</v>
      </c>
      <c r="D113" s="130">
        <f>+GETPIVOTDATA(" Old Asc. avg",'Averages Pivot Table'!$A$3,"State","SC","Category2","Four-Year")</f>
        <v>70739.17969701493</v>
      </c>
      <c r="E113" s="118">
        <f t="shared" si="12"/>
        <v>9</v>
      </c>
      <c r="F113" s="130">
        <f>+GETPIVOTDATA(" Old Ast. avg",'Averages Pivot Table'!$A$3,"State","SC","Category2","Four-Year")</f>
        <v>61568.679277568743</v>
      </c>
      <c r="G113" s="118">
        <f t="shared" si="13"/>
        <v>7</v>
      </c>
      <c r="H113" s="130">
        <f>+GETPIVOTDATA(" Old Inst. avg",'Averages Pivot Table'!$A$3,"State","SC","Category2","Four-Year")</f>
        <v>44774.371528859054</v>
      </c>
      <c r="I113" s="118">
        <f t="shared" si="14"/>
        <v>7</v>
      </c>
      <c r="J113" s="130">
        <f>+GETPIVOTDATA(" Old Undesg. avg",'Averages Pivot Table'!$A$3,"State","SC","Category2","Four-Year")</f>
        <v>44673.093353793105</v>
      </c>
      <c r="K113" s="118">
        <f t="shared" si="15"/>
        <v>11</v>
      </c>
      <c r="L113" s="130">
        <f>+GETPIVOTDATA(" Old All Ranks avg",'Averages Pivot Table'!$A$3,"State","SC","Category2","Four-Year")</f>
        <v>70111.743118967046</v>
      </c>
      <c r="M113" s="118">
        <f t="shared" si="16"/>
        <v>9</v>
      </c>
      <c r="N113" s="130"/>
      <c r="O113" s="135"/>
    </row>
    <row r="114" spans="1:19" ht="12.95" customHeight="1" x14ac:dyDescent="0.25">
      <c r="A114" s="132"/>
      <c r="B114" s="130"/>
      <c r="C114" s="118"/>
      <c r="D114" s="130"/>
      <c r="E114" s="118"/>
      <c r="F114" s="130"/>
      <c r="G114" s="118"/>
      <c r="H114" s="130"/>
      <c r="I114" s="118"/>
      <c r="J114" s="130"/>
      <c r="K114" s="118"/>
      <c r="L114" s="130"/>
      <c r="M114" s="118"/>
      <c r="N114" s="130"/>
      <c r="O114" s="135"/>
    </row>
    <row r="115" spans="1:19" ht="12.95" customHeight="1" x14ac:dyDescent="0.25">
      <c r="A115" s="132" t="s">
        <v>216</v>
      </c>
      <c r="B115" s="592">
        <f>+GETPIVOTDATA(" Old Prof avg",'Averages Pivot Table'!$A$3,"State","TN","Category2","Four-Year")</f>
        <v>89490.38025434663</v>
      </c>
      <c r="C115" s="118">
        <f t="shared" si="11"/>
        <v>13</v>
      </c>
      <c r="D115" s="592">
        <f>+GETPIVOTDATA(" Old Asc. avg",'Averages Pivot Table'!$A$3,"State","TN","Category2","Four-Year")</f>
        <v>67446.417528091406</v>
      </c>
      <c r="E115" s="118">
        <f t="shared" si="12"/>
        <v>12</v>
      </c>
      <c r="F115" s="592">
        <f>+GETPIVOTDATA(" Old Ast. avg",'Averages Pivot Table'!$A$3,"State","TN","Category2","Four-Year")</f>
        <v>56349.175674069149</v>
      </c>
      <c r="G115" s="118">
        <f t="shared" si="13"/>
        <v>14</v>
      </c>
      <c r="H115" s="592">
        <f>+GETPIVOTDATA(" Old Inst. avg",'Averages Pivot Table'!$A$3,"State","TN","Category2","Four-Year")</f>
        <v>40498.545316397234</v>
      </c>
      <c r="I115" s="118">
        <f t="shared" si="14"/>
        <v>14</v>
      </c>
      <c r="J115" s="592">
        <f>+GETPIVOTDATA(" Old Undesg. avg",'Averages Pivot Table'!$A$3,"State","TN","Category2","Four-Year")</f>
        <v>38517.180679999998</v>
      </c>
      <c r="K115" s="118">
        <f t="shared" si="15"/>
        <v>14</v>
      </c>
      <c r="L115" s="592">
        <f>+GETPIVOTDATA(" Old All Ranks avg",'Averages Pivot Table'!$A$3,"State","TN","Category2","Four-Year")</f>
        <v>67160.426279245294</v>
      </c>
      <c r="M115" s="118">
        <f t="shared" si="16"/>
        <v>11</v>
      </c>
      <c r="N115" s="130"/>
      <c r="O115" s="135"/>
    </row>
    <row r="116" spans="1:19" ht="12.95" customHeight="1" x14ac:dyDescent="0.25">
      <c r="A116" s="132" t="s">
        <v>217</v>
      </c>
      <c r="B116" s="592">
        <f>+GETPIVOTDATA(" Old Prof avg",'Averages Pivot Table'!$A$3,"State","TX","Category2","Four-Year")</f>
        <v>109758.07101240676</v>
      </c>
      <c r="C116" s="118">
        <f t="shared" si="11"/>
        <v>5</v>
      </c>
      <c r="D116" s="592">
        <f>+GETPIVOTDATA(" Old Asc. avg",'Averages Pivot Table'!$A$3,"State","TX","Category2","Four-Year")</f>
        <v>76221.662012852117</v>
      </c>
      <c r="E116" s="118">
        <f t="shared" si="12"/>
        <v>5</v>
      </c>
      <c r="F116" s="592">
        <f>+GETPIVOTDATA(" Old Ast. avg",'Averages Pivot Table'!$A$3,"State","TX","Category2","Four-Year")</f>
        <v>65776.767740275769</v>
      </c>
      <c r="G116" s="118">
        <f t="shared" si="13"/>
        <v>5</v>
      </c>
      <c r="H116" s="592">
        <f>+GETPIVOTDATA(" Old Inst. avg",'Averages Pivot Table'!$A$3,"State","TX","Category2","Four-Year")</f>
        <v>45334.801016849015</v>
      </c>
      <c r="I116" s="118">
        <f t="shared" si="14"/>
        <v>6</v>
      </c>
      <c r="J116" s="592">
        <f>+GETPIVOTDATA(" Old Undesg. avg",'Averages Pivot Table'!$A$3,"State","TX","Category2","Four-Year")</f>
        <v>48613.25882105004</v>
      </c>
      <c r="K116" s="118">
        <f t="shared" si="15"/>
        <v>7</v>
      </c>
      <c r="L116" s="592">
        <f>+GETPIVOTDATA(" Old All Ranks avg",'Averages Pivot Table'!$A$3,"State","TX","Category2","Four-Year")</f>
        <v>85161.071393400547</v>
      </c>
      <c r="M116" s="118">
        <f t="shared" si="16"/>
        <v>2</v>
      </c>
      <c r="N116" s="130"/>
      <c r="O116" s="135"/>
    </row>
    <row r="117" spans="1:19" ht="12.95" customHeight="1" x14ac:dyDescent="0.25">
      <c r="A117" s="132" t="s">
        <v>218</v>
      </c>
      <c r="B117" s="592">
        <f>+GETPIVOTDATA(" Old Prof avg",'Averages Pivot Table'!$A$3,"State","VA","Category2","Four-Year")</f>
        <v>111377.68054619484</v>
      </c>
      <c r="C117" s="118">
        <f t="shared" si="11"/>
        <v>3</v>
      </c>
      <c r="D117" s="592">
        <f>+GETPIVOTDATA(" Old Asc. avg",'Averages Pivot Table'!$A$3,"State","VA","Category2","Four-Year")</f>
        <v>77705.375201826842</v>
      </c>
      <c r="E117" s="118">
        <f t="shared" si="12"/>
        <v>4</v>
      </c>
      <c r="F117" s="592">
        <f>+GETPIVOTDATA(" Old Ast. avg",'Averages Pivot Table'!$A$3,"State","VA","Category2","Four-Year")</f>
        <v>64669.136509969787</v>
      </c>
      <c r="G117" s="118">
        <f t="shared" si="13"/>
        <v>6</v>
      </c>
      <c r="H117" s="592">
        <f>+GETPIVOTDATA(" Old Inst. avg",'Averages Pivot Table'!$A$3,"State","VA","Category2","Four-Year")</f>
        <v>48173.439396909496</v>
      </c>
      <c r="I117" s="118">
        <f t="shared" si="14"/>
        <v>5</v>
      </c>
      <c r="J117" s="592">
        <f>+GETPIVOTDATA(" Old Undesg. avg",'Averages Pivot Table'!$A$3,"State","VA","Category2","Four-Year")</f>
        <v>50317.294304316551</v>
      </c>
      <c r="K117" s="118">
        <f t="shared" si="15"/>
        <v>4</v>
      </c>
      <c r="L117" s="592">
        <f>+GETPIVOTDATA(" Old All Ranks avg",'Averages Pivot Table'!$A$3,"State","VA","Category2","Four-Year")</f>
        <v>80471.193759384754</v>
      </c>
      <c r="M117" s="118">
        <f t="shared" si="16"/>
        <v>4</v>
      </c>
      <c r="N117" s="130"/>
      <c r="O117" s="135"/>
    </row>
    <row r="118" spans="1:19" ht="12.95" customHeight="1" x14ac:dyDescent="0.25">
      <c r="A118" s="6" t="s">
        <v>219</v>
      </c>
      <c r="B118" s="593">
        <f>+GETPIVOTDATA(" Old Prof avg",'Averages Pivot Table'!$A$3,"State","WV","Category2","Four-Year")</f>
        <v>85025.979041260754</v>
      </c>
      <c r="C118" s="119">
        <f t="shared" si="11"/>
        <v>16</v>
      </c>
      <c r="D118" s="593">
        <f>+GETPIVOTDATA(" Old Asc. avg",'Averages Pivot Table'!$A$3,"State","WV","Category2","Four-Year")</f>
        <v>65758.364294897954</v>
      </c>
      <c r="E118" s="119">
        <f t="shared" si="12"/>
        <v>15</v>
      </c>
      <c r="F118" s="593">
        <f>+GETPIVOTDATA(" Old Ast. avg",'Averages Pivot Table'!$A$3,"State","WV","Category2","Four-Year")</f>
        <v>54871.529626429481</v>
      </c>
      <c r="G118" s="119">
        <f t="shared" si="13"/>
        <v>16</v>
      </c>
      <c r="H118" s="593">
        <f>+GETPIVOTDATA(" Old Inst. avg",'Averages Pivot Table'!$A$3,"State","WV","Category2","Four-Year")</f>
        <v>39138.409138947369</v>
      </c>
      <c r="I118" s="119">
        <f t="shared" si="14"/>
        <v>16</v>
      </c>
      <c r="J118" s="593">
        <f>+GETPIVOTDATA(" Old Undesg. avg",'Averages Pivot Table'!$A$3,"State","WV","Category2","Four-Year")</f>
        <v>47420.706664000005</v>
      </c>
      <c r="K118" s="119">
        <f t="shared" si="15"/>
        <v>9</v>
      </c>
      <c r="L118" s="593">
        <f>+GETPIVOTDATA(" Old All Ranks avg",'Averages Pivot Table'!$A$3,"State","WV","Category2","Four-Year")</f>
        <v>65285.464099351499</v>
      </c>
      <c r="M118" s="119">
        <f t="shared" si="16"/>
        <v>14</v>
      </c>
      <c r="N118" s="130"/>
      <c r="O118" s="130"/>
    </row>
    <row r="119" spans="1:19" ht="30" customHeight="1" x14ac:dyDescent="0.25">
      <c r="A119" s="672" t="s">
        <v>91</v>
      </c>
      <c r="B119" s="680"/>
      <c r="C119" s="680"/>
      <c r="D119" s="680"/>
      <c r="E119" s="680"/>
      <c r="F119" s="680"/>
      <c r="G119" s="680"/>
      <c r="H119" s="680"/>
      <c r="I119" s="680"/>
      <c r="J119" s="680"/>
      <c r="K119" s="680"/>
      <c r="L119" s="680"/>
      <c r="M119" s="680"/>
      <c r="N119" s="132"/>
      <c r="O119" s="132"/>
    </row>
    <row r="120" spans="1:19" x14ac:dyDescent="0.25">
      <c r="M120" s="157" t="s">
        <v>1083</v>
      </c>
      <c r="O120" s="131"/>
    </row>
    <row r="121" spans="1:19" ht="18" x14ac:dyDescent="0.25">
      <c r="A121" s="544" t="s">
        <v>263</v>
      </c>
      <c r="B121" s="544"/>
      <c r="C121" s="544"/>
      <c r="D121" s="544"/>
      <c r="E121" s="544"/>
      <c r="F121" s="544"/>
      <c r="G121" s="544"/>
      <c r="H121" s="544"/>
      <c r="I121" s="544"/>
      <c r="J121" s="544"/>
      <c r="K121" s="544"/>
      <c r="L121" s="544"/>
      <c r="M121" s="544"/>
      <c r="N121" s="100"/>
      <c r="O121" s="100"/>
    </row>
    <row r="122" spans="1:19" x14ac:dyDescent="0.25">
      <c r="A122" s="588"/>
      <c r="B122" s="93"/>
      <c r="C122" s="93"/>
      <c r="D122" s="93"/>
      <c r="E122" s="93"/>
      <c r="F122" s="93"/>
      <c r="G122" s="93"/>
      <c r="H122" s="93"/>
      <c r="I122" s="93"/>
      <c r="J122" s="93"/>
      <c r="K122" s="93"/>
      <c r="L122" s="93"/>
      <c r="M122" s="93"/>
      <c r="N122" s="93"/>
      <c r="O122" s="93"/>
    </row>
    <row r="123" spans="1:19" x14ac:dyDescent="0.25">
      <c r="A123" s="665" t="s">
        <v>220</v>
      </c>
      <c r="B123" s="665"/>
      <c r="C123" s="665"/>
      <c r="D123" s="665"/>
      <c r="E123" s="665"/>
      <c r="F123" s="665"/>
      <c r="G123" s="665"/>
      <c r="H123" s="665"/>
      <c r="I123" s="665"/>
      <c r="J123" s="665"/>
      <c r="K123" s="665"/>
      <c r="L123" s="665"/>
      <c r="M123" s="665"/>
      <c r="N123" s="128"/>
      <c r="O123" s="128"/>
    </row>
    <row r="124" spans="1:19" x14ac:dyDescent="0.25">
      <c r="A124" s="665" t="s">
        <v>317</v>
      </c>
      <c r="B124" s="665"/>
      <c r="C124" s="665"/>
      <c r="D124" s="665"/>
      <c r="E124" s="665"/>
      <c r="F124" s="665"/>
      <c r="G124" s="665"/>
      <c r="H124" s="665"/>
      <c r="I124" s="665"/>
      <c r="J124" s="665"/>
      <c r="K124" s="665"/>
      <c r="L124" s="665"/>
      <c r="M124" s="665"/>
      <c r="N124" s="128"/>
      <c r="O124" s="128"/>
    </row>
    <row r="125" spans="1:19" x14ac:dyDescent="0.25">
      <c r="A125" s="132"/>
      <c r="B125" s="132"/>
      <c r="C125" s="132"/>
      <c r="D125" s="132"/>
      <c r="E125" s="132"/>
      <c r="F125" s="132"/>
      <c r="G125" s="132"/>
      <c r="H125" s="132"/>
      <c r="I125" s="132"/>
      <c r="J125" s="132"/>
      <c r="K125" s="132"/>
      <c r="L125" s="132"/>
      <c r="M125" s="132"/>
      <c r="N125" s="132"/>
      <c r="O125" s="132"/>
    </row>
    <row r="126" spans="1:19" ht="31.5" customHeight="1" x14ac:dyDescent="0.25">
      <c r="A126" s="547"/>
      <c r="B126" s="589" t="s">
        <v>99</v>
      </c>
      <c r="C126" s="142"/>
      <c r="D126" s="590" t="s">
        <v>100</v>
      </c>
      <c r="E126" s="591"/>
      <c r="F126" s="590" t="s">
        <v>101</v>
      </c>
      <c r="G126" s="591"/>
      <c r="H126" s="589" t="s">
        <v>102</v>
      </c>
      <c r="I126" s="142"/>
      <c r="J126" s="590" t="s">
        <v>226</v>
      </c>
      <c r="K126" s="591"/>
      <c r="L126" s="142" t="s">
        <v>84</v>
      </c>
      <c r="M126" s="142"/>
      <c r="N126" s="129" t="s">
        <v>223</v>
      </c>
      <c r="O126" s="129"/>
    </row>
    <row r="127" spans="1:19" x14ac:dyDescent="0.25">
      <c r="A127" s="551"/>
      <c r="B127" s="115" t="s">
        <v>103</v>
      </c>
      <c r="C127" s="143" t="s">
        <v>193</v>
      </c>
      <c r="D127" s="115" t="s">
        <v>103</v>
      </c>
      <c r="E127" s="143" t="s">
        <v>193</v>
      </c>
      <c r="F127" s="115" t="s">
        <v>103</v>
      </c>
      <c r="G127" s="143" t="s">
        <v>193</v>
      </c>
      <c r="H127" s="115" t="s">
        <v>103</v>
      </c>
      <c r="I127" s="143" t="s">
        <v>193</v>
      </c>
      <c r="J127" s="115" t="s">
        <v>103</v>
      </c>
      <c r="K127" s="143" t="s">
        <v>193</v>
      </c>
      <c r="L127" s="115" t="s">
        <v>103</v>
      </c>
      <c r="M127" s="143" t="s">
        <v>193</v>
      </c>
    </row>
    <row r="128" spans="1:19" s="556" customFormat="1" ht="18" customHeight="1" x14ac:dyDescent="0.25">
      <c r="A128" s="554" t="s">
        <v>222</v>
      </c>
      <c r="B128" s="146">
        <f>+GETPIVOTDATA(" Old Prof avg",'Averages Pivot Table'!$A$3,"Category",1,"Category2","Four-Year")</f>
        <v>116647.4795533529</v>
      </c>
      <c r="C128" s="146"/>
      <c r="D128" s="146">
        <f>+GETPIVOTDATA(" Old Asc. avg",'Averages Pivot Table'!$A$3,"Category",1,"Category2","Four-Year")</f>
        <v>79988.241145602064</v>
      </c>
      <c r="E128" s="146"/>
      <c r="F128" s="146">
        <f>+GETPIVOTDATA(" Old Ast. avg",'Averages Pivot Table'!$A$3,"Category",1,"Category2","Four-Year")</f>
        <v>69137.159192721447</v>
      </c>
      <c r="G128" s="146"/>
      <c r="H128" s="146">
        <f>+GETPIVOTDATA(" Old Inst. avg",'Averages Pivot Table'!$A$3,"Category",1,"Category2","Four-Year")</f>
        <v>46133.865822981388</v>
      </c>
      <c r="I128" s="146"/>
      <c r="J128" s="146">
        <f>+GETPIVOTDATA(" Old Undesg. avg",'Averages Pivot Table'!$A$3,"Category",1,"Category2","Four-Year")</f>
        <v>53424.883801003496</v>
      </c>
      <c r="K128" s="146"/>
      <c r="L128" s="146">
        <f>+GETPIVOTDATA(" Old All Ranks avg",'Averages Pivot Table'!$A$3,"Category",1,"Category2","Four-Year")</f>
        <v>86344.785370794707</v>
      </c>
      <c r="M128" s="149"/>
      <c r="N128" s="146"/>
      <c r="O128" s="133"/>
      <c r="Q128" s="558"/>
      <c r="R128" s="558"/>
      <c r="S128" s="558"/>
    </row>
    <row r="129" spans="1:15" ht="12.95" customHeight="1" x14ac:dyDescent="0.25">
      <c r="A129" s="132"/>
      <c r="B129" s="123"/>
      <c r="C129" s="150"/>
      <c r="D129" s="123"/>
      <c r="E129" s="150"/>
      <c r="F129" s="123"/>
      <c r="G129" s="150"/>
      <c r="H129" s="123"/>
      <c r="I129" s="150"/>
      <c r="J129" s="123"/>
      <c r="K129" s="150"/>
      <c r="L129" s="123"/>
      <c r="M129" s="150"/>
      <c r="N129" s="123"/>
      <c r="O129" s="134"/>
    </row>
    <row r="130" spans="1:15" ht="12.95" customHeight="1" x14ac:dyDescent="0.25">
      <c r="A130" s="132" t="s">
        <v>205</v>
      </c>
      <c r="B130" s="130">
        <f>+GETPIVOTDATA(" Old Prof avg",'Averages Pivot Table'!$A$3,"State","AL","Category",1,"Category2","Four-Year")</f>
        <v>113495.82273339981</v>
      </c>
      <c r="C130" s="118">
        <f>IF(B130&gt;0,(RANK(B130,B$130:B$148)),0)</f>
        <v>7</v>
      </c>
      <c r="D130" s="130">
        <f>+GETPIVOTDATA(" Old Asc. avg",'Averages Pivot Table'!$A$3,"State","AL","Category",1,"Category2","Four-Year")</f>
        <v>79479.332325327501</v>
      </c>
      <c r="E130" s="118">
        <f>IF(D130&gt;0,(RANK(D130,D$130:D$148)),0)</f>
        <v>6</v>
      </c>
      <c r="F130" s="130">
        <f>+GETPIVOTDATA(" Old Ast. avg",'Averages Pivot Table'!$A$3,"State","AL","Category",1,"Category2","Four-Year")</f>
        <v>63800.64269171271</v>
      </c>
      <c r="G130" s="118">
        <f t="shared" ref="G130:G148" si="17">IF(F130&gt;0,(RANK(F130,F$130:F$148)),0)</f>
        <v>13</v>
      </c>
      <c r="H130" s="130">
        <f>+GETPIVOTDATA(" Old Inst. avg",'Averages Pivot Table'!$A$3,"State","AL","Category",1,"Category2","Four-Year")</f>
        <v>42978.5560591623</v>
      </c>
      <c r="I130" s="118">
        <f t="shared" ref="I130:I148" si="18">IF(H130&gt;0,(RANK(H130,H$130:H$148)),0)</f>
        <v>12</v>
      </c>
      <c r="J130" s="130">
        <f>+GETPIVOTDATA(" Old Undesg. avg",'Averages Pivot Table'!$A$3,"State","AL","Category",1,"Category2","Four-Year")</f>
        <v>61480.842315384616</v>
      </c>
      <c r="K130" s="118">
        <f t="shared" ref="K130:K148" si="19">IF(J130&gt;0,(RANK(J130,J$130:J$148)),0)</f>
        <v>2</v>
      </c>
      <c r="L130" s="130">
        <f>+GETPIVOTDATA(" Old All Ranks avg",'Averages Pivot Table'!$A$3,"State","AL","Category",1,"Category2","Four-Year")</f>
        <v>81186.655495792074</v>
      </c>
      <c r="M130" s="118">
        <f t="shared" ref="M130:M148" si="20">IF(L130&gt;0,(RANK(L130,L$130:L$148)),0)</f>
        <v>8</v>
      </c>
      <c r="N130" s="130"/>
      <c r="O130" s="135"/>
    </row>
    <row r="131" spans="1:15" ht="12.95" customHeight="1" x14ac:dyDescent="0.25">
      <c r="A131" s="132" t="s">
        <v>206</v>
      </c>
      <c r="B131" s="130">
        <f>+GETPIVOTDATA(" Old Prof avg",'Averages Pivot Table'!$A$3,"State","AR","Category",1,"Category2","Four-Year")</f>
        <v>103582.99623398329</v>
      </c>
      <c r="C131" s="118">
        <f t="shared" ref="C131:E148" si="21">IF(B131&gt;0,(RANK(B131,B$130:B$148)),0)</f>
        <v>14</v>
      </c>
      <c r="D131" s="130">
        <f>+GETPIVOTDATA(" Old Asc. avg",'Averages Pivot Table'!$A$3,"State","AR","Category",1,"Category2","Four-Year")</f>
        <v>73743.659477981651</v>
      </c>
      <c r="E131" s="118">
        <f t="shared" si="21"/>
        <v>14</v>
      </c>
      <c r="F131" s="130">
        <f>+GETPIVOTDATA(" Old Ast. avg",'Averages Pivot Table'!$A$3,"State","AR","Category",1,"Category2","Four-Year")</f>
        <v>69920.66671294118</v>
      </c>
      <c r="G131" s="118">
        <f t="shared" si="17"/>
        <v>7</v>
      </c>
      <c r="H131" s="130">
        <f>+GETPIVOTDATA(" Old Inst. avg",'Averages Pivot Table'!$A$3,"State","AR","Category",1,"Category2","Four-Year")</f>
        <v>43014.044648062016</v>
      </c>
      <c r="I131" s="118">
        <f t="shared" si="18"/>
        <v>11</v>
      </c>
      <c r="J131" s="130">
        <f>+GETPIVOTDATA(" Old Undesg. avg",'Averages Pivot Table'!$A$3,"State","AR","Category",1,"Category2","Four-Year")</f>
        <v>45842.215265789477</v>
      </c>
      <c r="K131" s="118">
        <f t="shared" si="19"/>
        <v>12</v>
      </c>
      <c r="L131" s="130">
        <f>+GETPIVOTDATA(" Old All Ranks avg",'Averages Pivot Table'!$A$3,"State","AR","Category",1,"Category2","Four-Year")</f>
        <v>77922.003020168064</v>
      </c>
      <c r="M131" s="118">
        <f t="shared" si="20"/>
        <v>12</v>
      </c>
      <c r="N131" s="130"/>
      <c r="O131" s="135"/>
    </row>
    <row r="132" spans="1:15" ht="12.95" customHeight="1" x14ac:dyDescent="0.25">
      <c r="A132" s="132" t="s">
        <v>221</v>
      </c>
      <c r="B132" s="130">
        <f>+GETPIVOTDATA(" Old Prof avg",'Averages Pivot Table'!$A$3,"State","DE","Category",1,"Category2","Four-Year")</f>
        <v>134602.56833245384</v>
      </c>
      <c r="C132" s="118">
        <f t="shared" si="21"/>
        <v>1</v>
      </c>
      <c r="D132" s="130">
        <f>+GETPIVOTDATA(" Old Asc. avg",'Averages Pivot Table'!$A$3,"State","DE","Category",1,"Category2","Four-Year")</f>
        <v>91687.289451428573</v>
      </c>
      <c r="E132" s="118">
        <f t="shared" si="21"/>
        <v>2</v>
      </c>
      <c r="F132" s="130">
        <f>+GETPIVOTDATA(" Old Ast. avg",'Averages Pivot Table'!$A$3,"State","DE","Category",1,"Category2","Four-Year")</f>
        <v>77905.654589655169</v>
      </c>
      <c r="G132" s="118">
        <f t="shared" si="17"/>
        <v>2</v>
      </c>
      <c r="H132" s="130">
        <f>+GETPIVOTDATA(" Old Inst. avg",'Averages Pivot Table'!$A$3,"State","DE","Category",1,"Category2","Four-Year")</f>
        <v>60780.762536448601</v>
      </c>
      <c r="I132" s="118">
        <f t="shared" si="18"/>
        <v>2</v>
      </c>
      <c r="J132" s="130">
        <f>+GETPIVOTDATA(" Old Undesg. avg",'Averages Pivot Table'!$A$3,"State","DE","Category",1,"Category2","Four-Year")</f>
        <v>0</v>
      </c>
      <c r="K132" s="118">
        <f t="shared" si="19"/>
        <v>0</v>
      </c>
      <c r="L132" s="130">
        <f>+GETPIVOTDATA(" Old All Ranks avg",'Averages Pivot Table'!$A$3,"State","DE","Category",1,"Category2","Four-Year")</f>
        <v>99645.742565186505</v>
      </c>
      <c r="M132" s="118">
        <f t="shared" si="20"/>
        <v>2</v>
      </c>
      <c r="N132" s="130"/>
      <c r="O132" s="135"/>
    </row>
    <row r="133" spans="1:15" ht="12.95" customHeight="1" x14ac:dyDescent="0.25">
      <c r="A133" s="132" t="s">
        <v>207</v>
      </c>
      <c r="B133" s="130">
        <f>+GETPIVOTDATA(" Old Prof avg",'Averages Pivot Table'!$A$3,"State","FL","Category",1,"Category2","Four-Year")</f>
        <v>114104.2691161142</v>
      </c>
      <c r="C133" s="118">
        <f t="shared" si="21"/>
        <v>6</v>
      </c>
      <c r="D133" s="130">
        <f>+GETPIVOTDATA(" Old Asc. avg",'Averages Pivot Table'!$A$3,"State","FL","Category",1,"Category2","Four-Year")</f>
        <v>78401.501458144994</v>
      </c>
      <c r="E133" s="118">
        <f t="shared" si="21"/>
        <v>7</v>
      </c>
      <c r="F133" s="130">
        <f>+GETPIVOTDATA(" Old Ast. avg",'Averages Pivot Table'!$A$3,"State","FL","Category",1,"Category2","Four-Year")</f>
        <v>69049.553146133243</v>
      </c>
      <c r="G133" s="118">
        <f t="shared" si="17"/>
        <v>10</v>
      </c>
      <c r="H133" s="130">
        <f>+GETPIVOTDATA(" Old Inst. avg",'Averages Pivot Table'!$A$3,"State","FL","Category",1,"Category2","Four-Year")</f>
        <v>49270.07460216996</v>
      </c>
      <c r="I133" s="118">
        <f t="shared" si="18"/>
        <v>6</v>
      </c>
      <c r="J133" s="130">
        <f>+GETPIVOTDATA(" Old Undesg. avg",'Averages Pivot Table'!$A$3,"State","FL","Category",1,"Category2","Four-Year")</f>
        <v>57198.300282290504</v>
      </c>
      <c r="K133" s="118">
        <f t="shared" si="19"/>
        <v>5</v>
      </c>
      <c r="L133" s="130">
        <f>+GETPIVOTDATA(" Old All Ranks avg",'Averages Pivot Table'!$A$3,"State","FL","Category",1,"Category2","Four-Year")</f>
        <v>82114.445515932341</v>
      </c>
      <c r="M133" s="118">
        <f t="shared" si="20"/>
        <v>7</v>
      </c>
      <c r="N133" s="130"/>
      <c r="O133" s="135"/>
    </row>
    <row r="134" spans="1:15" ht="12.95" customHeight="1" x14ac:dyDescent="0.25">
      <c r="A134" s="132"/>
      <c r="B134" s="130"/>
      <c r="C134" s="118">
        <f t="shared" si="21"/>
        <v>0</v>
      </c>
      <c r="D134" s="130"/>
      <c r="E134" s="118">
        <f t="shared" si="21"/>
        <v>0</v>
      </c>
      <c r="F134" s="130"/>
      <c r="G134" s="118">
        <f t="shared" si="17"/>
        <v>0</v>
      </c>
      <c r="H134" s="130"/>
      <c r="I134" s="118">
        <f t="shared" si="18"/>
        <v>0</v>
      </c>
      <c r="J134" s="130"/>
      <c r="K134" s="118">
        <f t="shared" si="19"/>
        <v>0</v>
      </c>
      <c r="L134" s="130"/>
      <c r="M134" s="118">
        <f t="shared" si="20"/>
        <v>0</v>
      </c>
      <c r="N134" s="130"/>
      <c r="O134" s="135"/>
    </row>
    <row r="135" spans="1:15" ht="12.95" customHeight="1" x14ac:dyDescent="0.25">
      <c r="A135" s="132" t="s">
        <v>208</v>
      </c>
      <c r="B135" s="130">
        <f>+GETPIVOTDATA(" Old Prof avg",'Averages Pivot Table'!$A$3,"State","GA","Category",1,"Category2","Four-Year")</f>
        <v>109932.35000450957</v>
      </c>
      <c r="C135" s="118">
        <f t="shared" si="21"/>
        <v>9</v>
      </c>
      <c r="D135" s="130">
        <f>+GETPIVOTDATA(" Old Asc. avg",'Averages Pivot Table'!$A$3,"State","GA","Category",1,"Category2","Four-Year")</f>
        <v>78178.574449187814</v>
      </c>
      <c r="E135" s="118">
        <f t="shared" si="21"/>
        <v>8</v>
      </c>
      <c r="F135" s="130">
        <f>+GETPIVOTDATA(" Old Ast. avg",'Averages Pivot Table'!$A$3,"State","GA","Category",1,"Category2","Four-Year")</f>
        <v>71213.253589595814</v>
      </c>
      <c r="G135" s="118">
        <f t="shared" si="17"/>
        <v>5</v>
      </c>
      <c r="H135" s="130">
        <f>+GETPIVOTDATA(" Old Inst. avg",'Averages Pivot Table'!$A$3,"State","GA","Category",1,"Category2","Four-Year")</f>
        <v>52086.671101886786</v>
      </c>
      <c r="I135" s="118">
        <f t="shared" si="18"/>
        <v>4</v>
      </c>
      <c r="J135" s="130">
        <f>+GETPIVOTDATA(" Old Undesg. avg",'Averages Pivot Table'!$A$3,"State","GA","Category",1,"Category2","Four-Year")</f>
        <v>51315.764477076926</v>
      </c>
      <c r="K135" s="118">
        <f t="shared" si="19"/>
        <v>7</v>
      </c>
      <c r="L135" s="130">
        <f>+GETPIVOTDATA(" Old All Ranks avg",'Averages Pivot Table'!$A$3,"State","GA","Category",1,"Category2","Four-Year")</f>
        <v>82834.245913112522</v>
      </c>
      <c r="M135" s="118">
        <f t="shared" si="20"/>
        <v>6</v>
      </c>
      <c r="N135" s="130"/>
      <c r="O135" s="135"/>
    </row>
    <row r="136" spans="1:15" ht="12.95" customHeight="1" x14ac:dyDescent="0.25">
      <c r="A136" s="132" t="s">
        <v>209</v>
      </c>
      <c r="B136" s="130">
        <f>+GETPIVOTDATA(" Old Prof avg",'Averages Pivot Table'!$A$3,"State","KY","Category",1,"Category2","Four-Year")</f>
        <v>104880.10045857519</v>
      </c>
      <c r="C136" s="118">
        <f t="shared" si="21"/>
        <v>13</v>
      </c>
      <c r="D136" s="130">
        <f>+GETPIVOTDATA(" Old Asc. avg",'Averages Pivot Table'!$A$3,"State","KY","Category",1,"Category2","Four-Year")</f>
        <v>76048.276668932042</v>
      </c>
      <c r="E136" s="118">
        <f t="shared" si="21"/>
        <v>12</v>
      </c>
      <c r="F136" s="130">
        <f>+GETPIVOTDATA(" Old Ast. avg",'Averages Pivot Table'!$A$3,"State","KY","Category",1,"Category2","Four-Year")</f>
        <v>64989.15304034188</v>
      </c>
      <c r="G136" s="118">
        <f t="shared" si="17"/>
        <v>11</v>
      </c>
      <c r="H136" s="130">
        <f>+GETPIVOTDATA(" Old Inst. avg",'Averages Pivot Table'!$A$3,"State","KY","Category",1,"Category2","Four-Year")</f>
        <v>50868.498442553195</v>
      </c>
      <c r="I136" s="118">
        <f t="shared" si="18"/>
        <v>5</v>
      </c>
      <c r="J136" s="130">
        <f>+GETPIVOTDATA(" Old Undesg. avg",'Averages Pivot Table'!$A$3,"State","KY","Category",1,"Category2","Four-Year")</f>
        <v>48689.083882894738</v>
      </c>
      <c r="K136" s="118">
        <f t="shared" si="19"/>
        <v>10</v>
      </c>
      <c r="L136" s="130">
        <f>+GETPIVOTDATA(" Old All Ranks avg",'Averages Pivot Table'!$A$3,"State","KY","Category",1,"Category2","Four-Year")</f>
        <v>80062.521640869963</v>
      </c>
      <c r="M136" s="118">
        <f t="shared" si="20"/>
        <v>10</v>
      </c>
      <c r="N136" s="130"/>
      <c r="O136" s="135"/>
    </row>
    <row r="137" spans="1:15" ht="12.95" customHeight="1" x14ac:dyDescent="0.25">
      <c r="A137" s="132" t="s">
        <v>210</v>
      </c>
      <c r="B137" s="130">
        <f>+GETPIVOTDATA(" Old Prof avg",'Averages Pivot Table'!$A$3,"State","LA","Category",1,"Category2","Four-Year")</f>
        <v>110371.4612013986</v>
      </c>
      <c r="C137" s="118">
        <f t="shared" si="21"/>
        <v>8</v>
      </c>
      <c r="D137" s="130">
        <f>+GETPIVOTDATA(" Old Asc. avg",'Averages Pivot Table'!$A$3,"State","LA","Category",1,"Category2","Four-Year")</f>
        <v>78092.475473400671</v>
      </c>
      <c r="E137" s="118">
        <f t="shared" si="21"/>
        <v>9</v>
      </c>
      <c r="F137" s="130">
        <f>+GETPIVOTDATA(" Old Ast. avg",'Averages Pivot Table'!$A$3,"State","LA","Category",1,"Category2","Four-Year")</f>
        <v>69235.887364028778</v>
      </c>
      <c r="G137" s="118">
        <f t="shared" si="17"/>
        <v>9</v>
      </c>
      <c r="H137" s="130">
        <f>+GETPIVOTDATA(" Old Inst. avg",'Averages Pivot Table'!$A$3,"State","LA","Category",1,"Category2","Four-Year")</f>
        <v>43912.270076995308</v>
      </c>
      <c r="I137" s="118">
        <f t="shared" si="18"/>
        <v>10</v>
      </c>
      <c r="J137" s="130">
        <f>+GETPIVOTDATA(" Old Undesg. avg",'Averages Pivot Table'!$A$3,"State","LA","Category",1,"Category2","Four-Year")</f>
        <v>64156.826361904765</v>
      </c>
      <c r="K137" s="118">
        <f t="shared" si="19"/>
        <v>1</v>
      </c>
      <c r="L137" s="130">
        <f>+GETPIVOTDATA(" Old All Ranks avg",'Averages Pivot Table'!$A$3,"State","LA","Category",1,"Category2","Four-Year")</f>
        <v>81172.056250565423</v>
      </c>
      <c r="M137" s="118">
        <f t="shared" si="20"/>
        <v>9</v>
      </c>
      <c r="N137" s="130"/>
      <c r="O137" s="135"/>
    </row>
    <row r="138" spans="1:15" ht="12.95" customHeight="1" x14ac:dyDescent="0.25">
      <c r="A138" s="132" t="s">
        <v>211</v>
      </c>
      <c r="B138" s="130">
        <f>+GETPIVOTDATA(" Old Prof avg",'Averages Pivot Table'!$A$3,"State","MD","Category",1,"Category2","Four-Year")</f>
        <v>134424.0034949464</v>
      </c>
      <c r="C138" s="118">
        <f t="shared" si="21"/>
        <v>2</v>
      </c>
      <c r="D138" s="130">
        <f>+GETPIVOTDATA(" Old Asc. avg",'Averages Pivot Table'!$A$3,"State","MD","Category",1,"Category2","Four-Year")</f>
        <v>94546.65602079207</v>
      </c>
      <c r="E138" s="118">
        <f t="shared" si="21"/>
        <v>1</v>
      </c>
      <c r="F138" s="130">
        <f>+GETPIVOTDATA(" Old Ast. avg",'Averages Pivot Table'!$A$3,"State","MD","Category",1,"Category2","Four-Year")</f>
        <v>82449.777770000001</v>
      </c>
      <c r="G138" s="118">
        <f t="shared" si="17"/>
        <v>1</v>
      </c>
      <c r="H138" s="130">
        <f>+GETPIVOTDATA(" Old Inst. avg",'Averages Pivot Table'!$A$3,"State","MD","Category",1,"Category2","Four-Year")</f>
        <v>59796.114910100005</v>
      </c>
      <c r="I138" s="118">
        <f t="shared" si="18"/>
        <v>3</v>
      </c>
      <c r="J138" s="130">
        <f>+GETPIVOTDATA(" Old Undesg. avg",'Averages Pivot Table'!$A$3,"State","MD","Category",1,"Category2","Four-Year")</f>
        <v>59557.826306571427</v>
      </c>
      <c r="K138" s="118">
        <f t="shared" si="19"/>
        <v>3</v>
      </c>
      <c r="L138" s="130">
        <f>+GETPIVOTDATA(" Old All Ranks avg",'Averages Pivot Table'!$A$3,"State","MD","Category",1,"Category2","Four-Year")</f>
        <v>102890.11120579406</v>
      </c>
      <c r="M138" s="118">
        <f t="shared" si="20"/>
        <v>1</v>
      </c>
      <c r="N138" s="130"/>
      <c r="O138" s="135"/>
    </row>
    <row r="139" spans="1:15" ht="12.95" customHeight="1" x14ac:dyDescent="0.25">
      <c r="A139" s="132"/>
      <c r="B139" s="130"/>
      <c r="C139" s="118">
        <f t="shared" si="21"/>
        <v>0</v>
      </c>
      <c r="D139" s="130"/>
      <c r="E139" s="118">
        <f t="shared" si="21"/>
        <v>0</v>
      </c>
      <c r="F139" s="130"/>
      <c r="G139" s="118">
        <f t="shared" si="17"/>
        <v>0</v>
      </c>
      <c r="H139" s="130"/>
      <c r="I139" s="118">
        <f t="shared" si="18"/>
        <v>0</v>
      </c>
      <c r="J139" s="130"/>
      <c r="K139" s="118">
        <f t="shared" si="19"/>
        <v>0</v>
      </c>
      <c r="L139" s="130"/>
      <c r="M139" s="118">
        <f t="shared" si="20"/>
        <v>0</v>
      </c>
      <c r="N139" s="130"/>
      <c r="O139" s="135"/>
    </row>
    <row r="140" spans="1:15" ht="12.95" customHeight="1" x14ac:dyDescent="0.25">
      <c r="A140" s="132" t="s">
        <v>212</v>
      </c>
      <c r="B140" s="130">
        <f>+GETPIVOTDATA(" Old Prof avg",'Averages Pivot Table'!$A$3,"State","MS","Category",1,"Category2","Four-Year")</f>
        <v>88670.495142521002</v>
      </c>
      <c r="C140" s="118">
        <f t="shared" si="21"/>
        <v>16</v>
      </c>
      <c r="D140" s="130">
        <f>+GETPIVOTDATA(" Old Asc. avg",'Averages Pivot Table'!$A$3,"State","MS","Category",1,"Category2","Four-Year")</f>
        <v>67237.493130336836</v>
      </c>
      <c r="E140" s="118">
        <f t="shared" si="21"/>
        <v>16</v>
      </c>
      <c r="F140" s="130">
        <f>+GETPIVOTDATA(" Old Ast. avg",'Averages Pivot Table'!$A$3,"State","MS","Category",1,"Category2","Four-Year")</f>
        <v>59075.709494782786</v>
      </c>
      <c r="G140" s="118">
        <f t="shared" si="17"/>
        <v>16</v>
      </c>
      <c r="H140" s="130">
        <f>+GETPIVOTDATA(" Old Inst. avg",'Averages Pivot Table'!$A$3,"State","MS","Category",1,"Category2","Four-Year")</f>
        <v>42580.890910029419</v>
      </c>
      <c r="I140" s="118">
        <f t="shared" si="18"/>
        <v>13</v>
      </c>
      <c r="J140" s="130">
        <f>+GETPIVOTDATA(" Old Undesg. avg",'Averages Pivot Table'!$A$3,"State","MS","Category",1,"Category2","Four-Year")</f>
        <v>30827.677547169809</v>
      </c>
      <c r="K140" s="118">
        <f t="shared" si="19"/>
        <v>14</v>
      </c>
      <c r="L140" s="130">
        <f>+GETPIVOTDATA(" Old All Ranks avg",'Averages Pivot Table'!$A$3,"State","MS","Category",1,"Category2","Four-Year")</f>
        <v>64032.535242832259</v>
      </c>
      <c r="M140" s="118">
        <f t="shared" si="20"/>
        <v>16</v>
      </c>
      <c r="N140" s="130"/>
      <c r="O140" s="135"/>
    </row>
    <row r="141" spans="1:15" ht="12.95" customHeight="1" x14ac:dyDescent="0.25">
      <c r="A141" s="132" t="s">
        <v>213</v>
      </c>
      <c r="B141" s="130">
        <f>+GETPIVOTDATA(" Old Prof avg",'Averages Pivot Table'!$A$3,"State","NC","Category",1,"Category2","Four-Year")</f>
        <v>126697.94861064537</v>
      </c>
      <c r="C141" s="118">
        <f t="shared" si="21"/>
        <v>3</v>
      </c>
      <c r="D141" s="130">
        <f>+GETPIVOTDATA(" Old Asc. avg",'Averages Pivot Table'!$A$3,"State","NC","Category",1,"Category2","Four-Year")</f>
        <v>85475.314206842624</v>
      </c>
      <c r="E141" s="118">
        <f t="shared" si="21"/>
        <v>3</v>
      </c>
      <c r="F141" s="130">
        <f>+GETPIVOTDATA(" Old Ast. avg",'Averages Pivot Table'!$A$3,"State","NC","Category",1,"Category2","Four-Year")</f>
        <v>73652.471356014576</v>
      </c>
      <c r="G141" s="118">
        <f t="shared" si="17"/>
        <v>3</v>
      </c>
      <c r="H141" s="130">
        <f>+GETPIVOTDATA(" Old Inst. avg",'Averages Pivot Table'!$A$3,"State","NC","Category",1,"Category2","Four-Year")</f>
        <v>60950.479071052636</v>
      </c>
      <c r="I141" s="118">
        <f t="shared" si="18"/>
        <v>1</v>
      </c>
      <c r="J141" s="130">
        <f>+GETPIVOTDATA(" Old Undesg. avg",'Averages Pivot Table'!$A$3,"State","NC","Category",1,"Category2","Four-Year")</f>
        <v>59315.361521666666</v>
      </c>
      <c r="K141" s="118">
        <f t="shared" si="19"/>
        <v>4</v>
      </c>
      <c r="L141" s="130">
        <f>+GETPIVOTDATA(" Old All Ranks avg",'Averages Pivot Table'!$A$3,"State","NC","Category",1,"Category2","Four-Year")</f>
        <v>92131.626543728024</v>
      </c>
      <c r="M141" s="118">
        <f t="shared" si="20"/>
        <v>4</v>
      </c>
      <c r="N141" s="130"/>
      <c r="O141" s="135"/>
    </row>
    <row r="142" spans="1:15" ht="12.95" customHeight="1" x14ac:dyDescent="0.25">
      <c r="A142" s="132" t="s">
        <v>214</v>
      </c>
      <c r="B142" s="130">
        <f>+GETPIVOTDATA(" Old Prof avg",'Averages Pivot Table'!$A$3,"State","OK","Category",1,"Category2","Four-Year")</f>
        <v>108998.91990129126</v>
      </c>
      <c r="C142" s="118">
        <f t="shared" si="21"/>
        <v>10</v>
      </c>
      <c r="D142" s="130">
        <f>+GETPIVOTDATA(" Old Asc. avg",'Averages Pivot Table'!$A$3,"State","OK","Category",1,"Category2","Four-Year")</f>
        <v>71560.487778815077</v>
      </c>
      <c r="E142" s="118">
        <f t="shared" si="21"/>
        <v>15</v>
      </c>
      <c r="F142" s="130">
        <f>+GETPIVOTDATA(" Old Ast. avg",'Averages Pivot Table'!$A$3,"State","OK","Category",1,"Category2","Four-Year")</f>
        <v>63046.024141035858</v>
      </c>
      <c r="G142" s="118">
        <f t="shared" si="17"/>
        <v>14</v>
      </c>
      <c r="H142" s="130">
        <f>+GETPIVOTDATA(" Old Inst. avg",'Averages Pivot Table'!$A$3,"State","OK","Category",1,"Category2","Four-Year")</f>
        <v>41711.925397966101</v>
      </c>
      <c r="I142" s="118">
        <f t="shared" si="18"/>
        <v>14</v>
      </c>
      <c r="J142" s="130">
        <f>+GETPIVOTDATA(" Old Undesg. avg",'Averages Pivot Table'!$A$3,"State","OK","Category",1,"Category2","Four-Year")</f>
        <v>0</v>
      </c>
      <c r="K142" s="118">
        <f t="shared" si="19"/>
        <v>0</v>
      </c>
      <c r="L142" s="130">
        <f>+GETPIVOTDATA(" Old All Ranks avg",'Averages Pivot Table'!$A$3,"State","OK","Category",1,"Category2","Four-Year")</f>
        <v>77906.173074207705</v>
      </c>
      <c r="M142" s="118">
        <f t="shared" si="20"/>
        <v>13</v>
      </c>
      <c r="N142" s="130"/>
      <c r="O142" s="135"/>
    </row>
    <row r="143" spans="1:15" ht="12.95" customHeight="1" x14ac:dyDescent="0.25">
      <c r="A143" s="132" t="s">
        <v>215</v>
      </c>
      <c r="B143" s="130">
        <f>+GETPIVOTDATA(" Old Prof avg",'Averages Pivot Table'!$A$3,"State","SC","Category",1,"Category2","Four-Year")</f>
        <v>108871.98574144144</v>
      </c>
      <c r="C143" s="118">
        <f t="shared" si="21"/>
        <v>11</v>
      </c>
      <c r="D143" s="130">
        <f>+GETPIVOTDATA(" Old Asc. avg",'Averages Pivot Table'!$A$3,"State","SC","Category",1,"Category2","Four-Year")</f>
        <v>77874.406851839463</v>
      </c>
      <c r="E143" s="118">
        <f t="shared" si="21"/>
        <v>10</v>
      </c>
      <c r="F143" s="130">
        <f>+GETPIVOTDATA(" Old Ast. avg",'Averages Pivot Table'!$A$3,"State","SC","Category",1,"Category2","Four-Year")</f>
        <v>69698.866133444259</v>
      </c>
      <c r="G143" s="118">
        <f t="shared" si="17"/>
        <v>8</v>
      </c>
      <c r="H143" s="130">
        <f>+GETPIVOTDATA(" Old Inst. avg",'Averages Pivot Table'!$A$3,"State","SC","Category",1,"Category2","Four-Year")</f>
        <v>44076.495982068969</v>
      </c>
      <c r="I143" s="118">
        <f t="shared" si="18"/>
        <v>9</v>
      </c>
      <c r="J143" s="130">
        <f>+GETPIVOTDATA(" Old Undesg. avg",'Averages Pivot Table'!$A$3,"State","SC","Category",1,"Category2","Four-Year")</f>
        <v>46491.675765876775</v>
      </c>
      <c r="K143" s="118">
        <f t="shared" si="19"/>
        <v>11</v>
      </c>
      <c r="L143" s="130">
        <f>+GETPIVOTDATA(" Old All Ranks avg",'Averages Pivot Table'!$A$3,"State","SC","Category",1,"Category2","Four-Year")</f>
        <v>79769.244417559661</v>
      </c>
      <c r="M143" s="118">
        <f t="shared" si="20"/>
        <v>11</v>
      </c>
      <c r="N143" s="130"/>
      <c r="O143" s="135"/>
    </row>
    <row r="144" spans="1:15" ht="12.95" customHeight="1" x14ac:dyDescent="0.25">
      <c r="A144" s="132"/>
      <c r="B144" s="130"/>
      <c r="C144" s="118">
        <f t="shared" si="21"/>
        <v>0</v>
      </c>
      <c r="D144" s="130"/>
      <c r="E144" s="118">
        <f t="shared" si="21"/>
        <v>0</v>
      </c>
      <c r="F144" s="130"/>
      <c r="G144" s="118">
        <f t="shared" si="17"/>
        <v>0</v>
      </c>
      <c r="H144" s="130"/>
      <c r="I144" s="118">
        <f t="shared" si="18"/>
        <v>0</v>
      </c>
      <c r="J144" s="130"/>
      <c r="K144" s="118">
        <f t="shared" si="19"/>
        <v>0</v>
      </c>
      <c r="L144" s="130"/>
      <c r="M144" s="118">
        <f t="shared" si="20"/>
        <v>0</v>
      </c>
      <c r="N144" s="130"/>
      <c r="O144" s="135"/>
    </row>
    <row r="145" spans="1:19" ht="12.95" customHeight="1" x14ac:dyDescent="0.25">
      <c r="A145" s="132" t="s">
        <v>216</v>
      </c>
      <c r="B145" s="592">
        <f>+GETPIVOTDATA(" Old Prof avg",'Averages Pivot Table'!$A$3,"State","TN","Category",1,"Category2","Four-Year")</f>
        <v>106515.87517121212</v>
      </c>
      <c r="C145" s="118">
        <f t="shared" si="21"/>
        <v>12</v>
      </c>
      <c r="D145" s="592">
        <f>+GETPIVOTDATA(" Old Asc. avg",'Averages Pivot Table'!$A$3,"State","TN","Category",1,"Category2","Four-Year")</f>
        <v>76424.423953566002</v>
      </c>
      <c r="E145" s="118">
        <f t="shared" si="21"/>
        <v>11</v>
      </c>
      <c r="F145" s="592">
        <f>+GETPIVOTDATA(" Old Ast. avg",'Averages Pivot Table'!$A$3,"State","TN","Category",1,"Category2","Four-Year")</f>
        <v>64813.182217333328</v>
      </c>
      <c r="G145" s="118">
        <f t="shared" si="17"/>
        <v>12</v>
      </c>
      <c r="H145" s="592">
        <f>+GETPIVOTDATA(" Old Inst. avg",'Averages Pivot Table'!$A$3,"State","TN","Category",1,"Category2","Four-Year")</f>
        <v>44992.558275524476</v>
      </c>
      <c r="I145" s="118">
        <f t="shared" si="18"/>
        <v>8</v>
      </c>
      <c r="J145" s="592">
        <f>+GETPIVOTDATA(" Old Undesg. avg",'Averages Pivot Table'!$A$3,"State","TN","Category",1,"Category2","Four-Year")</f>
        <v>40374.741732851988</v>
      </c>
      <c r="K145" s="118">
        <f t="shared" si="19"/>
        <v>13</v>
      </c>
      <c r="L145" s="592">
        <f>+GETPIVOTDATA(" Old All Ranks avg",'Averages Pivot Table'!$A$3,"State","TN","Category",1,"Category2","Four-Year")</f>
        <v>77389.687229785515</v>
      </c>
      <c r="M145" s="118">
        <f t="shared" si="20"/>
        <v>14</v>
      </c>
      <c r="N145" s="130"/>
      <c r="O145" s="135"/>
    </row>
    <row r="146" spans="1:19" ht="12.95" customHeight="1" x14ac:dyDescent="0.25">
      <c r="A146" s="132" t="s">
        <v>217</v>
      </c>
      <c r="B146" s="592">
        <f>+GETPIVOTDATA(" Old Prof avg",'Averages Pivot Table'!$A$3,"State","TX","Category",1,"Category2","Four-Year")</f>
        <v>122335.85140233766</v>
      </c>
      <c r="C146" s="118">
        <f t="shared" si="21"/>
        <v>5</v>
      </c>
      <c r="D146" s="592">
        <f>+GETPIVOTDATA(" Old Asc. avg",'Averages Pivot Table'!$A$3,"State","TX","Category",1,"Category2","Four-Year")</f>
        <v>81473.092664596275</v>
      </c>
      <c r="E146" s="118">
        <f t="shared" si="21"/>
        <v>5</v>
      </c>
      <c r="F146" s="592">
        <f>+GETPIVOTDATA(" Old Ast. avg",'Averages Pivot Table'!$A$3,"State","TX","Category",1,"Category2","Four-Year")</f>
        <v>72524.52500867052</v>
      </c>
      <c r="G146" s="118">
        <f t="shared" si="17"/>
        <v>4</v>
      </c>
      <c r="H146" s="592">
        <f>+GETPIVOTDATA(" Old Inst. avg",'Averages Pivot Table'!$A$3,"State","TX","Category",1,"Category2","Four-Year")</f>
        <v>41452.940786885243</v>
      </c>
      <c r="I146" s="118">
        <f t="shared" si="18"/>
        <v>15</v>
      </c>
      <c r="J146" s="592">
        <f>+GETPIVOTDATA(" Old Undesg. avg",'Averages Pivot Table'!$A$3,"State","TX","Category",1,"Category2","Four-Year")</f>
        <v>53444.929116463412</v>
      </c>
      <c r="K146" s="118">
        <f t="shared" si="19"/>
        <v>6</v>
      </c>
      <c r="L146" s="592">
        <f>+GETPIVOTDATA(" Old All Ranks avg",'Averages Pivot Table'!$A$3,"State","TX","Category",1,"Category2","Four-Year")</f>
        <v>96648.160213169424</v>
      </c>
      <c r="M146" s="118">
        <f t="shared" si="20"/>
        <v>3</v>
      </c>
      <c r="N146" s="130"/>
      <c r="O146" s="135"/>
    </row>
    <row r="147" spans="1:19" ht="12.95" customHeight="1" x14ac:dyDescent="0.25">
      <c r="A147" s="132" t="s">
        <v>218</v>
      </c>
      <c r="B147" s="592">
        <f>+GETPIVOTDATA(" Old Prof avg",'Averages Pivot Table'!$A$3,"State","VA","Category",1,"Category2","Four-Year")</f>
        <v>124562.97476737683</v>
      </c>
      <c r="C147" s="118">
        <f t="shared" si="21"/>
        <v>4</v>
      </c>
      <c r="D147" s="592">
        <f>+GETPIVOTDATA(" Old Asc. avg",'Averages Pivot Table'!$A$3,"State","VA","Category",1,"Category2","Four-Year")</f>
        <v>83612.139426893351</v>
      </c>
      <c r="E147" s="118">
        <f t="shared" si="21"/>
        <v>4</v>
      </c>
      <c r="F147" s="592">
        <f>+GETPIVOTDATA(" Old Ast. avg",'Averages Pivot Table'!$A$3,"State","VA","Category",1,"Category2","Four-Year")</f>
        <v>70740.197485657773</v>
      </c>
      <c r="G147" s="118">
        <f t="shared" si="17"/>
        <v>6</v>
      </c>
      <c r="H147" s="592">
        <f>+GETPIVOTDATA(" Old Inst. avg",'Averages Pivot Table'!$A$3,"State","VA","Category",1,"Category2","Four-Year")</f>
        <v>47680.821794520547</v>
      </c>
      <c r="I147" s="118">
        <f t="shared" si="18"/>
        <v>7</v>
      </c>
      <c r="J147" s="592">
        <f>+GETPIVOTDATA(" Old Undesg. avg",'Averages Pivot Table'!$A$3,"State","VA","Category",1,"Category2","Four-Year")</f>
        <v>50390.221189380536</v>
      </c>
      <c r="K147" s="118">
        <f t="shared" si="19"/>
        <v>8</v>
      </c>
      <c r="L147" s="592">
        <f>+GETPIVOTDATA(" Old All Ranks avg",'Averages Pivot Table'!$A$3,"State","VA","Category",1,"Category2","Four-Year")</f>
        <v>90662.896214982669</v>
      </c>
      <c r="M147" s="118">
        <f t="shared" si="20"/>
        <v>5</v>
      </c>
      <c r="N147" s="130"/>
      <c r="O147" s="135"/>
    </row>
    <row r="148" spans="1:19" ht="12.95" customHeight="1" x14ac:dyDescent="0.25">
      <c r="A148" s="6" t="s">
        <v>219</v>
      </c>
      <c r="B148" s="593">
        <f>+GETPIVOTDATA(" Old Prof avg",'Averages Pivot Table'!$A$3,"State","WV","Category",1,"Category2","Four-Year")</f>
        <v>102848.99392081912</v>
      </c>
      <c r="C148" s="119">
        <f t="shared" si="21"/>
        <v>15</v>
      </c>
      <c r="D148" s="593">
        <f>+GETPIVOTDATA(" Old Asc. avg",'Averages Pivot Table'!$A$3,"State","WV","Category",1,"Category2","Four-Year")</f>
        <v>74946.176752226718</v>
      </c>
      <c r="E148" s="119">
        <f t="shared" si="21"/>
        <v>13</v>
      </c>
      <c r="F148" s="593">
        <f>+GETPIVOTDATA(" Old Ast. avg",'Averages Pivot Table'!$A$3,"State","WV","Category",1,"Category2","Four-Year")</f>
        <v>60493.710709090905</v>
      </c>
      <c r="G148" s="119">
        <f t="shared" si="17"/>
        <v>15</v>
      </c>
      <c r="H148" s="593">
        <f>+GETPIVOTDATA(" Old Inst. avg",'Averages Pivot Table'!$A$3,"State","WV","Category",1,"Category2","Four-Year")</f>
        <v>40395.589458823531</v>
      </c>
      <c r="I148" s="119">
        <f t="shared" si="18"/>
        <v>16</v>
      </c>
      <c r="J148" s="593">
        <f>+GETPIVOTDATA(" Old Undesg. avg",'Averages Pivot Table'!$A$3,"State","WV","Category",1,"Category2","Four-Year")</f>
        <v>48858.74407619048</v>
      </c>
      <c r="K148" s="119">
        <f t="shared" si="19"/>
        <v>9</v>
      </c>
      <c r="L148" s="593">
        <f>+GETPIVOTDATA(" Old All Ranks avg",'Averages Pivot Table'!$A$3,"State","WV","Category",1,"Category2","Four-Year")</f>
        <v>75753.584786514519</v>
      </c>
      <c r="M148" s="119">
        <f t="shared" si="20"/>
        <v>15</v>
      </c>
      <c r="N148" s="130"/>
      <c r="O148" s="130"/>
    </row>
    <row r="149" spans="1:19" ht="30" customHeight="1" x14ac:dyDescent="0.25">
      <c r="A149" s="672" t="s">
        <v>91</v>
      </c>
      <c r="B149" s="680"/>
      <c r="C149" s="680"/>
      <c r="D149" s="680"/>
      <c r="E149" s="680"/>
      <c r="F149" s="680"/>
      <c r="G149" s="680"/>
      <c r="H149" s="680"/>
      <c r="I149" s="680"/>
      <c r="J149" s="680"/>
      <c r="K149" s="680"/>
      <c r="L149" s="680"/>
      <c r="M149" s="680"/>
      <c r="N149" s="132"/>
      <c r="O149" s="132"/>
    </row>
    <row r="150" spans="1:19" x14ac:dyDescent="0.25">
      <c r="M150" s="157" t="s">
        <v>1083</v>
      </c>
      <c r="O150" s="131"/>
    </row>
    <row r="151" spans="1:19" ht="18" x14ac:dyDescent="0.25">
      <c r="A151" s="544" t="s">
        <v>264</v>
      </c>
      <c r="B151" s="544"/>
      <c r="C151" s="544"/>
      <c r="D151" s="544"/>
      <c r="E151" s="544"/>
      <c r="F151" s="544"/>
      <c r="G151" s="544"/>
      <c r="H151" s="544"/>
      <c r="I151" s="544"/>
      <c r="J151" s="544"/>
      <c r="K151" s="544"/>
      <c r="L151" s="544"/>
      <c r="M151" s="544"/>
      <c r="N151" s="100"/>
      <c r="O151" s="100"/>
    </row>
    <row r="152" spans="1:19" x14ac:dyDescent="0.25">
      <c r="A152" s="132"/>
      <c r="B152" s="93"/>
      <c r="C152" s="93"/>
      <c r="D152" s="93"/>
      <c r="E152" s="93"/>
      <c r="F152" s="93"/>
      <c r="G152" s="93"/>
      <c r="H152" s="93"/>
      <c r="I152" s="93"/>
      <c r="J152" s="93"/>
      <c r="K152" s="93"/>
      <c r="L152" s="93"/>
      <c r="M152" s="93"/>
      <c r="N152" s="93"/>
      <c r="O152" s="93"/>
    </row>
    <row r="153" spans="1:19" x14ac:dyDescent="0.25">
      <c r="A153" s="665" t="s">
        <v>220</v>
      </c>
      <c r="B153" s="665"/>
      <c r="C153" s="665"/>
      <c r="D153" s="665"/>
      <c r="E153" s="665"/>
      <c r="F153" s="665"/>
      <c r="G153" s="665"/>
      <c r="H153" s="665"/>
      <c r="I153" s="665"/>
      <c r="J153" s="665"/>
      <c r="K153" s="665"/>
      <c r="L153" s="665"/>
      <c r="M153" s="665"/>
      <c r="N153" s="128"/>
      <c r="O153" s="128"/>
    </row>
    <row r="154" spans="1:19" x14ac:dyDescent="0.25">
      <c r="A154" s="665" t="s">
        <v>316</v>
      </c>
      <c r="B154" s="665"/>
      <c r="C154" s="665"/>
      <c r="D154" s="665"/>
      <c r="E154" s="665"/>
      <c r="F154" s="665"/>
      <c r="G154" s="665"/>
      <c r="H154" s="665"/>
      <c r="I154" s="665"/>
      <c r="J154" s="665"/>
      <c r="K154" s="665"/>
      <c r="L154" s="665"/>
      <c r="M154" s="665"/>
      <c r="N154" s="128"/>
      <c r="O154" s="128"/>
    </row>
    <row r="155" spans="1:19" x14ac:dyDescent="0.25">
      <c r="A155" s="132"/>
      <c r="B155" s="132"/>
      <c r="C155" s="132"/>
      <c r="D155" s="132"/>
      <c r="E155" s="132"/>
      <c r="F155" s="132"/>
      <c r="G155" s="132"/>
      <c r="H155" s="132"/>
      <c r="I155" s="132"/>
      <c r="J155" s="132"/>
      <c r="K155" s="132"/>
      <c r="L155" s="132"/>
      <c r="M155" s="132"/>
      <c r="N155" s="132"/>
      <c r="O155" s="132"/>
    </row>
    <row r="156" spans="1:19" ht="30.75" customHeight="1" x14ac:dyDescent="0.25">
      <c r="A156" s="547"/>
      <c r="B156" s="589" t="s">
        <v>99</v>
      </c>
      <c r="C156" s="142"/>
      <c r="D156" s="590" t="s">
        <v>100</v>
      </c>
      <c r="E156" s="591"/>
      <c r="F156" s="590" t="s">
        <v>101</v>
      </c>
      <c r="G156" s="591"/>
      <c r="H156" s="589" t="s">
        <v>102</v>
      </c>
      <c r="I156" s="142"/>
      <c r="J156" s="590" t="s">
        <v>226</v>
      </c>
      <c r="K156" s="591"/>
      <c r="L156" s="142" t="s">
        <v>84</v>
      </c>
      <c r="M156" s="142"/>
      <c r="N156" s="129" t="s">
        <v>223</v>
      </c>
      <c r="O156" s="129"/>
    </row>
    <row r="157" spans="1:19" x14ac:dyDescent="0.25">
      <c r="A157" s="551"/>
      <c r="B157" s="115" t="s">
        <v>103</v>
      </c>
      <c r="C157" s="143" t="s">
        <v>193</v>
      </c>
      <c r="D157" s="115" t="s">
        <v>103</v>
      </c>
      <c r="E157" s="143" t="s">
        <v>193</v>
      </c>
      <c r="F157" s="115" t="s">
        <v>103</v>
      </c>
      <c r="G157" s="143" t="s">
        <v>193</v>
      </c>
      <c r="H157" s="115" t="s">
        <v>103</v>
      </c>
      <c r="I157" s="143" t="s">
        <v>193</v>
      </c>
      <c r="J157" s="115" t="s">
        <v>103</v>
      </c>
      <c r="K157" s="143" t="s">
        <v>193</v>
      </c>
      <c r="L157" s="115" t="s">
        <v>103</v>
      </c>
      <c r="M157" s="143" t="s">
        <v>193</v>
      </c>
    </row>
    <row r="158" spans="1:19" s="556" customFormat="1" ht="18" customHeight="1" x14ac:dyDescent="0.25">
      <c r="A158" s="554" t="s">
        <v>222</v>
      </c>
      <c r="B158" s="146">
        <f>+GETPIVOTDATA(" Old Prof avg",'Averages Pivot Table'!$A$3,"Category",2,"Category2","Four-Year")</f>
        <v>107865.76056013755</v>
      </c>
      <c r="C158" s="146"/>
      <c r="D158" s="146">
        <f>+GETPIVOTDATA(" Old Asc. avg",'Averages Pivot Table'!$A$3,"Category",2,"Category2","Four-Year")</f>
        <v>77058.296388039031</v>
      </c>
      <c r="E158" s="146"/>
      <c r="F158" s="146">
        <f>+GETPIVOTDATA(" Old Ast. avg",'Averages Pivot Table'!$A$3,"Category",2,"Category2","Four-Year")</f>
        <v>65078.026349603875</v>
      </c>
      <c r="G158" s="146"/>
      <c r="H158" s="146">
        <f>+GETPIVOTDATA(" Old Inst. avg",'Averages Pivot Table'!$A$3,"Category",2,"Category2","Four-Year")</f>
        <v>44431.651460163499</v>
      </c>
      <c r="I158" s="146"/>
      <c r="J158" s="146">
        <f>+GETPIVOTDATA(" Old Undesg. avg",'Averages Pivot Table'!$A$3,"Category",2,"Category2","Four-Year")</f>
        <v>47382.976259172523</v>
      </c>
      <c r="K158" s="146"/>
      <c r="L158" s="146">
        <f>+GETPIVOTDATA(" Old All Ranks avg",'Averages Pivot Table'!$A$3,"Category",2,"Category2","Four-Year")</f>
        <v>77611.723464561204</v>
      </c>
      <c r="M158" s="149"/>
      <c r="N158" s="146"/>
      <c r="O158" s="133"/>
      <c r="Q158" s="558"/>
      <c r="R158" s="558"/>
      <c r="S158" s="558"/>
    </row>
    <row r="159" spans="1:19" ht="12.95" customHeight="1" x14ac:dyDescent="0.25">
      <c r="A159" s="132"/>
      <c r="B159" s="123"/>
      <c r="C159" s="150"/>
      <c r="D159" s="123"/>
      <c r="E159" s="150"/>
      <c r="F159" s="123"/>
      <c r="G159" s="150"/>
      <c r="H159" s="123"/>
      <c r="I159" s="150"/>
      <c r="J159" s="123"/>
      <c r="K159" s="150"/>
      <c r="L159" s="123"/>
      <c r="M159" s="150"/>
      <c r="N159" s="123"/>
      <c r="O159" s="134"/>
    </row>
    <row r="160" spans="1:19" ht="12.95" customHeight="1" x14ac:dyDescent="0.25">
      <c r="A160" s="132" t="s">
        <v>205</v>
      </c>
      <c r="B160" s="126">
        <f>+GETPIVOTDATA(" Old Prof avg",'Averages Pivot Table'!$A$3,"State","AL","Category",2,"Category2","Four-Year")</f>
        <v>109897.95613421053</v>
      </c>
      <c r="C160" s="118">
        <f>IF(B160&gt;0,(RANK(B160,B$160:B$178)),0)</f>
        <v>5</v>
      </c>
      <c r="D160" s="126">
        <f>+GETPIVOTDATA(" Old Asc. avg",'Averages Pivot Table'!$A$3,"State","AL","Category",2,"Category2","Four-Year")</f>
        <v>78889.588777528086</v>
      </c>
      <c r="E160" s="118">
        <f>IF(D160&gt;0,(RANK(D160,D$160:D$178)),0)</f>
        <v>5</v>
      </c>
      <c r="F160" s="126">
        <f>+GETPIVOTDATA(" Old Ast. avg",'Averages Pivot Table'!$A$3,"State","AL","Category",2,"Category2","Four-Year")</f>
        <v>64633.125237647058</v>
      </c>
      <c r="G160" s="118">
        <f t="shared" ref="G160:G178" si="22">IF(F160&gt;0,(RANK(F160,F$160:F$178)),0)</f>
        <v>5</v>
      </c>
      <c r="H160" s="126">
        <f>+GETPIVOTDATA(" Old Inst. avg",'Averages Pivot Table'!$A$3,"State","AL","Category",2,"Category2","Four-Year")</f>
        <v>49537.538461538461</v>
      </c>
      <c r="I160" s="118">
        <f t="shared" ref="I160:I178" si="23">IF(H160&gt;0,(RANK(H160,H$160:H$178)),0)</f>
        <v>3</v>
      </c>
      <c r="J160" s="126">
        <f>+GETPIVOTDATA(" Old Undesg. avg",'Averages Pivot Table'!$A$3,"State","AL","Category",2,"Category2","Four-Year")</f>
        <v>46430.874714999998</v>
      </c>
      <c r="K160" s="118">
        <f t="shared" ref="K160:K178" si="24">IF(J160&gt;0,(RANK(J160,J$160:J$178)),0)</f>
        <v>7</v>
      </c>
      <c r="L160" s="126">
        <f>+GETPIVOTDATA(" Old All Ranks avg",'Averages Pivot Table'!$A$3,"State","AL","Category",2,"Category2","Four-Year")</f>
        <v>77123.619475907588</v>
      </c>
      <c r="M160" s="118">
        <f t="shared" ref="M160:M178" si="25">IF(L160&gt;0,(RANK(L160,L$160:L$178)),0)</f>
        <v>5</v>
      </c>
      <c r="N160" s="126"/>
      <c r="O160" s="129"/>
    </row>
    <row r="161" spans="1:15" ht="12.95" customHeight="1" x14ac:dyDescent="0.25">
      <c r="A161" s="132" t="s">
        <v>206</v>
      </c>
      <c r="B161" s="126">
        <f>+GETPIVOTDATA(" Old Prof avg",'Averages Pivot Table'!$A$3,"State","AR","Category",2,"Category2","Four-Year")</f>
        <v>0</v>
      </c>
      <c r="C161" s="118">
        <f t="shared" ref="C161:E178" si="26">IF(B161&gt;0,(RANK(B161,B$160:B$178)),0)</f>
        <v>0</v>
      </c>
      <c r="D161" s="126">
        <f>+GETPIVOTDATA(" Old Asc. avg",'Averages Pivot Table'!$A$3,"State","AR","Category",2,"Category2","Four-Year")</f>
        <v>0</v>
      </c>
      <c r="E161" s="118">
        <f t="shared" si="26"/>
        <v>0</v>
      </c>
      <c r="F161" s="126">
        <f>+GETPIVOTDATA(" Old Ast. avg",'Averages Pivot Table'!$A$3,"State","AR","Category",2,"Category2","Four-Year")</f>
        <v>0</v>
      </c>
      <c r="G161" s="118">
        <f t="shared" si="22"/>
        <v>0</v>
      </c>
      <c r="H161" s="126">
        <f>+GETPIVOTDATA(" Old Inst. avg",'Averages Pivot Table'!$A$3,"State","AR","Category",2,"Category2","Four-Year")</f>
        <v>0</v>
      </c>
      <c r="I161" s="118">
        <f t="shared" si="23"/>
        <v>0</v>
      </c>
      <c r="J161" s="126">
        <f>+GETPIVOTDATA(" Old Undesg. avg",'Averages Pivot Table'!$A$3,"State","AR","Category",2,"Category2","Four-Year")</f>
        <v>0</v>
      </c>
      <c r="K161" s="118">
        <f t="shared" si="24"/>
        <v>0</v>
      </c>
      <c r="L161" s="126">
        <f>+GETPIVOTDATA(" Old All Ranks avg",'Averages Pivot Table'!$A$3,"State","AR","Category",2,"Category2","Four-Year")</f>
        <v>0</v>
      </c>
      <c r="M161" s="118">
        <f t="shared" si="25"/>
        <v>0</v>
      </c>
      <c r="N161" s="126"/>
      <c r="O161" s="129"/>
    </row>
    <row r="162" spans="1:15" ht="12.95" customHeight="1" x14ac:dyDescent="0.25">
      <c r="A162" s="132" t="s">
        <v>221</v>
      </c>
      <c r="B162" s="126">
        <f>+GETPIVOTDATA(" Old Prof avg",'Averages Pivot Table'!$A$3,"State","DE","Category",2,"Category2","Four-Year")</f>
        <v>0</v>
      </c>
      <c r="C162" s="118">
        <f t="shared" si="26"/>
        <v>0</v>
      </c>
      <c r="D162" s="126">
        <f>+GETPIVOTDATA(" Old Asc. avg",'Averages Pivot Table'!$A$3,"State","DE","Category",2,"Category2","Four-Year")</f>
        <v>0</v>
      </c>
      <c r="E162" s="118">
        <f t="shared" si="26"/>
        <v>0</v>
      </c>
      <c r="F162" s="126">
        <f>+GETPIVOTDATA(" Old Ast. avg",'Averages Pivot Table'!$A$3,"State","DE","Category",2,"Category2","Four-Year")</f>
        <v>0</v>
      </c>
      <c r="G162" s="118">
        <f t="shared" si="22"/>
        <v>0</v>
      </c>
      <c r="H162" s="126">
        <f>+GETPIVOTDATA(" Old Inst. avg",'Averages Pivot Table'!$A$3,"State","DE","Category",2,"Category2","Four-Year")</f>
        <v>0</v>
      </c>
      <c r="I162" s="118">
        <f t="shared" si="23"/>
        <v>0</v>
      </c>
      <c r="J162" s="126">
        <f>+GETPIVOTDATA(" Old Undesg. avg",'Averages Pivot Table'!$A$3,"State","DE","Category",2,"Category2","Four-Year")</f>
        <v>0</v>
      </c>
      <c r="K162" s="118">
        <f t="shared" si="24"/>
        <v>0</v>
      </c>
      <c r="L162" s="126">
        <f>+GETPIVOTDATA(" Old All Ranks avg",'Averages Pivot Table'!$A$3,"State","DE","Category",2,"Category2","Four-Year")</f>
        <v>0</v>
      </c>
      <c r="M162" s="118">
        <f t="shared" si="25"/>
        <v>0</v>
      </c>
      <c r="N162" s="126"/>
      <c r="O162" s="129"/>
    </row>
    <row r="163" spans="1:15" ht="12.95" customHeight="1" x14ac:dyDescent="0.25">
      <c r="A163" s="132" t="s">
        <v>207</v>
      </c>
      <c r="B163" s="126">
        <f>+GETPIVOTDATA(" Old Prof avg",'Averages Pivot Table'!$A$3,"State","FL","Category",2,"Category2","Four-Year")</f>
        <v>96670.059248704652</v>
      </c>
      <c r="C163" s="118">
        <f t="shared" si="26"/>
        <v>7</v>
      </c>
      <c r="D163" s="126">
        <f>+GETPIVOTDATA(" Old Asc. avg",'Averages Pivot Table'!$A$3,"State","FL","Category",2,"Category2","Four-Year")</f>
        <v>72367.856142608696</v>
      </c>
      <c r="E163" s="118">
        <f t="shared" si="26"/>
        <v>7</v>
      </c>
      <c r="F163" s="126">
        <f>+GETPIVOTDATA(" Old Ast. avg",'Averages Pivot Table'!$A$3,"State","FL","Category",2,"Category2","Four-Year")</f>
        <v>64029.218874698796</v>
      </c>
      <c r="G163" s="118">
        <f t="shared" si="22"/>
        <v>6</v>
      </c>
      <c r="H163" s="126">
        <f>+GETPIVOTDATA(" Old Inst. avg",'Averages Pivot Table'!$A$3,"State","FL","Category",2,"Category2","Four-Year")</f>
        <v>47799.094380219787</v>
      </c>
      <c r="I163" s="118">
        <f t="shared" si="23"/>
        <v>5</v>
      </c>
      <c r="J163" s="126">
        <f>+GETPIVOTDATA(" Old Undesg. avg",'Averages Pivot Table'!$A$3,"State","FL","Category",2,"Category2","Four-Year")</f>
        <v>53629.285800000005</v>
      </c>
      <c r="K163" s="118">
        <f t="shared" si="24"/>
        <v>4</v>
      </c>
      <c r="L163" s="126">
        <f>+GETPIVOTDATA(" Old All Ranks avg",'Averages Pivot Table'!$A$3,"State","FL","Category",2,"Category2","Four-Year")</f>
        <v>70789.5371002584</v>
      </c>
      <c r="M163" s="118">
        <f t="shared" si="25"/>
        <v>7</v>
      </c>
      <c r="N163" s="126"/>
      <c r="O163" s="129"/>
    </row>
    <row r="164" spans="1:15" ht="12.95" customHeight="1" x14ac:dyDescent="0.25">
      <c r="A164" s="132"/>
      <c r="B164" s="126"/>
      <c r="C164" s="118">
        <f t="shared" si="26"/>
        <v>0</v>
      </c>
      <c r="D164" s="126"/>
      <c r="E164" s="118">
        <f t="shared" si="26"/>
        <v>0</v>
      </c>
      <c r="F164" s="126"/>
      <c r="G164" s="118">
        <f t="shared" si="22"/>
        <v>0</v>
      </c>
      <c r="H164" s="126"/>
      <c r="I164" s="118">
        <f t="shared" si="23"/>
        <v>0</v>
      </c>
      <c r="J164" s="126"/>
      <c r="K164" s="118">
        <f t="shared" si="24"/>
        <v>0</v>
      </c>
      <c r="L164" s="126"/>
      <c r="M164" s="118">
        <f t="shared" si="25"/>
        <v>0</v>
      </c>
      <c r="N164" s="126"/>
      <c r="O164" s="129"/>
    </row>
    <row r="165" spans="1:15" ht="12.95" customHeight="1" x14ac:dyDescent="0.25">
      <c r="A165" s="132" t="s">
        <v>4</v>
      </c>
      <c r="B165" s="126">
        <f>+GETPIVOTDATA(" Old Prof avg",'Averages Pivot Table'!$A$3,"State","GA","Category",2,"Category2","Four-Year")</f>
        <v>138407.57790754258</v>
      </c>
      <c r="C165" s="118">
        <f t="shared" si="26"/>
        <v>1</v>
      </c>
      <c r="D165" s="126">
        <f>+GETPIVOTDATA(" Old Asc. avg",'Averages Pivot Table'!$A$3,"State","GA","Category",2,"Category2","Four-Year")</f>
        <v>94234.647671369297</v>
      </c>
      <c r="E165" s="118">
        <f t="shared" si="26"/>
        <v>1</v>
      </c>
      <c r="F165" s="126">
        <f>+GETPIVOTDATA(" Old Ast. avg",'Averages Pivot Table'!$A$3,"State","GA","Category",2,"Category2","Four-Year")</f>
        <v>85603.49</v>
      </c>
      <c r="G165" s="118">
        <f t="shared" si="22"/>
        <v>1</v>
      </c>
      <c r="H165" s="126">
        <f>+GETPIVOTDATA(" Old Inst. avg",'Averages Pivot Table'!$A$3,"State","GA","Category",2,"Category2","Four-Year")</f>
        <v>49219.849999999991</v>
      </c>
      <c r="I165" s="118">
        <f t="shared" si="23"/>
        <v>4</v>
      </c>
      <c r="J165" s="126">
        <f>+GETPIVOTDATA(" Old Undesg. avg",'Averages Pivot Table'!$A$3,"State","GA","Category",2,"Category2","Four-Year")</f>
        <v>62667.887383783789</v>
      </c>
      <c r="K165" s="118">
        <f t="shared" si="24"/>
        <v>1</v>
      </c>
      <c r="L165" s="126">
        <f>+GETPIVOTDATA(" Old All Ranks avg",'Averages Pivot Table'!$A$3,"State","GA","Category",2,"Category2","Four-Year")</f>
        <v>107284.9052771282</v>
      </c>
      <c r="M165" s="118">
        <f t="shared" si="25"/>
        <v>1</v>
      </c>
      <c r="N165" s="126"/>
      <c r="O165" s="129"/>
    </row>
    <row r="166" spans="1:15" ht="12.95" customHeight="1" x14ac:dyDescent="0.25">
      <c r="A166" s="132" t="s">
        <v>209</v>
      </c>
      <c r="B166" s="126">
        <f>+GETPIVOTDATA(" Old Prof avg",'Averages Pivot Table'!$A$3,"State","KY","Category",2,"Category2","Four-Year")</f>
        <v>0</v>
      </c>
      <c r="C166" s="118">
        <f t="shared" si="26"/>
        <v>0</v>
      </c>
      <c r="D166" s="126">
        <f>+GETPIVOTDATA(" Old Asc. avg",'Averages Pivot Table'!$A$3,"State","KY","Category",2,"Category2","Four-Year")</f>
        <v>0</v>
      </c>
      <c r="E166" s="118">
        <f t="shared" si="26"/>
        <v>0</v>
      </c>
      <c r="F166" s="126">
        <f>+GETPIVOTDATA(" Old Ast. avg",'Averages Pivot Table'!$A$3,"State","KY","Category",2,"Category2","Four-Year")</f>
        <v>0</v>
      </c>
      <c r="G166" s="118">
        <f t="shared" si="22"/>
        <v>0</v>
      </c>
      <c r="H166" s="126">
        <f>+GETPIVOTDATA(" Old Inst. avg",'Averages Pivot Table'!$A$3,"State","KY","Category",2,"Category2","Four-Year")</f>
        <v>0</v>
      </c>
      <c r="I166" s="118">
        <f t="shared" si="23"/>
        <v>0</v>
      </c>
      <c r="J166" s="126">
        <f>+GETPIVOTDATA(" Old Undesg. avg",'Averages Pivot Table'!$A$3,"State","KY","Category",2,"Category2","Four-Year")</f>
        <v>0</v>
      </c>
      <c r="K166" s="118">
        <f t="shared" si="24"/>
        <v>0</v>
      </c>
      <c r="L166" s="126">
        <f>+GETPIVOTDATA(" Old All Ranks avg",'Averages Pivot Table'!$A$3,"State","KY","Category",2,"Category2","Four-Year")</f>
        <v>0</v>
      </c>
      <c r="M166" s="118">
        <f t="shared" si="25"/>
        <v>0</v>
      </c>
      <c r="N166" s="126"/>
      <c r="O166" s="129"/>
    </row>
    <row r="167" spans="1:15" ht="12.95" customHeight="1" x14ac:dyDescent="0.25">
      <c r="A167" s="132" t="s">
        <v>210</v>
      </c>
      <c r="B167" s="126">
        <f>+GETPIVOTDATA(" Old Prof avg",'Averages Pivot Table'!$A$3,"State","LA","Category",2,"Category2","Four-Year")</f>
        <v>92609.639215730334</v>
      </c>
      <c r="C167" s="118">
        <f t="shared" si="26"/>
        <v>9</v>
      </c>
      <c r="D167" s="126">
        <f>+GETPIVOTDATA(" Old Asc. avg",'Averages Pivot Table'!$A$3,"State","LA","Category",2,"Category2","Four-Year")</f>
        <v>70354.94346783626</v>
      </c>
      <c r="E167" s="118">
        <f t="shared" si="26"/>
        <v>9</v>
      </c>
      <c r="F167" s="126">
        <f>+GETPIVOTDATA(" Old Ast. avg",'Averages Pivot Table'!$A$3,"State","LA","Category",2,"Category2","Four-Year")</f>
        <v>60126.92549972752</v>
      </c>
      <c r="G167" s="118">
        <f t="shared" si="22"/>
        <v>9</v>
      </c>
      <c r="H167" s="126">
        <f>+GETPIVOTDATA(" Old Inst. avg",'Averages Pivot Table'!$A$3,"State","LA","Category",2,"Category2","Four-Year")</f>
        <v>42829.302763333333</v>
      </c>
      <c r="I167" s="118">
        <f t="shared" si="23"/>
        <v>7</v>
      </c>
      <c r="J167" s="126">
        <f>+GETPIVOTDATA(" Old Undesg. avg",'Averages Pivot Table'!$A$3,"State","LA","Category",2,"Category2","Four-Year")</f>
        <v>62343</v>
      </c>
      <c r="K167" s="118">
        <f t="shared" si="24"/>
        <v>2</v>
      </c>
      <c r="L167" s="126">
        <f>+GETPIVOTDATA(" Old All Ranks avg",'Averages Pivot Table'!$A$3,"State","LA","Category",2,"Category2","Four-Year")</f>
        <v>67301.43570905141</v>
      </c>
      <c r="M167" s="118">
        <f t="shared" si="25"/>
        <v>8</v>
      </c>
      <c r="N167" s="126"/>
      <c r="O167" s="129"/>
    </row>
    <row r="168" spans="1:15" ht="12.95" customHeight="1" x14ac:dyDescent="0.25">
      <c r="A168" s="132" t="s">
        <v>211</v>
      </c>
      <c r="B168" s="126">
        <f>+GETPIVOTDATA(" Old Prof avg",'Averages Pivot Table'!$A$3,"State","MD","Category",2,"Category2","Four-Year")</f>
        <v>110076.71695463918</v>
      </c>
      <c r="C168" s="118">
        <f t="shared" si="26"/>
        <v>4</v>
      </c>
      <c r="D168" s="126">
        <f>+GETPIVOTDATA(" Old Asc. avg",'Averages Pivot Table'!$A$3,"State","MD","Category",2,"Category2","Four-Year")</f>
        <v>78949.448602197808</v>
      </c>
      <c r="E168" s="118">
        <f t="shared" si="26"/>
        <v>4</v>
      </c>
      <c r="F168" s="126">
        <f>+GETPIVOTDATA(" Old Ast. avg",'Averages Pivot Table'!$A$3,"State","MD","Category",2,"Category2","Four-Year")</f>
        <v>66949.671695566503</v>
      </c>
      <c r="G168" s="118">
        <f t="shared" si="22"/>
        <v>3</v>
      </c>
      <c r="H168" s="126">
        <f>+GETPIVOTDATA(" Old Inst. avg",'Averages Pivot Table'!$A$3,"State","MD","Category",2,"Category2","Four-Year")</f>
        <v>50110.490388888895</v>
      </c>
      <c r="I168" s="118">
        <f t="shared" si="23"/>
        <v>2</v>
      </c>
      <c r="J168" s="126">
        <f>+GETPIVOTDATA(" Old Undesg. avg",'Averages Pivot Table'!$A$3,"State","MD","Category",2,"Category2","Four-Year")</f>
        <v>47159.22155564202</v>
      </c>
      <c r="K168" s="118">
        <f t="shared" si="24"/>
        <v>6</v>
      </c>
      <c r="L168" s="126">
        <f>+GETPIVOTDATA(" Old All Ranks avg",'Averages Pivot Table'!$A$3,"State","MD","Category",2,"Category2","Four-Year")</f>
        <v>73566.957331851852</v>
      </c>
      <c r="M168" s="118">
        <f t="shared" si="25"/>
        <v>6</v>
      </c>
      <c r="N168" s="126"/>
      <c r="O168" s="129"/>
    </row>
    <row r="169" spans="1:15" ht="12.95" customHeight="1" x14ac:dyDescent="0.25">
      <c r="A169" s="132"/>
      <c r="B169" s="126"/>
      <c r="C169" s="118">
        <f t="shared" si="26"/>
        <v>0</v>
      </c>
      <c r="D169" s="126"/>
      <c r="E169" s="118">
        <f t="shared" si="26"/>
        <v>0</v>
      </c>
      <c r="F169" s="126"/>
      <c r="G169" s="118">
        <f t="shared" si="22"/>
        <v>0</v>
      </c>
      <c r="H169" s="126"/>
      <c r="I169" s="118">
        <f t="shared" si="23"/>
        <v>0</v>
      </c>
      <c r="J169" s="126"/>
      <c r="K169" s="118">
        <f t="shared" si="24"/>
        <v>0</v>
      </c>
      <c r="L169" s="126"/>
      <c r="M169" s="118">
        <f t="shared" si="25"/>
        <v>0</v>
      </c>
      <c r="N169" s="126"/>
      <c r="O169" s="129"/>
    </row>
    <row r="170" spans="1:15" ht="12.95" customHeight="1" x14ac:dyDescent="0.25">
      <c r="A170" s="132" t="s">
        <v>212</v>
      </c>
      <c r="B170" s="126">
        <f>+GETPIVOTDATA(" Old Prof avg",'Averages Pivot Table'!$A$3,"State","MS","Category",2,"Category2","Four-Year")</f>
        <v>94795.253882975216</v>
      </c>
      <c r="C170" s="118">
        <f t="shared" si="26"/>
        <v>8</v>
      </c>
      <c r="D170" s="126">
        <f>+GETPIVOTDATA(" Old Asc. avg",'Averages Pivot Table'!$A$3,"State","MS","Category",2,"Category2","Four-Year")</f>
        <v>72128.171328155833</v>
      </c>
      <c r="E170" s="118">
        <f t="shared" si="26"/>
        <v>8</v>
      </c>
      <c r="F170" s="126">
        <f>+GETPIVOTDATA(" Old Ast. avg",'Averages Pivot Table'!$A$3,"State","MS","Category",2,"Category2","Four-Year")</f>
        <v>60303.25787369733</v>
      </c>
      <c r="G170" s="118">
        <f t="shared" si="22"/>
        <v>8</v>
      </c>
      <c r="H170" s="126">
        <f>+GETPIVOTDATA(" Old Inst. avg",'Averages Pivot Table'!$A$3,"State","MS","Category",2,"Category2","Four-Year")</f>
        <v>38917.857848182743</v>
      </c>
      <c r="I170" s="118">
        <f t="shared" si="23"/>
        <v>9</v>
      </c>
      <c r="J170" s="126">
        <f>+GETPIVOTDATA(" Old Undesg. avg",'Averages Pivot Table'!$A$3,"State","MS","Category",2,"Category2","Four-Year")</f>
        <v>42167.246821052628</v>
      </c>
      <c r="K170" s="118">
        <f t="shared" si="24"/>
        <v>9</v>
      </c>
      <c r="L170" s="126">
        <f>+GETPIVOTDATA(" Old All Ranks avg",'Averages Pivot Table'!$A$3,"State","MS","Category",2,"Category2","Four-Year")</f>
        <v>67040.908248304622</v>
      </c>
      <c r="M170" s="118">
        <f t="shared" si="25"/>
        <v>9</v>
      </c>
      <c r="N170" s="126"/>
      <c r="O170" s="129"/>
    </row>
    <row r="171" spans="1:15" ht="12.95" customHeight="1" x14ac:dyDescent="0.25">
      <c r="A171" s="132" t="s">
        <v>213</v>
      </c>
      <c r="B171" s="126">
        <f>+GETPIVOTDATA(" Old Prof avg",'Averages Pivot Table'!$A$3,"State","NC","Category",2,"Category2","Four-Year")</f>
        <v>112680.47660392158</v>
      </c>
      <c r="C171" s="118">
        <f t="shared" si="26"/>
        <v>2</v>
      </c>
      <c r="D171" s="126">
        <f>+GETPIVOTDATA(" Old Asc. avg",'Averages Pivot Table'!$A$3,"State","NC","Category",2,"Category2","Four-Year")</f>
        <v>81281.030486779666</v>
      </c>
      <c r="E171" s="118">
        <f t="shared" si="26"/>
        <v>2</v>
      </c>
      <c r="F171" s="126">
        <f>+GETPIVOTDATA(" Old Ast. avg",'Averages Pivot Table'!$A$3,"State","NC","Category",2,"Category2","Four-Year")</f>
        <v>69048</v>
      </c>
      <c r="G171" s="118">
        <f t="shared" si="22"/>
        <v>2</v>
      </c>
      <c r="H171" s="126">
        <f>+GETPIVOTDATA(" Old Inst. avg",'Averages Pivot Table'!$A$3,"State","NC","Category",2,"Category2","Four-Year")</f>
        <v>0</v>
      </c>
      <c r="I171" s="118">
        <f t="shared" si="23"/>
        <v>0</v>
      </c>
      <c r="J171" s="126">
        <f>+GETPIVOTDATA(" Old Undesg. avg",'Averages Pivot Table'!$A$3,"State","NC","Category",2,"Category2","Four-Year")</f>
        <v>50439.359844954131</v>
      </c>
      <c r="K171" s="118">
        <f t="shared" si="24"/>
        <v>5</v>
      </c>
      <c r="L171" s="126">
        <f>+GETPIVOTDATA(" Old All Ranks avg",'Averages Pivot Table'!$A$3,"State","NC","Category",2,"Category2","Four-Year")</f>
        <v>77955.361082191783</v>
      </c>
      <c r="M171" s="118">
        <f t="shared" si="25"/>
        <v>3</v>
      </c>
      <c r="N171" s="126"/>
      <c r="O171" s="129"/>
    </row>
    <row r="172" spans="1:15" ht="12.95" customHeight="1" x14ac:dyDescent="0.25">
      <c r="A172" s="132" t="s">
        <v>214</v>
      </c>
      <c r="B172" s="126">
        <f>+GETPIVOTDATA(" Old Prof avg",'Averages Pivot Table'!$A$3,"State","OK","Category",2,"Category2","Four-Year")</f>
        <v>0</v>
      </c>
      <c r="C172" s="118">
        <f t="shared" si="26"/>
        <v>0</v>
      </c>
      <c r="D172" s="126">
        <f>+GETPIVOTDATA(" Old Asc. avg",'Averages Pivot Table'!$A$3,"State","OK","Category",2,"Category2","Four-Year")</f>
        <v>0</v>
      </c>
      <c r="E172" s="118">
        <f t="shared" si="26"/>
        <v>0</v>
      </c>
      <c r="F172" s="126">
        <f>+GETPIVOTDATA(" Old Ast. avg",'Averages Pivot Table'!$A$3,"State","OK","Category",2,"Category2","Four-Year")</f>
        <v>0</v>
      </c>
      <c r="G172" s="118">
        <f t="shared" si="22"/>
        <v>0</v>
      </c>
      <c r="H172" s="126">
        <f>+GETPIVOTDATA(" Old Inst. avg",'Averages Pivot Table'!$A$3,"State","OK","Category",2,"Category2","Four-Year")</f>
        <v>0</v>
      </c>
      <c r="I172" s="118">
        <f t="shared" si="23"/>
        <v>0</v>
      </c>
      <c r="J172" s="126">
        <f>+GETPIVOTDATA(" Old Undesg. avg",'Averages Pivot Table'!$A$3,"State","OK","Category",2,"Category2","Four-Year")</f>
        <v>0</v>
      </c>
      <c r="K172" s="118">
        <f t="shared" si="24"/>
        <v>0</v>
      </c>
      <c r="L172" s="126">
        <f>+GETPIVOTDATA(" Old All Ranks avg",'Averages Pivot Table'!$A$3,"State","OK","Category",2,"Category2","Four-Year")</f>
        <v>0</v>
      </c>
      <c r="M172" s="118">
        <f t="shared" si="25"/>
        <v>0</v>
      </c>
      <c r="N172" s="126"/>
      <c r="O172" s="129"/>
    </row>
    <row r="173" spans="1:15" ht="12.95" customHeight="1" x14ac:dyDescent="0.25">
      <c r="A173" s="132" t="s">
        <v>215</v>
      </c>
      <c r="B173" s="126">
        <f>+GETPIVOTDATA(" Old Prof avg",'Averages Pivot Table'!$A$3,"State","SC","Category",2,"Category2","Four-Year")</f>
        <v>0</v>
      </c>
      <c r="C173" s="118">
        <f t="shared" si="26"/>
        <v>0</v>
      </c>
      <c r="D173" s="126">
        <f>+GETPIVOTDATA(" Old Asc. avg",'Averages Pivot Table'!$A$3,"State","SC","Category",2,"Category2","Four-Year")</f>
        <v>0</v>
      </c>
      <c r="E173" s="118">
        <f t="shared" si="26"/>
        <v>0</v>
      </c>
      <c r="F173" s="126">
        <f>+GETPIVOTDATA(" Old Ast. avg",'Averages Pivot Table'!$A$3,"State","SC","Category",2,"Category2","Four-Year")</f>
        <v>0</v>
      </c>
      <c r="G173" s="118">
        <f t="shared" si="22"/>
        <v>0</v>
      </c>
      <c r="H173" s="126">
        <f>+GETPIVOTDATA(" Old Inst. avg",'Averages Pivot Table'!$A$3,"State","SC","Category",2,"Category2","Four-Year")</f>
        <v>0</v>
      </c>
      <c r="I173" s="118">
        <f t="shared" si="23"/>
        <v>0</v>
      </c>
      <c r="J173" s="126">
        <f>+GETPIVOTDATA(" Old Undesg. avg",'Averages Pivot Table'!$A$3,"State","SC","Category",2,"Category2","Four-Year")</f>
        <v>0</v>
      </c>
      <c r="K173" s="118">
        <f t="shared" si="24"/>
        <v>0</v>
      </c>
      <c r="L173" s="126">
        <f>+GETPIVOTDATA(" Old All Ranks avg",'Averages Pivot Table'!$A$3,"State","SC","Category",2,"Category2","Four-Year")</f>
        <v>0</v>
      </c>
      <c r="M173" s="118">
        <f t="shared" si="25"/>
        <v>0</v>
      </c>
      <c r="N173" s="126"/>
      <c r="O173" s="129"/>
    </row>
    <row r="174" spans="1:15" ht="12.95" customHeight="1" x14ac:dyDescent="0.25">
      <c r="A174" s="132"/>
      <c r="B174" s="126"/>
      <c r="C174" s="118">
        <f t="shared" si="26"/>
        <v>0</v>
      </c>
      <c r="D174" s="126"/>
      <c r="E174" s="118">
        <f t="shared" si="26"/>
        <v>0</v>
      </c>
      <c r="F174" s="126"/>
      <c r="G174" s="118">
        <f t="shared" si="22"/>
        <v>0</v>
      </c>
      <c r="H174" s="126"/>
      <c r="I174" s="118">
        <f t="shared" si="23"/>
        <v>0</v>
      </c>
      <c r="J174" s="126"/>
      <c r="K174" s="118">
        <f t="shared" si="24"/>
        <v>0</v>
      </c>
      <c r="L174" s="126"/>
      <c r="M174" s="118">
        <f t="shared" si="25"/>
        <v>0</v>
      </c>
      <c r="N174" s="126"/>
      <c r="O174" s="129"/>
    </row>
    <row r="175" spans="1:15" ht="12.95" customHeight="1" x14ac:dyDescent="0.25">
      <c r="A175" s="132" t="s">
        <v>216</v>
      </c>
      <c r="B175" s="563">
        <f>+GETPIVOTDATA(" Old Prof avg",'Averages Pivot Table'!$A$3,"State","TN","Category",2,"Category2","Four-Year")</f>
        <v>74175.64027130435</v>
      </c>
      <c r="C175" s="118">
        <f t="shared" si="26"/>
        <v>10</v>
      </c>
      <c r="D175" s="563">
        <f>+GETPIVOTDATA(" Old Asc. avg",'Averages Pivot Table'!$A$3,"State","TN","Category",2,"Category2","Four-Year")</f>
        <v>57213.259771199999</v>
      </c>
      <c r="E175" s="118">
        <f t="shared" si="26"/>
        <v>10</v>
      </c>
      <c r="F175" s="563">
        <f>+GETPIVOTDATA(" Old Ast. avg",'Averages Pivot Table'!$A$3,"State","TN","Category",2,"Category2","Four-Year")</f>
        <v>49587.758484285718</v>
      </c>
      <c r="G175" s="118">
        <f t="shared" si="22"/>
        <v>10</v>
      </c>
      <c r="H175" s="563">
        <f>+GETPIVOTDATA(" Old Inst. avg",'Averages Pivot Table'!$A$3,"State","TN","Category",2,"Category2","Four-Year")</f>
        <v>40930.837948387096</v>
      </c>
      <c r="I175" s="118">
        <f t="shared" si="23"/>
        <v>8</v>
      </c>
      <c r="J175" s="563">
        <f>+GETPIVOTDATA(" Old Undesg. avg",'Averages Pivot Table'!$A$3,"State","TN","Category",2,"Category2","Four-Year")</f>
        <v>37182</v>
      </c>
      <c r="K175" s="118">
        <f t="shared" si="24"/>
        <v>10</v>
      </c>
      <c r="L175" s="563">
        <f>+GETPIVOTDATA(" Old All Ranks avg",'Averages Pivot Table'!$A$3,"State","TN","Category",2,"Category2","Four-Year")</f>
        <v>57832.35075971223</v>
      </c>
      <c r="M175" s="118">
        <f t="shared" si="25"/>
        <v>10</v>
      </c>
      <c r="N175" s="126"/>
      <c r="O175" s="129"/>
    </row>
    <row r="176" spans="1:15" ht="12.95" customHeight="1" x14ac:dyDescent="0.25">
      <c r="A176" s="132" t="s">
        <v>217</v>
      </c>
      <c r="B176" s="563">
        <f>+GETPIVOTDATA(" Old Prof avg",'Averages Pivot Table'!$A$3,"State","TX","Category",2,"Category2","Four-Year")</f>
        <v>105760.78974358975</v>
      </c>
      <c r="C176" s="118">
        <f t="shared" si="26"/>
        <v>6</v>
      </c>
      <c r="D176" s="563">
        <f>+GETPIVOTDATA(" Old Asc. avg",'Averages Pivot Table'!$A$3,"State","TX","Category",2,"Category2","Four-Year")</f>
        <v>77300.310272536692</v>
      </c>
      <c r="E176" s="118">
        <f t="shared" si="26"/>
        <v>6</v>
      </c>
      <c r="F176" s="563">
        <f>+GETPIVOTDATA(" Old Ast. avg",'Averages Pivot Table'!$A$3,"State","TX","Category",2,"Category2","Four-Year")</f>
        <v>66734.97630331754</v>
      </c>
      <c r="G176" s="118">
        <f t="shared" si="22"/>
        <v>4</v>
      </c>
      <c r="H176" s="563">
        <f>+GETPIVOTDATA(" Old Inst. avg",'Averages Pivot Table'!$A$3,"State","TX","Category",2,"Category2","Four-Year")</f>
        <v>52735.63636363636</v>
      </c>
      <c r="I176" s="118">
        <f t="shared" si="23"/>
        <v>1</v>
      </c>
      <c r="J176" s="563">
        <f>+GETPIVOTDATA(" Old Undesg. avg",'Averages Pivot Table'!$A$3,"State","TX","Category",2,"Category2","Four-Year")</f>
        <v>44362.541471048513</v>
      </c>
      <c r="K176" s="118">
        <f t="shared" si="24"/>
        <v>8</v>
      </c>
      <c r="L176" s="563">
        <f>+GETPIVOTDATA(" Old All Ranks avg",'Averages Pivot Table'!$A$3,"State","TX","Category",2,"Category2","Four-Year")</f>
        <v>85052.27643115008</v>
      </c>
      <c r="M176" s="118">
        <f t="shared" si="25"/>
        <v>2</v>
      </c>
      <c r="N176" s="126"/>
      <c r="O176" s="129"/>
    </row>
    <row r="177" spans="1:19" ht="12.95" customHeight="1" x14ac:dyDescent="0.25">
      <c r="A177" s="132" t="s">
        <v>218</v>
      </c>
      <c r="B177" s="563">
        <f>+GETPIVOTDATA(" Old Prof avg",'Averages Pivot Table'!$A$3,"State","VA","Category",2,"Category2","Four-Year")</f>
        <v>110920.92847844037</v>
      </c>
      <c r="C177" s="118">
        <f t="shared" si="26"/>
        <v>3</v>
      </c>
      <c r="D177" s="563">
        <f>+GETPIVOTDATA(" Old Asc. avg",'Averages Pivot Table'!$A$3,"State","VA","Category",2,"Category2","Four-Year")</f>
        <v>79487.967066122452</v>
      </c>
      <c r="E177" s="118">
        <f t="shared" si="26"/>
        <v>3</v>
      </c>
      <c r="F177" s="563">
        <f>+GETPIVOTDATA(" Old Ast. avg",'Averages Pivot Table'!$A$3,"State","VA","Category",2,"Category2","Four-Year")</f>
        <v>63569.842314677102</v>
      </c>
      <c r="G177" s="118">
        <f t="shared" si="22"/>
        <v>7</v>
      </c>
      <c r="H177" s="563">
        <f>+GETPIVOTDATA(" Old Inst. avg",'Averages Pivot Table'!$A$3,"State","VA","Category",2,"Category2","Four-Year")</f>
        <v>46906.614709489048</v>
      </c>
      <c r="I177" s="118">
        <f t="shared" si="23"/>
        <v>6</v>
      </c>
      <c r="J177" s="563">
        <f>+GETPIVOTDATA(" Old Undesg. avg",'Averages Pivot Table'!$A$3,"State","VA","Category",2,"Category2","Four-Year")</f>
        <v>61880.444444444445</v>
      </c>
      <c r="K177" s="118">
        <f t="shared" si="24"/>
        <v>3</v>
      </c>
      <c r="L177" s="563">
        <f>+GETPIVOTDATA(" Old All Ranks avg",'Averages Pivot Table'!$A$3,"State","VA","Category",2,"Category2","Four-Year")</f>
        <v>77444.275890813951</v>
      </c>
      <c r="M177" s="118">
        <f t="shared" si="25"/>
        <v>4</v>
      </c>
      <c r="N177" s="126"/>
      <c r="O177" s="129"/>
    </row>
    <row r="178" spans="1:19" ht="12.95" customHeight="1" x14ac:dyDescent="0.25">
      <c r="A178" s="6" t="s">
        <v>219</v>
      </c>
      <c r="B178" s="566">
        <f>+GETPIVOTDATA(" Old Prof avg",'Averages Pivot Table'!$A$3,"State","WV","Category",2,"Category2","Four-Year")</f>
        <v>0</v>
      </c>
      <c r="C178" s="119">
        <f t="shared" si="26"/>
        <v>0</v>
      </c>
      <c r="D178" s="566">
        <f>+GETPIVOTDATA(" Old Asc. avg",'Averages Pivot Table'!$A$3,"State","WV","Category",2,"Category2","Four-Year")</f>
        <v>0</v>
      </c>
      <c r="E178" s="119">
        <f t="shared" si="26"/>
        <v>0</v>
      </c>
      <c r="F178" s="566">
        <f>+GETPIVOTDATA(" Old Ast. avg",'Averages Pivot Table'!$A$3,"State","WV","Category",2,"Category2","Four-Year")</f>
        <v>0</v>
      </c>
      <c r="G178" s="119">
        <f t="shared" si="22"/>
        <v>0</v>
      </c>
      <c r="H178" s="566">
        <f>+GETPIVOTDATA(" Old Inst. avg",'Averages Pivot Table'!$A$3,"State","WV","Category",2,"Category2","Four-Year")</f>
        <v>0</v>
      </c>
      <c r="I178" s="119">
        <f t="shared" si="23"/>
        <v>0</v>
      </c>
      <c r="J178" s="566">
        <f>+GETPIVOTDATA(" Old Undesg. avg",'Averages Pivot Table'!$A$3,"State","WV","Category",2,"Category2","Four-Year")</f>
        <v>0</v>
      </c>
      <c r="K178" s="119">
        <f t="shared" si="24"/>
        <v>0</v>
      </c>
      <c r="L178" s="566">
        <f>+GETPIVOTDATA(" Old All Ranks avg",'Averages Pivot Table'!$A$3,"State","WV","Category",2,"Category2","Four-Year")</f>
        <v>0</v>
      </c>
      <c r="M178" s="119">
        <f t="shared" si="25"/>
        <v>0</v>
      </c>
      <c r="N178" s="126"/>
      <c r="O178" s="126"/>
    </row>
    <row r="179" spans="1:19" ht="30" customHeight="1" x14ac:dyDescent="0.25">
      <c r="A179" s="672" t="s">
        <v>91</v>
      </c>
      <c r="B179" s="680"/>
      <c r="C179" s="680"/>
      <c r="D179" s="680"/>
      <c r="E179" s="680"/>
      <c r="F179" s="680"/>
      <c r="G179" s="680"/>
      <c r="H179" s="680"/>
      <c r="I179" s="680"/>
      <c r="J179" s="680"/>
      <c r="K179" s="680"/>
      <c r="L179" s="680"/>
      <c r="M179" s="680"/>
      <c r="N179" s="132"/>
      <c r="O179" s="132"/>
    </row>
    <row r="180" spans="1:19" x14ac:dyDescent="0.25">
      <c r="M180" s="157" t="s">
        <v>1083</v>
      </c>
      <c r="O180" s="131"/>
    </row>
    <row r="181" spans="1:19" ht="18" x14ac:dyDescent="0.25">
      <c r="A181" s="544" t="s">
        <v>265</v>
      </c>
      <c r="B181" s="544"/>
      <c r="C181" s="544"/>
      <c r="D181" s="544"/>
      <c r="E181" s="544"/>
      <c r="F181" s="544"/>
      <c r="G181" s="544"/>
      <c r="H181" s="544"/>
      <c r="I181" s="544"/>
      <c r="J181" s="544"/>
      <c r="K181" s="544"/>
      <c r="L181" s="544"/>
      <c r="M181" s="544"/>
      <c r="N181" s="100"/>
      <c r="O181" s="100"/>
    </row>
    <row r="182" spans="1:19" x14ac:dyDescent="0.25">
      <c r="A182" s="132"/>
      <c r="B182" s="93"/>
      <c r="C182" s="93"/>
      <c r="D182" s="93"/>
      <c r="E182" s="93"/>
      <c r="F182" s="93"/>
      <c r="G182" s="93"/>
      <c r="H182" s="93"/>
      <c r="I182" s="93"/>
      <c r="J182" s="93"/>
      <c r="K182" s="93"/>
      <c r="L182" s="93"/>
      <c r="M182" s="93"/>
      <c r="N182" s="93"/>
      <c r="O182" s="93"/>
    </row>
    <row r="183" spans="1:19" x14ac:dyDescent="0.25">
      <c r="A183" s="665" t="s">
        <v>220</v>
      </c>
      <c r="B183" s="665"/>
      <c r="C183" s="665"/>
      <c r="D183" s="665"/>
      <c r="E183" s="665"/>
      <c r="F183" s="665"/>
      <c r="G183" s="665"/>
      <c r="H183" s="665"/>
      <c r="I183" s="665"/>
      <c r="J183" s="665"/>
      <c r="K183" s="665"/>
      <c r="L183" s="665"/>
      <c r="M183" s="665"/>
      <c r="N183" s="128"/>
      <c r="O183" s="128"/>
    </row>
    <row r="184" spans="1:19" x14ac:dyDescent="0.25">
      <c r="A184" s="665" t="s">
        <v>315</v>
      </c>
      <c r="B184" s="665"/>
      <c r="C184" s="665"/>
      <c r="D184" s="665"/>
      <c r="E184" s="665"/>
      <c r="F184" s="665"/>
      <c r="G184" s="665"/>
      <c r="H184" s="665"/>
      <c r="I184" s="665"/>
      <c r="J184" s="665"/>
      <c r="K184" s="665"/>
      <c r="L184" s="665"/>
      <c r="M184" s="665"/>
      <c r="N184" s="128"/>
      <c r="O184" s="128"/>
    </row>
    <row r="185" spans="1:19" x14ac:dyDescent="0.25">
      <c r="A185" s="93"/>
      <c r="B185" s="93"/>
      <c r="C185" s="93"/>
      <c r="D185" s="93"/>
      <c r="E185" s="93"/>
      <c r="F185" s="93"/>
      <c r="G185" s="93"/>
      <c r="H185" s="93"/>
      <c r="I185" s="93"/>
      <c r="J185" s="93"/>
      <c r="K185" s="93"/>
      <c r="L185" s="93"/>
      <c r="M185" s="93"/>
      <c r="N185" s="136"/>
      <c r="O185" s="136"/>
    </row>
    <row r="186" spans="1:19" ht="31.5" customHeight="1" x14ac:dyDescent="0.25">
      <c r="A186" s="547"/>
      <c r="B186" s="589" t="s">
        <v>99</v>
      </c>
      <c r="C186" s="142"/>
      <c r="D186" s="590" t="s">
        <v>100</v>
      </c>
      <c r="E186" s="591"/>
      <c r="F186" s="590" t="s">
        <v>101</v>
      </c>
      <c r="G186" s="591"/>
      <c r="H186" s="589" t="s">
        <v>102</v>
      </c>
      <c r="I186" s="142"/>
      <c r="J186" s="590" t="s">
        <v>226</v>
      </c>
      <c r="K186" s="591"/>
      <c r="L186" s="142" t="s">
        <v>84</v>
      </c>
      <c r="M186" s="142"/>
      <c r="N186" s="129" t="s">
        <v>223</v>
      </c>
      <c r="O186" s="129"/>
    </row>
    <row r="187" spans="1:19" x14ac:dyDescent="0.25">
      <c r="A187" s="551"/>
      <c r="B187" s="115" t="s">
        <v>103</v>
      </c>
      <c r="C187" s="143" t="s">
        <v>193</v>
      </c>
      <c r="D187" s="115" t="s">
        <v>103</v>
      </c>
      <c r="E187" s="143" t="s">
        <v>193</v>
      </c>
      <c r="F187" s="115" t="s">
        <v>103</v>
      </c>
      <c r="G187" s="143" t="s">
        <v>193</v>
      </c>
      <c r="H187" s="115" t="s">
        <v>103</v>
      </c>
      <c r="I187" s="143" t="s">
        <v>193</v>
      </c>
      <c r="J187" s="115" t="s">
        <v>103</v>
      </c>
      <c r="K187" s="143" t="s">
        <v>193</v>
      </c>
      <c r="L187" s="115" t="s">
        <v>103</v>
      </c>
      <c r="M187" s="143" t="s">
        <v>193</v>
      </c>
      <c r="N187" s="120" t="s">
        <v>223</v>
      </c>
      <c r="O187" s="137"/>
    </row>
    <row r="188" spans="1:19" s="556" customFormat="1" ht="18" customHeight="1" x14ac:dyDescent="0.25">
      <c r="A188" s="554" t="s">
        <v>222</v>
      </c>
      <c r="B188" s="146">
        <f>+GETPIVOTDATA(" Old Prof avg",'Averages Pivot Table'!$A$3,"Category",3,"Category2","Four-Year")</f>
        <v>83399.699051345568</v>
      </c>
      <c r="C188" s="146"/>
      <c r="D188" s="146">
        <f>+GETPIVOTDATA(" Old Asc. avg",'Averages Pivot Table'!$A$3,"Category",3,"Category2","Four-Year")</f>
        <v>67480.256771660308</v>
      </c>
      <c r="E188" s="146"/>
      <c r="F188" s="146">
        <f>+GETPIVOTDATA(" Old Ast. avg",'Averages Pivot Table'!$A$3,"Category",3,"Category2","Four-Year")</f>
        <v>57551.809768991763</v>
      </c>
      <c r="G188" s="146"/>
      <c r="H188" s="146">
        <f>+GETPIVOTDATA(" Old Inst. avg",'Averages Pivot Table'!$A$3,"Category",3,"Category2","Four-Year")</f>
        <v>43220.781382443529</v>
      </c>
      <c r="I188" s="146"/>
      <c r="J188" s="146">
        <f>+GETPIVOTDATA(" Old Undesg. avg",'Averages Pivot Table'!$A$3,"Category",3,"Category2","Four-Year")</f>
        <v>46072.406334395877</v>
      </c>
      <c r="K188" s="146"/>
      <c r="L188" s="146">
        <f>+GETPIVOTDATA(" Old All Ranks avg",'Averages Pivot Table'!$A$3,"Category",3,"Category2","Four-Year")</f>
        <v>65262.438080962056</v>
      </c>
      <c r="M188" s="149"/>
      <c r="N188" s="144"/>
      <c r="O188" s="138"/>
      <c r="Q188" s="558"/>
      <c r="R188" s="558"/>
      <c r="S188" s="558"/>
    </row>
    <row r="189" spans="1:19" ht="12.95" customHeight="1" x14ac:dyDescent="0.25">
      <c r="A189" s="132"/>
      <c r="B189" s="123"/>
      <c r="C189" s="150"/>
      <c r="D189" s="123"/>
      <c r="E189" s="150"/>
      <c r="F189" s="123"/>
      <c r="G189" s="150"/>
      <c r="H189" s="123"/>
      <c r="I189" s="150"/>
      <c r="J189" s="123"/>
      <c r="K189" s="150"/>
      <c r="L189" s="123"/>
      <c r="M189" s="150"/>
      <c r="N189" s="594"/>
      <c r="O189" s="139"/>
    </row>
    <row r="190" spans="1:19" ht="12.95" customHeight="1" x14ac:dyDescent="0.25">
      <c r="A190" s="132" t="s">
        <v>205</v>
      </c>
      <c r="B190" s="126">
        <f>+GETPIVOTDATA(" Old Prof avg",'Averages Pivot Table'!$A$3,"State","AL","Category",3,"Category2","Four-Year")</f>
        <v>81287.027660176987</v>
      </c>
      <c r="C190" s="118">
        <f t="shared" ref="C190:C208" si="27">IF(B190&gt;0,(RANK(B190,B$190:B$208)),0)</f>
        <v>6</v>
      </c>
      <c r="D190" s="126">
        <f>+GETPIVOTDATA(" Old Asc. avg",'Averages Pivot Table'!$A$3,"State","AL","Category",3,"Category2","Four-Year")</f>
        <v>66116.241596022723</v>
      </c>
      <c r="E190" s="118">
        <f>IF(D190&gt;0,(RANK(D190,D$190:D$208)),0)</f>
        <v>6</v>
      </c>
      <c r="F190" s="126">
        <f>+GETPIVOTDATA(" Old Ast. avg",'Averages Pivot Table'!$A$3,"State","AL","Category",3,"Category2","Four-Year")</f>
        <v>55074.335812890626</v>
      </c>
      <c r="G190" s="118">
        <f>IF(F190&gt;0,(RANK(F190,F$190:F$208)),0)</f>
        <v>8</v>
      </c>
      <c r="H190" s="126">
        <f>+GETPIVOTDATA(" Old Inst. avg",'Averages Pivot Table'!$A$3,"State","AL","Category",3,"Category2","Four-Year")</f>
        <v>45653.412176811595</v>
      </c>
      <c r="I190" s="118">
        <f t="shared" ref="I190:I208" si="28">IF(H190&gt;0,(RANK(H190,H$190:H$208)),0)</f>
        <v>7</v>
      </c>
      <c r="J190" s="126">
        <f>+GETPIVOTDATA(" Old Undesg. avg",'Averages Pivot Table'!$A$3,"State","AL","Category",3,"Category2","Four-Year")</f>
        <v>40948.13279428571</v>
      </c>
      <c r="K190" s="118">
        <f t="shared" ref="K190:K208" si="29">IF(J190&gt;0,(RANK(J190,J$190:J$208)),0)</f>
        <v>7</v>
      </c>
      <c r="L190" s="126">
        <f>+GETPIVOTDATA(" Old All Ranks avg",'Averages Pivot Table'!$A$3,"State","AL","Category",3,"Category2","Four-Year")</f>
        <v>61003.221698644287</v>
      </c>
      <c r="M190" s="118">
        <f t="shared" ref="M190:M208" si="30">IF(L190&gt;0,(RANK(L190,L$190:L$208)),0)</f>
        <v>8</v>
      </c>
      <c r="N190" s="563"/>
      <c r="O190" s="118"/>
    </row>
    <row r="191" spans="1:19" ht="12.95" customHeight="1" x14ac:dyDescent="0.25">
      <c r="A191" s="132" t="s">
        <v>206</v>
      </c>
      <c r="B191" s="126">
        <f>+GETPIVOTDATA(" Old Prof avg",'Averages Pivot Table'!$A$3,"State","AR","Category",3,"Category2","Four-Year")</f>
        <v>77161.982151884062</v>
      </c>
      <c r="C191" s="118">
        <f t="shared" si="27"/>
        <v>11</v>
      </c>
      <c r="D191" s="126">
        <f>+GETPIVOTDATA(" Old Asc. avg",'Averages Pivot Table'!$A$3,"State","AR","Category",3,"Category2","Four-Year")</f>
        <v>62347.008006521741</v>
      </c>
      <c r="E191" s="118">
        <f t="shared" ref="E191:G208" si="31">IF(D191&gt;0,(RANK(D191,D$190:D$208)),0)</f>
        <v>11</v>
      </c>
      <c r="F191" s="126">
        <f>+GETPIVOTDATA(" Old Ast. avg",'Averages Pivot Table'!$A$3,"State","AR","Category",3,"Category2","Four-Year")</f>
        <v>54823.894230769234</v>
      </c>
      <c r="G191" s="118">
        <f t="shared" si="31"/>
        <v>11</v>
      </c>
      <c r="H191" s="126">
        <f>+GETPIVOTDATA(" Old Inst. avg",'Averages Pivot Table'!$A$3,"State","AR","Category",3,"Category2","Four-Year")</f>
        <v>37737.194078378379</v>
      </c>
      <c r="I191" s="118">
        <f t="shared" si="28"/>
        <v>12</v>
      </c>
      <c r="J191" s="126">
        <f>+GETPIVOTDATA(" Old Undesg. avg",'Averages Pivot Table'!$A$3,"State","AR","Category",3,"Category2","Four-Year")</f>
        <v>39766.503624242425</v>
      </c>
      <c r="K191" s="118">
        <f t="shared" si="29"/>
        <v>9</v>
      </c>
      <c r="L191" s="126">
        <f>+GETPIVOTDATA(" Old All Ranks avg",'Averages Pivot Table'!$A$3,"State","AR","Category",3,"Category2","Four-Year")</f>
        <v>57765.180917686172</v>
      </c>
      <c r="M191" s="118">
        <f t="shared" si="30"/>
        <v>14</v>
      </c>
      <c r="N191" s="563"/>
      <c r="O191" s="118"/>
    </row>
    <row r="192" spans="1:19" ht="12.95" customHeight="1" x14ac:dyDescent="0.25">
      <c r="A192" s="132" t="s">
        <v>221</v>
      </c>
      <c r="B192" s="126">
        <f>+GETPIVOTDATA(" Old Prof avg",'Averages Pivot Table'!$A$3,"State","DE","Category",3,"Category2","Four-Year")</f>
        <v>0</v>
      </c>
      <c r="C192" s="118">
        <f t="shared" si="27"/>
        <v>0</v>
      </c>
      <c r="D192" s="126">
        <f>+GETPIVOTDATA(" Old Asc. avg",'Averages Pivot Table'!$A$3,"State","DE","Category",3,"Category2","Four-Year")</f>
        <v>0</v>
      </c>
      <c r="E192" s="118">
        <f t="shared" si="31"/>
        <v>0</v>
      </c>
      <c r="F192" s="126">
        <f>+GETPIVOTDATA(" Old Ast. avg",'Averages Pivot Table'!$A$3,"State","DE","Category",3,"Category2","Four-Year")</f>
        <v>0</v>
      </c>
      <c r="G192" s="118">
        <f t="shared" si="31"/>
        <v>0</v>
      </c>
      <c r="H192" s="126">
        <f>+GETPIVOTDATA(" Old Inst. avg",'Averages Pivot Table'!$A$3,"State","DE","Category",3,"Category2","Four-Year")</f>
        <v>0</v>
      </c>
      <c r="I192" s="118">
        <f t="shared" si="28"/>
        <v>0</v>
      </c>
      <c r="J192" s="126">
        <f>+GETPIVOTDATA(" Old Undesg. avg",'Averages Pivot Table'!$A$3,"State","DE","Category",3,"Category2","Four-Year")</f>
        <v>0</v>
      </c>
      <c r="K192" s="118">
        <f t="shared" si="29"/>
        <v>0</v>
      </c>
      <c r="L192" s="126">
        <f>+GETPIVOTDATA(" Old All Ranks avg",'Averages Pivot Table'!$A$3,"State","DE","Category",3,"Category2","Four-Year")</f>
        <v>0</v>
      </c>
      <c r="M192" s="118">
        <f t="shared" si="30"/>
        <v>0</v>
      </c>
      <c r="N192" s="563"/>
      <c r="O192" s="118"/>
    </row>
    <row r="193" spans="1:15" ht="12.95" customHeight="1" x14ac:dyDescent="0.25">
      <c r="A193" s="132" t="s">
        <v>207</v>
      </c>
      <c r="B193" s="126">
        <f>+GETPIVOTDATA(" Old Prof avg",'Averages Pivot Table'!$A$3,"State","FL","Category",3,"Category2","Four-Year")</f>
        <v>88980.04168618421</v>
      </c>
      <c r="C193" s="118">
        <f t="shared" si="27"/>
        <v>3</v>
      </c>
      <c r="D193" s="126">
        <f>+GETPIVOTDATA(" Old Asc. avg",'Averages Pivot Table'!$A$3,"State","FL","Category",3,"Category2","Four-Year")</f>
        <v>69937.35787394541</v>
      </c>
      <c r="E193" s="118">
        <f t="shared" si="31"/>
        <v>3</v>
      </c>
      <c r="F193" s="126">
        <f>+GETPIVOTDATA(" Old Ast. avg",'Averages Pivot Table'!$A$3,"State","FL","Category",3,"Category2","Four-Year")</f>
        <v>58545.062373195884</v>
      </c>
      <c r="G193" s="118">
        <f t="shared" si="31"/>
        <v>4</v>
      </c>
      <c r="H193" s="126">
        <f>+GETPIVOTDATA(" Old Inst. avg",'Averages Pivot Table'!$A$3,"State","FL","Category",3,"Category2","Four-Year")</f>
        <v>46776.353515053772</v>
      </c>
      <c r="I193" s="118">
        <f t="shared" si="28"/>
        <v>5</v>
      </c>
      <c r="J193" s="126">
        <f>+GETPIVOTDATA(" Old Undesg. avg",'Averages Pivot Table'!$A$3,"State","FL","Category",3,"Category2","Four-Year")</f>
        <v>46160.887551111111</v>
      </c>
      <c r="K193" s="118">
        <f t="shared" si="29"/>
        <v>4</v>
      </c>
      <c r="L193" s="126">
        <f>+GETPIVOTDATA(" Old All Ranks avg",'Averages Pivot Table'!$A$3,"State","FL","Category",3,"Category2","Four-Year")</f>
        <v>66913.88671960785</v>
      </c>
      <c r="M193" s="118">
        <f t="shared" si="30"/>
        <v>4</v>
      </c>
      <c r="N193" s="563"/>
      <c r="O193" s="118"/>
    </row>
    <row r="194" spans="1:15" ht="12.95" customHeight="1" x14ac:dyDescent="0.25">
      <c r="A194" s="132"/>
      <c r="B194" s="126"/>
      <c r="C194" s="118">
        <f t="shared" si="27"/>
        <v>0</v>
      </c>
      <c r="D194" s="126"/>
      <c r="E194" s="118">
        <f t="shared" si="31"/>
        <v>0</v>
      </c>
      <c r="F194" s="126"/>
      <c r="G194" s="118">
        <f t="shared" si="31"/>
        <v>0</v>
      </c>
      <c r="H194" s="126"/>
      <c r="I194" s="118">
        <f t="shared" si="28"/>
        <v>0</v>
      </c>
      <c r="J194" s="126"/>
      <c r="K194" s="118">
        <f t="shared" si="29"/>
        <v>0</v>
      </c>
      <c r="L194" s="126"/>
      <c r="M194" s="118">
        <f t="shared" si="30"/>
        <v>0</v>
      </c>
      <c r="N194" s="563"/>
      <c r="O194" s="118"/>
    </row>
    <row r="195" spans="1:15" ht="12.95" customHeight="1" x14ac:dyDescent="0.25">
      <c r="A195" s="132" t="s">
        <v>208</v>
      </c>
      <c r="B195" s="126">
        <f>+GETPIVOTDATA(" Old Prof avg",'Averages Pivot Table'!$A$3,"State","GA","Category",3,"Category2","Four-Year")</f>
        <v>79855.477259649124</v>
      </c>
      <c r="C195" s="118">
        <f t="shared" si="27"/>
        <v>8</v>
      </c>
      <c r="D195" s="126">
        <f>+GETPIVOTDATA(" Old Asc. avg",'Averages Pivot Table'!$A$3,"State","GA","Category",3,"Category2","Four-Year")</f>
        <v>64300.30805295</v>
      </c>
      <c r="E195" s="118">
        <f t="shared" si="31"/>
        <v>9</v>
      </c>
      <c r="F195" s="126">
        <f>+GETPIVOTDATA(" Old Ast. avg",'Averages Pivot Table'!$A$3,"State","GA","Category",3,"Category2","Four-Year")</f>
        <v>55042.177326992751</v>
      </c>
      <c r="G195" s="118">
        <f t="shared" si="31"/>
        <v>9</v>
      </c>
      <c r="H195" s="126">
        <f>+GETPIVOTDATA(" Old Inst. avg",'Averages Pivot Table'!$A$3,"State","GA","Category",3,"Category2","Four-Year")</f>
        <v>39102.52634343892</v>
      </c>
      <c r="I195" s="118">
        <f t="shared" si="28"/>
        <v>11</v>
      </c>
      <c r="J195" s="126">
        <f>+GETPIVOTDATA(" Old Undesg. avg",'Averages Pivot Table'!$A$3,"State","GA","Category",3,"Category2","Four-Year")</f>
        <v>43699.473141538459</v>
      </c>
      <c r="K195" s="118">
        <f t="shared" si="29"/>
        <v>6</v>
      </c>
      <c r="L195" s="126">
        <f>+GETPIVOTDATA(" Old All Ranks avg",'Averages Pivot Table'!$A$3,"State","GA","Category",3,"Category2","Four-Year")</f>
        <v>60750.07001122785</v>
      </c>
      <c r="M195" s="118">
        <f t="shared" si="30"/>
        <v>9</v>
      </c>
      <c r="N195" s="563"/>
      <c r="O195" s="118"/>
    </row>
    <row r="196" spans="1:15" ht="12.95" customHeight="1" x14ac:dyDescent="0.25">
      <c r="A196" s="132" t="s">
        <v>209</v>
      </c>
      <c r="B196" s="126">
        <f>+GETPIVOTDATA(" Old Prof avg",'Averages Pivot Table'!$A$3,"State","KY","Category",3,"Category2","Four-Year")</f>
        <v>80386.085236321829</v>
      </c>
      <c r="C196" s="118">
        <f t="shared" si="27"/>
        <v>7</v>
      </c>
      <c r="D196" s="126">
        <f>+GETPIVOTDATA(" Old Asc. avg",'Averages Pivot Table'!$A$3,"State","KY","Category",3,"Category2","Four-Year")</f>
        <v>63652.113879715303</v>
      </c>
      <c r="E196" s="118">
        <f t="shared" si="31"/>
        <v>10</v>
      </c>
      <c r="F196" s="126">
        <f>+GETPIVOTDATA(" Old Ast. avg",'Averages Pivot Table'!$A$3,"State","KY","Category",3,"Category2","Four-Year")</f>
        <v>53997.603959869499</v>
      </c>
      <c r="G196" s="118">
        <f t="shared" si="31"/>
        <v>12</v>
      </c>
      <c r="H196" s="126">
        <f>+GETPIVOTDATA(" Old Inst. avg",'Averages Pivot Table'!$A$3,"State","KY","Category",3,"Category2","Four-Year")</f>
        <v>42277.778252434458</v>
      </c>
      <c r="I196" s="118">
        <f t="shared" si="28"/>
        <v>9</v>
      </c>
      <c r="J196" s="126">
        <f>+GETPIVOTDATA(" Old Undesg. avg",'Averages Pivot Table'!$A$3,"State","KY","Category",3,"Category2","Four-Year")</f>
        <v>48461.324489361708</v>
      </c>
      <c r="K196" s="118">
        <f t="shared" si="29"/>
        <v>3</v>
      </c>
      <c r="L196" s="126">
        <f>+GETPIVOTDATA(" Old All Ranks avg",'Averages Pivot Table'!$A$3,"State","KY","Category",3,"Category2","Four-Year")</f>
        <v>59655.037797591482</v>
      </c>
      <c r="M196" s="118">
        <f t="shared" si="30"/>
        <v>12</v>
      </c>
      <c r="N196" s="563"/>
      <c r="O196" s="118"/>
    </row>
    <row r="197" spans="1:15" ht="12.95" customHeight="1" x14ac:dyDescent="0.25">
      <c r="A197" s="132" t="s">
        <v>210</v>
      </c>
      <c r="B197" s="126">
        <f>+GETPIVOTDATA(" Old Prof avg",'Averages Pivot Table'!$A$3,"State","LA","Category",3,"Category2","Four-Year")</f>
        <v>77867.110492203399</v>
      </c>
      <c r="C197" s="118">
        <f t="shared" si="27"/>
        <v>10</v>
      </c>
      <c r="D197" s="126">
        <f>+GETPIVOTDATA(" Old Asc. avg",'Averages Pivot Table'!$A$3,"State","LA","Category",3,"Category2","Four-Year")</f>
        <v>65813.779988811191</v>
      </c>
      <c r="E197" s="118">
        <f t="shared" si="31"/>
        <v>7</v>
      </c>
      <c r="F197" s="126">
        <f>+GETPIVOTDATA(" Old Ast. avg",'Averages Pivot Table'!$A$3,"State","LA","Category",3,"Category2","Four-Year")</f>
        <v>56650.663425519291</v>
      </c>
      <c r="G197" s="118">
        <f t="shared" si="31"/>
        <v>7</v>
      </c>
      <c r="H197" s="126">
        <f>+GETPIVOTDATA(" Old Inst. avg",'Averages Pivot Table'!$A$3,"State","LA","Category",3,"Category2","Four-Year")</f>
        <v>42393.650379870131</v>
      </c>
      <c r="I197" s="118">
        <f t="shared" si="28"/>
        <v>8</v>
      </c>
      <c r="J197" s="126">
        <f>+GETPIVOTDATA(" Old Undesg. avg",'Averages Pivot Table'!$A$3,"State","LA","Category",3,"Category2","Four-Year")</f>
        <v>65725.600000000006</v>
      </c>
      <c r="K197" s="118">
        <f t="shared" si="29"/>
        <v>1</v>
      </c>
      <c r="L197" s="126">
        <f>+GETPIVOTDATA(" Old All Ranks avg",'Averages Pivot Table'!$A$3,"State","LA","Category",3,"Category2","Four-Year")</f>
        <v>60355.430876537219</v>
      </c>
      <c r="M197" s="118">
        <f t="shared" si="30"/>
        <v>10</v>
      </c>
      <c r="N197" s="563"/>
      <c r="O197" s="118"/>
    </row>
    <row r="198" spans="1:15" ht="12.95" customHeight="1" x14ac:dyDescent="0.25">
      <c r="A198" s="132" t="s">
        <v>211</v>
      </c>
      <c r="B198" s="126">
        <f>+GETPIVOTDATA(" Old Prof avg",'Averages Pivot Table'!$A$3,"State","MD","Category",3,"Category2","Four-Year")</f>
        <v>89033.518126984127</v>
      </c>
      <c r="C198" s="118">
        <f t="shared" si="27"/>
        <v>2</v>
      </c>
      <c r="D198" s="126">
        <f>+GETPIVOTDATA(" Old Asc. avg",'Averages Pivot Table'!$A$3,"State","MD","Category",3,"Category2","Four-Year")</f>
        <v>72323.344700000001</v>
      </c>
      <c r="E198" s="118">
        <f t="shared" si="31"/>
        <v>2</v>
      </c>
      <c r="F198" s="126">
        <f>+GETPIVOTDATA(" Old Ast. avg",'Averages Pivot Table'!$A$3,"State","MD","Category",3,"Category2","Four-Year")</f>
        <v>61291.112627986346</v>
      </c>
      <c r="G198" s="118">
        <f t="shared" si="31"/>
        <v>2</v>
      </c>
      <c r="H198" s="126">
        <f>+GETPIVOTDATA(" Old Inst. avg",'Averages Pivot Table'!$A$3,"State","MD","Category",3,"Category2","Four-Year")</f>
        <v>49596</v>
      </c>
      <c r="I198" s="118">
        <f t="shared" si="28"/>
        <v>3</v>
      </c>
      <c r="J198" s="126">
        <f>+GETPIVOTDATA(" Old Undesg. avg",'Averages Pivot Table'!$A$3,"State","MD","Category",3,"Category2","Four-Year")</f>
        <v>39988.114000000001</v>
      </c>
      <c r="K198" s="118">
        <f t="shared" si="29"/>
        <v>8</v>
      </c>
      <c r="L198" s="126">
        <f>+GETPIVOTDATA(" Old All Ranks avg",'Averages Pivot Table'!$A$3,"State","MD","Category",3,"Category2","Four-Year")</f>
        <v>65152.888091566267</v>
      </c>
      <c r="M198" s="118">
        <f t="shared" si="30"/>
        <v>5</v>
      </c>
      <c r="N198" s="563"/>
      <c r="O198" s="118"/>
    </row>
    <row r="199" spans="1:15" ht="12.95" customHeight="1" x14ac:dyDescent="0.25">
      <c r="A199" s="132"/>
      <c r="B199" s="126"/>
      <c r="C199" s="118">
        <f t="shared" si="27"/>
        <v>0</v>
      </c>
      <c r="D199" s="126"/>
      <c r="E199" s="118">
        <f t="shared" si="31"/>
        <v>0</v>
      </c>
      <c r="F199" s="126"/>
      <c r="G199" s="118">
        <f t="shared" si="31"/>
        <v>0</v>
      </c>
      <c r="H199" s="126"/>
      <c r="I199" s="118">
        <f t="shared" si="28"/>
        <v>0</v>
      </c>
      <c r="J199" s="126"/>
      <c r="K199" s="118">
        <f t="shared" si="29"/>
        <v>0</v>
      </c>
      <c r="L199" s="126"/>
      <c r="M199" s="118">
        <f t="shared" si="30"/>
        <v>0</v>
      </c>
      <c r="N199" s="563"/>
      <c r="O199" s="118"/>
    </row>
    <row r="200" spans="1:15" ht="12.95" customHeight="1" x14ac:dyDescent="0.25">
      <c r="A200" s="132" t="s">
        <v>212</v>
      </c>
      <c r="B200" s="126">
        <f>+GETPIVOTDATA(" Old Prof avg",'Averages Pivot Table'!$A$3,"State","MS","Category",3,"Category2","Four-Year")</f>
        <v>0</v>
      </c>
      <c r="C200" s="118">
        <f t="shared" si="27"/>
        <v>0</v>
      </c>
      <c r="D200" s="126">
        <f>+GETPIVOTDATA(" Old Asc. avg",'Averages Pivot Table'!$A$3,"State","MS","Category",3,"Category2","Four-Year")</f>
        <v>0</v>
      </c>
      <c r="E200" s="118">
        <f t="shared" si="31"/>
        <v>0</v>
      </c>
      <c r="F200" s="126">
        <f>+GETPIVOTDATA(" Old Ast. avg",'Averages Pivot Table'!$A$3,"State","MS","Category",3,"Category2","Four-Year")</f>
        <v>0</v>
      </c>
      <c r="G200" s="118">
        <f t="shared" si="31"/>
        <v>0</v>
      </c>
      <c r="H200" s="126">
        <f>+GETPIVOTDATA(" Old Inst. avg",'Averages Pivot Table'!$A$3,"State","MS","Category",3,"Category2","Four-Year")</f>
        <v>0</v>
      </c>
      <c r="I200" s="118">
        <f t="shared" si="28"/>
        <v>0</v>
      </c>
      <c r="J200" s="126">
        <f>+GETPIVOTDATA(" Old Undesg. avg",'Averages Pivot Table'!$A$3,"State","MS","Category",3,"Category2","Four-Year")</f>
        <v>0</v>
      </c>
      <c r="K200" s="118">
        <f t="shared" si="29"/>
        <v>0</v>
      </c>
      <c r="L200" s="126">
        <f>+GETPIVOTDATA(" Old All Ranks avg",'Averages Pivot Table'!$A$3,"State","MS","Category",3,"Category2","Four-Year")</f>
        <v>0</v>
      </c>
      <c r="M200" s="118">
        <f t="shared" si="30"/>
        <v>0</v>
      </c>
      <c r="N200" s="563"/>
      <c r="O200" s="118"/>
    </row>
    <row r="201" spans="1:15" ht="12.95" customHeight="1" x14ac:dyDescent="0.25">
      <c r="A201" s="132" t="s">
        <v>213</v>
      </c>
      <c r="B201" s="126">
        <f>+GETPIVOTDATA(" Old Prof avg",'Averages Pivot Table'!$A$3,"State","NC","Category",3,"Category2","Four-Year")</f>
        <v>93017.673420960695</v>
      </c>
      <c r="C201" s="118">
        <f t="shared" si="27"/>
        <v>1</v>
      </c>
      <c r="D201" s="126">
        <f>+GETPIVOTDATA(" Old Asc. avg",'Averages Pivot Table'!$A$3,"State","NC","Category",3,"Category2","Four-Year")</f>
        <v>74687.49534227504</v>
      </c>
      <c r="E201" s="118">
        <f t="shared" si="31"/>
        <v>1</v>
      </c>
      <c r="F201" s="126">
        <f>+GETPIVOTDATA(" Old Ast. avg",'Averages Pivot Table'!$A$3,"State","NC","Category",3,"Category2","Four-Year")</f>
        <v>63435.06095222749</v>
      </c>
      <c r="G201" s="118">
        <f t="shared" si="31"/>
        <v>1</v>
      </c>
      <c r="H201" s="126">
        <f>+GETPIVOTDATA(" Old Inst. avg",'Averages Pivot Table'!$A$3,"State","NC","Category",3,"Category2","Four-Year")</f>
        <v>50955.73541714286</v>
      </c>
      <c r="I201" s="118">
        <f t="shared" si="28"/>
        <v>1</v>
      </c>
      <c r="J201" s="126">
        <f>+GETPIVOTDATA(" Old Undesg. avg",'Averages Pivot Table'!$A$3,"State","NC","Category",3,"Category2","Four-Year")</f>
        <v>50961.047092091008</v>
      </c>
      <c r="K201" s="118">
        <f t="shared" si="29"/>
        <v>2</v>
      </c>
      <c r="L201" s="126">
        <f>+GETPIVOTDATA(" Old All Ranks avg",'Averages Pivot Table'!$A$3,"State","NC","Category",3,"Category2","Four-Year")</f>
        <v>70350.753561480393</v>
      </c>
      <c r="M201" s="118">
        <f t="shared" si="30"/>
        <v>2</v>
      </c>
      <c r="N201" s="563"/>
      <c r="O201" s="118"/>
    </row>
    <row r="202" spans="1:15" ht="12.95" customHeight="1" x14ac:dyDescent="0.25">
      <c r="A202" s="132" t="s">
        <v>214</v>
      </c>
      <c r="B202" s="126">
        <f>+GETPIVOTDATA(" Old Prof avg",'Averages Pivot Table'!$A$3,"State","OK","Category",3,"Category2","Four-Year")</f>
        <v>76151.420939655174</v>
      </c>
      <c r="C202" s="118">
        <f t="shared" si="27"/>
        <v>13</v>
      </c>
      <c r="D202" s="126">
        <f>+GETPIVOTDATA(" Old Asc. avg",'Averages Pivot Table'!$A$3,"State","OK","Category",3,"Category2","Four-Year")</f>
        <v>60071.427863157893</v>
      </c>
      <c r="E202" s="118">
        <f t="shared" si="31"/>
        <v>14</v>
      </c>
      <c r="F202" s="126">
        <f>+GETPIVOTDATA(" Old Ast. avg",'Averages Pivot Table'!$A$3,"State","OK","Category",3,"Category2","Four-Year")</f>
        <v>54919.360304186041</v>
      </c>
      <c r="G202" s="118">
        <f t="shared" si="31"/>
        <v>10</v>
      </c>
      <c r="H202" s="126">
        <f>+GETPIVOTDATA(" Old Inst. avg",'Averages Pivot Table'!$A$3,"State","OK","Category",3,"Category2","Four-Year")</f>
        <v>39607.286725274724</v>
      </c>
      <c r="I202" s="118">
        <f t="shared" si="28"/>
        <v>10</v>
      </c>
      <c r="J202" s="126">
        <f>+GETPIVOTDATA(" Old Undesg. avg",'Averages Pivot Table'!$A$3,"State","OK","Category",3,"Category2","Four-Year")</f>
        <v>0</v>
      </c>
      <c r="K202" s="118">
        <f t="shared" si="29"/>
        <v>0</v>
      </c>
      <c r="L202" s="126">
        <f>+GETPIVOTDATA(" Old All Ranks avg",'Averages Pivot Table'!$A$3,"State","OK","Category",3,"Category2","Four-Year")</f>
        <v>58660.915931626121</v>
      </c>
      <c r="M202" s="118">
        <f t="shared" si="30"/>
        <v>13</v>
      </c>
      <c r="N202" s="563"/>
      <c r="O202" s="118"/>
    </row>
    <row r="203" spans="1:15" ht="12.95" customHeight="1" x14ac:dyDescent="0.25">
      <c r="A203" s="132" t="s">
        <v>215</v>
      </c>
      <c r="B203" s="126">
        <f>+GETPIVOTDATA(" Old Prof avg",'Averages Pivot Table'!$A$3,"State","SC","Category",3,"Category2","Four-Year")</f>
        <v>78957.172727272729</v>
      </c>
      <c r="C203" s="118">
        <f t="shared" si="27"/>
        <v>9</v>
      </c>
      <c r="D203" s="126">
        <f>+GETPIVOTDATA(" Old Asc. avg",'Averages Pivot Table'!$A$3,"State","SC","Category",3,"Category2","Four-Year")</f>
        <v>64499.710843373497</v>
      </c>
      <c r="E203" s="118">
        <f t="shared" si="31"/>
        <v>8</v>
      </c>
      <c r="F203" s="126">
        <f>+GETPIVOTDATA(" Old Ast. avg",'Averages Pivot Table'!$A$3,"State","SC","Category",3,"Category2","Four-Year")</f>
        <v>57627.502686821703</v>
      </c>
      <c r="G203" s="118">
        <f t="shared" si="31"/>
        <v>6</v>
      </c>
      <c r="H203" s="126">
        <f>+GETPIVOTDATA(" Old Inst. avg",'Averages Pivot Table'!$A$3,"State","SC","Category",3,"Category2","Four-Year")</f>
        <v>46462.125358241756</v>
      </c>
      <c r="I203" s="118">
        <f t="shared" si="28"/>
        <v>6</v>
      </c>
      <c r="J203" s="126">
        <f>+GETPIVOTDATA(" Old Undesg. avg",'Averages Pivot Table'!$A$3,"State","SC","Category",3,"Category2","Four-Year")</f>
        <v>0</v>
      </c>
      <c r="K203" s="118">
        <f t="shared" si="29"/>
        <v>0</v>
      </c>
      <c r="L203" s="126">
        <f>+GETPIVOTDATA(" Old All Ranks avg",'Averages Pivot Table'!$A$3,"State","SC","Category",3,"Category2","Four-Year")</f>
        <v>63806.403644221107</v>
      </c>
      <c r="M203" s="118">
        <f t="shared" si="30"/>
        <v>6</v>
      </c>
      <c r="N203" s="563"/>
      <c r="O203" s="118"/>
    </row>
    <row r="204" spans="1:15" ht="12.95" customHeight="1" x14ac:dyDescent="0.25">
      <c r="A204" s="132"/>
      <c r="B204" s="126"/>
      <c r="C204" s="118">
        <f t="shared" si="27"/>
        <v>0</v>
      </c>
      <c r="D204" s="126"/>
      <c r="E204" s="118">
        <f t="shared" si="31"/>
        <v>0</v>
      </c>
      <c r="F204" s="126"/>
      <c r="G204" s="118">
        <f t="shared" si="31"/>
        <v>0</v>
      </c>
      <c r="H204" s="126"/>
      <c r="I204" s="118">
        <f t="shared" si="28"/>
        <v>0</v>
      </c>
      <c r="J204" s="126"/>
      <c r="K204" s="118">
        <f t="shared" si="29"/>
        <v>0</v>
      </c>
      <c r="L204" s="126"/>
      <c r="M204" s="118">
        <f t="shared" si="30"/>
        <v>0</v>
      </c>
      <c r="N204" s="563"/>
      <c r="O204" s="118"/>
    </row>
    <row r="205" spans="1:15" ht="12.95" customHeight="1" x14ac:dyDescent="0.25">
      <c r="A205" s="132" t="s">
        <v>216</v>
      </c>
      <c r="B205" s="563">
        <f>+GETPIVOTDATA(" Old Prof avg",'Averages Pivot Table'!$A$3,"State","TN","Category",3,"Category2","Four-Year")</f>
        <v>77077.864649289098</v>
      </c>
      <c r="C205" s="118">
        <f t="shared" si="27"/>
        <v>12</v>
      </c>
      <c r="D205" s="563">
        <f>+GETPIVOTDATA(" Old Asc. avg",'Averages Pivot Table'!$A$3,"State","TN","Category",3,"Category2","Four-Year")</f>
        <v>61029.925310664607</v>
      </c>
      <c r="E205" s="118">
        <f t="shared" si="31"/>
        <v>12</v>
      </c>
      <c r="F205" s="563">
        <f>+GETPIVOTDATA(" Old Ast. avg",'Averages Pivot Table'!$A$3,"State","TN","Category",3,"Category2","Four-Year")</f>
        <v>50698.837652415808</v>
      </c>
      <c r="G205" s="118">
        <f t="shared" si="31"/>
        <v>14</v>
      </c>
      <c r="H205" s="563">
        <f>+GETPIVOTDATA(" Old Inst. avg",'Averages Pivot Table'!$A$3,"State","TN","Category",3,"Category2","Four-Year")</f>
        <v>37469.206657851239</v>
      </c>
      <c r="I205" s="118">
        <f t="shared" si="28"/>
        <v>13</v>
      </c>
      <c r="J205" s="563">
        <f>+GETPIVOTDATA(" Old Undesg. avg",'Averages Pivot Table'!$A$3,"State","TN","Category",3,"Category2","Four-Year")</f>
        <v>33734.608870422533</v>
      </c>
      <c r="K205" s="118">
        <f t="shared" si="29"/>
        <v>10</v>
      </c>
      <c r="L205" s="563">
        <f>+GETPIVOTDATA(" Old All Ranks avg",'Averages Pivot Table'!$A$3,"State","TN","Category",3,"Category2","Four-Year")</f>
        <v>59822.223622908517</v>
      </c>
      <c r="M205" s="118">
        <f t="shared" si="30"/>
        <v>11</v>
      </c>
      <c r="N205" s="563"/>
      <c r="O205" s="118"/>
    </row>
    <row r="206" spans="1:15" ht="12.95" customHeight="1" x14ac:dyDescent="0.25">
      <c r="A206" s="132" t="s">
        <v>217</v>
      </c>
      <c r="B206" s="563">
        <f>+GETPIVOTDATA(" Old Prof avg",'Averages Pivot Table'!$A$3,"State","TX","Category",3,"Category2","Four-Year")</f>
        <v>86544.843008138763</v>
      </c>
      <c r="C206" s="118">
        <f t="shared" si="27"/>
        <v>4</v>
      </c>
      <c r="D206" s="563">
        <f>+GETPIVOTDATA(" Old Asc. avg",'Averages Pivot Table'!$A$3,"State","TX","Category",3,"Category2","Four-Year")</f>
        <v>69263.55303256659</v>
      </c>
      <c r="E206" s="118">
        <f t="shared" si="31"/>
        <v>4</v>
      </c>
      <c r="F206" s="563">
        <f>+GETPIVOTDATA(" Old Ast. avg",'Averages Pivot Table'!$A$3,"State","TX","Category",3,"Category2","Four-Year")</f>
        <v>59558.175991442877</v>
      </c>
      <c r="G206" s="118">
        <f t="shared" si="31"/>
        <v>3</v>
      </c>
      <c r="H206" s="563">
        <f>+GETPIVOTDATA(" Old Inst. avg",'Averages Pivot Table'!$A$3,"State","TX","Category",3,"Category2","Four-Year")</f>
        <v>47014.362912758617</v>
      </c>
      <c r="I206" s="118">
        <f t="shared" si="28"/>
        <v>4</v>
      </c>
      <c r="J206" s="563">
        <f>+GETPIVOTDATA(" Old Undesg. avg",'Averages Pivot Table'!$A$3,"State","TX","Category",3,"Category2","Four-Year")</f>
        <v>44669.390980143966</v>
      </c>
      <c r="K206" s="118">
        <f t="shared" si="29"/>
        <v>5</v>
      </c>
      <c r="L206" s="563">
        <f>+GETPIVOTDATA(" Old All Ranks avg",'Averages Pivot Table'!$A$3,"State","TX","Category",3,"Category2","Four-Year")</f>
        <v>70889.620746171247</v>
      </c>
      <c r="M206" s="118">
        <f t="shared" si="30"/>
        <v>1</v>
      </c>
      <c r="N206" s="563"/>
      <c r="O206" s="118"/>
    </row>
    <row r="207" spans="1:15" ht="12.95" customHeight="1" x14ac:dyDescent="0.25">
      <c r="A207" s="132" t="s">
        <v>218</v>
      </c>
      <c r="B207" s="563">
        <f>+GETPIVOTDATA(" Old Prof avg",'Averages Pivot Table'!$A$3,"State","VA","Category",3,"Category2","Four-Year")</f>
        <v>85482.336975722545</v>
      </c>
      <c r="C207" s="118">
        <f t="shared" si="27"/>
        <v>5</v>
      </c>
      <c r="D207" s="563">
        <f>+GETPIVOTDATA(" Old Asc. avg",'Averages Pivot Table'!$A$3,"State","VA","Category",3,"Category2","Four-Year")</f>
        <v>67418.976030240548</v>
      </c>
      <c r="E207" s="118">
        <f t="shared" si="31"/>
        <v>5</v>
      </c>
      <c r="F207" s="563">
        <f>+GETPIVOTDATA(" Old Ast. avg",'Averages Pivot Table'!$A$3,"State","VA","Category",3,"Category2","Four-Year")</f>
        <v>57954.094877134987</v>
      </c>
      <c r="G207" s="118">
        <f t="shared" si="31"/>
        <v>5</v>
      </c>
      <c r="H207" s="563">
        <f>+GETPIVOTDATA(" Old Inst. avg",'Averages Pivot Table'!$A$3,"State","VA","Category",3,"Category2","Four-Year")</f>
        <v>50141.416991999999</v>
      </c>
      <c r="I207" s="118">
        <f t="shared" si="28"/>
        <v>2</v>
      </c>
      <c r="J207" s="563">
        <f>+GETPIVOTDATA(" Old Undesg. avg",'Averages Pivot Table'!$A$3,"State","VA","Category",3,"Category2","Four-Year")</f>
        <v>0</v>
      </c>
      <c r="K207" s="118">
        <f t="shared" si="29"/>
        <v>0</v>
      </c>
      <c r="L207" s="563">
        <f>+GETPIVOTDATA(" Old All Ranks avg",'Averages Pivot Table'!$A$3,"State","VA","Category",3,"Category2","Four-Year")</f>
        <v>67240.761729702121</v>
      </c>
      <c r="M207" s="118">
        <f t="shared" si="30"/>
        <v>3</v>
      </c>
      <c r="N207" s="563"/>
      <c r="O207" s="118"/>
    </row>
    <row r="208" spans="1:15" ht="12.95" customHeight="1" x14ac:dyDescent="0.25">
      <c r="A208" s="6" t="s">
        <v>219</v>
      </c>
      <c r="B208" s="566">
        <f>+GETPIVOTDATA(" Old Prof avg",'Averages Pivot Table'!$A$3,"State","WV","Category",3,"Category2","Four-Year")</f>
        <v>73931.322311557786</v>
      </c>
      <c r="C208" s="119">
        <f t="shared" si="27"/>
        <v>14</v>
      </c>
      <c r="D208" s="566">
        <f>+GETPIVOTDATA(" Old Asc. avg",'Averages Pivot Table'!$A$3,"State","WV","Category",3,"Category2","Four-Year")</f>
        <v>60085.62837627119</v>
      </c>
      <c r="E208" s="119">
        <f t="shared" si="31"/>
        <v>13</v>
      </c>
      <c r="F208" s="566">
        <f>+GETPIVOTDATA(" Old Ast. avg",'Averages Pivot Table'!$A$3,"State","WV","Category",3,"Category2","Four-Year")</f>
        <v>51599.35602521008</v>
      </c>
      <c r="G208" s="119">
        <f t="shared" si="31"/>
        <v>13</v>
      </c>
      <c r="H208" s="566">
        <f>+GETPIVOTDATA(" Old Inst. avg",'Averages Pivot Table'!$A$3,"State","WV","Category",3,"Category2","Four-Year")</f>
        <v>34784</v>
      </c>
      <c r="I208" s="119">
        <f t="shared" si="28"/>
        <v>14</v>
      </c>
      <c r="J208" s="566">
        <f>+GETPIVOTDATA(" Old Undesg. avg",'Averages Pivot Table'!$A$3,"State","WV","Category",3,"Category2","Four-Year")</f>
        <v>0</v>
      </c>
      <c r="K208" s="119">
        <f t="shared" si="29"/>
        <v>0</v>
      </c>
      <c r="L208" s="566">
        <f>+GETPIVOTDATA(" Old All Ranks avg",'Averages Pivot Table'!$A$3,"State","WV","Category",3,"Category2","Four-Year")</f>
        <v>61513.993002928873</v>
      </c>
      <c r="M208" s="119">
        <f t="shared" si="30"/>
        <v>7</v>
      </c>
      <c r="N208" s="563"/>
      <c r="O208" s="118"/>
    </row>
    <row r="209" spans="1:19" ht="30" customHeight="1" x14ac:dyDescent="0.25">
      <c r="A209" s="672" t="s">
        <v>91</v>
      </c>
      <c r="B209" s="680"/>
      <c r="C209" s="680"/>
      <c r="D209" s="680"/>
      <c r="E209" s="680"/>
      <c r="F209" s="680"/>
      <c r="G209" s="680"/>
      <c r="H209" s="680"/>
      <c r="I209" s="680"/>
      <c r="J209" s="680"/>
      <c r="K209" s="680"/>
      <c r="L209" s="680"/>
      <c r="M209" s="680"/>
      <c r="N209" s="132"/>
      <c r="O209" s="132"/>
    </row>
    <row r="210" spans="1:19" x14ac:dyDescent="0.25">
      <c r="M210" s="157" t="s">
        <v>1083</v>
      </c>
      <c r="O210" s="131"/>
    </row>
    <row r="211" spans="1:19" ht="18" x14ac:dyDescent="0.25">
      <c r="A211" s="544" t="s">
        <v>266</v>
      </c>
      <c r="B211" s="544"/>
      <c r="C211" s="544"/>
      <c r="D211" s="544"/>
      <c r="E211" s="544"/>
      <c r="F211" s="544"/>
      <c r="G211" s="544"/>
      <c r="H211" s="544"/>
      <c r="I211" s="544"/>
      <c r="J211" s="544"/>
      <c r="K211" s="544"/>
      <c r="L211" s="544"/>
      <c r="M211" s="544"/>
      <c r="N211" s="100"/>
      <c r="O211" s="100"/>
    </row>
    <row r="212" spans="1:19" x14ac:dyDescent="0.25">
      <c r="A212" s="132"/>
      <c r="B212" s="93"/>
      <c r="C212" s="93"/>
      <c r="D212" s="93"/>
      <c r="E212" s="93"/>
      <c r="F212" s="93"/>
      <c r="G212" s="93"/>
      <c r="H212" s="93"/>
      <c r="I212" s="93"/>
      <c r="J212" s="93"/>
      <c r="K212" s="93"/>
      <c r="L212" s="93"/>
      <c r="M212" s="93"/>
      <c r="N212" s="93"/>
      <c r="O212" s="93"/>
    </row>
    <row r="213" spans="1:19" x14ac:dyDescent="0.25">
      <c r="A213" s="665" t="s">
        <v>220</v>
      </c>
      <c r="B213" s="665"/>
      <c r="C213" s="665"/>
      <c r="D213" s="665"/>
      <c r="E213" s="665"/>
      <c r="F213" s="665"/>
      <c r="G213" s="665"/>
      <c r="H213" s="665"/>
      <c r="I213" s="665"/>
      <c r="J213" s="665"/>
      <c r="K213" s="665"/>
      <c r="L213" s="665"/>
      <c r="M213" s="665"/>
      <c r="N213" s="128"/>
      <c r="O213" s="128"/>
    </row>
    <row r="214" spans="1:19" x14ac:dyDescent="0.25">
      <c r="A214" s="665" t="s">
        <v>314</v>
      </c>
      <c r="B214" s="665"/>
      <c r="C214" s="665"/>
      <c r="D214" s="665"/>
      <c r="E214" s="665"/>
      <c r="F214" s="665"/>
      <c r="G214" s="665"/>
      <c r="H214" s="665"/>
      <c r="I214" s="665"/>
      <c r="J214" s="665"/>
      <c r="K214" s="665"/>
      <c r="L214" s="665"/>
      <c r="M214" s="665"/>
      <c r="N214" s="128"/>
      <c r="O214" s="128"/>
    </row>
    <row r="215" spans="1:19" x14ac:dyDescent="0.25">
      <c r="A215" s="93"/>
      <c r="B215" s="93"/>
      <c r="C215" s="93"/>
      <c r="D215" s="93"/>
      <c r="E215" s="93"/>
      <c r="F215" s="93"/>
      <c r="G215" s="93"/>
      <c r="H215" s="93"/>
      <c r="I215" s="93"/>
      <c r="J215" s="93"/>
      <c r="K215" s="93"/>
      <c r="L215" s="93"/>
      <c r="M215" s="93"/>
      <c r="N215" s="126"/>
      <c r="O215" s="126"/>
    </row>
    <row r="216" spans="1:19" ht="31.5" customHeight="1" x14ac:dyDescent="0.25">
      <c r="A216" s="547"/>
      <c r="B216" s="589" t="s">
        <v>99</v>
      </c>
      <c r="C216" s="142"/>
      <c r="D216" s="590" t="s">
        <v>100</v>
      </c>
      <c r="E216" s="591"/>
      <c r="F216" s="590" t="s">
        <v>101</v>
      </c>
      <c r="G216" s="591"/>
      <c r="H216" s="589" t="s">
        <v>102</v>
      </c>
      <c r="I216" s="142"/>
      <c r="J216" s="590" t="s">
        <v>226</v>
      </c>
      <c r="K216" s="591"/>
      <c r="L216" s="142" t="s">
        <v>84</v>
      </c>
      <c r="M216" s="142"/>
      <c r="N216" s="129" t="s">
        <v>223</v>
      </c>
      <c r="O216" s="129"/>
    </row>
    <row r="217" spans="1:19" x14ac:dyDescent="0.25">
      <c r="A217" s="551"/>
      <c r="B217" s="115" t="s">
        <v>103</v>
      </c>
      <c r="C217" s="143" t="s">
        <v>193</v>
      </c>
      <c r="D217" s="115" t="s">
        <v>103</v>
      </c>
      <c r="E217" s="143" t="s">
        <v>193</v>
      </c>
      <c r="F217" s="115" t="s">
        <v>103</v>
      </c>
      <c r="G217" s="143" t="s">
        <v>193</v>
      </c>
      <c r="H217" s="115" t="s">
        <v>103</v>
      </c>
      <c r="I217" s="143" t="s">
        <v>193</v>
      </c>
      <c r="J217" s="115" t="s">
        <v>103</v>
      </c>
      <c r="K217" s="143" t="s">
        <v>193</v>
      </c>
      <c r="L217" s="115" t="s">
        <v>103</v>
      </c>
      <c r="M217" s="143" t="s">
        <v>193</v>
      </c>
      <c r="N217" s="126" t="s">
        <v>223</v>
      </c>
      <c r="O217" s="126"/>
    </row>
    <row r="218" spans="1:19" s="556" customFormat="1" ht="18" customHeight="1" x14ac:dyDescent="0.25">
      <c r="A218" s="554" t="s">
        <v>222</v>
      </c>
      <c r="B218" s="146">
        <f>+GETPIVOTDATA(" Old Prof avg",'Averages Pivot Table'!$A$3,"Category",4,"Category2","Four-Year")</f>
        <v>80111.53917584446</v>
      </c>
      <c r="C218" s="146"/>
      <c r="D218" s="146">
        <f>+GETPIVOTDATA(" Old Asc. avg",'Averages Pivot Table'!$A$3,"Category",4,"Category2","Four-Year")</f>
        <v>65508.34820585428</v>
      </c>
      <c r="E218" s="146"/>
      <c r="F218" s="146">
        <f>+GETPIVOTDATA(" Old Ast. avg",'Averages Pivot Table'!$A$3,"Category",4,"Category2","Four-Year")</f>
        <v>56163.330166117754</v>
      </c>
      <c r="G218" s="146"/>
      <c r="H218" s="146">
        <f>+GETPIVOTDATA(" Old Inst. avg",'Averages Pivot Table'!$A$3,"Category",4,"Category2","Four-Year")</f>
        <v>43937.705334004218</v>
      </c>
      <c r="I218" s="146"/>
      <c r="J218" s="146">
        <f>+GETPIVOTDATA(" Old Undesg. avg",'Averages Pivot Table'!$A$3,"Category",4,"Category2","Four-Year")</f>
        <v>46237.267403943042</v>
      </c>
      <c r="K218" s="146"/>
      <c r="L218" s="146">
        <f>+GETPIVOTDATA(" Old All Ranks avg",'Averages Pivot Table'!$A$3,"Category",4,"Category2","Four-Year")</f>
        <v>61597.011568183159</v>
      </c>
      <c r="M218" s="149"/>
      <c r="N218" s="140"/>
      <c r="O218" s="140"/>
      <c r="Q218" s="558"/>
      <c r="R218" s="558"/>
      <c r="S218" s="558"/>
    </row>
    <row r="219" spans="1:19" ht="12.95" customHeight="1" x14ac:dyDescent="0.25">
      <c r="A219" s="132"/>
      <c r="B219" s="123"/>
      <c r="C219" s="150"/>
      <c r="D219" s="123"/>
      <c r="E219" s="150"/>
      <c r="F219" s="123"/>
      <c r="G219" s="150"/>
      <c r="H219" s="123"/>
      <c r="I219" s="150"/>
      <c r="J219" s="123"/>
      <c r="K219" s="150"/>
      <c r="L219" s="123"/>
      <c r="M219" s="150"/>
      <c r="N219" s="126"/>
      <c r="O219" s="126"/>
    </row>
    <row r="220" spans="1:19" ht="12.95" customHeight="1" x14ac:dyDescent="0.25">
      <c r="A220" s="132" t="s">
        <v>205</v>
      </c>
      <c r="B220" s="126">
        <f>+GETPIVOTDATA(" Old Prof avg",'Averages Pivot Table'!$A$3,"State","AL","Category",4,"Category2","Four-Year")</f>
        <v>80497.263359999997</v>
      </c>
      <c r="C220" s="118">
        <f>IF(B220&gt;0,(RANK(B220,B$220:B$238)),0)</f>
        <v>7</v>
      </c>
      <c r="D220" s="126">
        <f>+GETPIVOTDATA(" Old Asc. avg",'Averages Pivot Table'!$A$3,"State","AL","Category",4,"Category2","Four-Year")</f>
        <v>66453.898009356722</v>
      </c>
      <c r="E220" s="118">
        <f>IF(D220&gt;0,(RANK(D220,D$220:D$238)),0)</f>
        <v>7</v>
      </c>
      <c r="F220" s="126">
        <f>+GETPIVOTDATA(" Old Ast. avg",'Averages Pivot Table'!$A$3,"State","AL","Category",4,"Category2","Four-Year")</f>
        <v>54654.428063963969</v>
      </c>
      <c r="G220" s="118">
        <f t="shared" ref="G220:G238" si="32">IF(F220&gt;0,(RANK(F220,F$220:F$238)),0)</f>
        <v>9</v>
      </c>
      <c r="H220" s="126">
        <f>+GETPIVOTDATA(" Old Inst. avg",'Averages Pivot Table'!$A$3,"State","AL","Category",4,"Category2","Four-Year")</f>
        <v>45549.651090109888</v>
      </c>
      <c r="I220" s="118">
        <f t="shared" ref="I220:I238" si="33">IF(H220&gt;0,(RANK(H220,H$220:H$238)),0)</f>
        <v>7</v>
      </c>
      <c r="J220" s="126">
        <f>+GETPIVOTDATA(" Old Undesg. avg",'Averages Pivot Table'!$A$3,"State","AL","Category",4,"Category2","Four-Year")</f>
        <v>74178.012000000002</v>
      </c>
      <c r="K220" s="118">
        <f t="shared" ref="K220:K238" si="34">IF(J220&gt;0,(RANK(J220,J$220:J$238)),0)</f>
        <v>1</v>
      </c>
      <c r="L220" s="126">
        <f>+GETPIVOTDATA(" Old All Ranks avg",'Averages Pivot Table'!$A$3,"State","AL","Category",4,"Category2","Four-Year")</f>
        <v>63609.936787779436</v>
      </c>
      <c r="M220" s="118">
        <f t="shared" ref="M220:M238" si="35">IF(L220&gt;0,(RANK(L220,L$220:L$238)),0)</f>
        <v>7</v>
      </c>
      <c r="N220" s="126"/>
      <c r="O220" s="126"/>
    </row>
    <row r="221" spans="1:19" ht="12.95" customHeight="1" x14ac:dyDescent="0.25">
      <c r="A221" s="132" t="s">
        <v>206</v>
      </c>
      <c r="B221" s="126">
        <f>+GETPIVOTDATA(" Old Prof avg",'Averages Pivot Table'!$A$3,"State","AR","Category",4,"Category2","Four-Year")</f>
        <v>67087.118815267168</v>
      </c>
      <c r="C221" s="118">
        <f t="shared" ref="C221:E238" si="36">IF(B221&gt;0,(RANK(B221,B$220:B$238)),0)</f>
        <v>12</v>
      </c>
      <c r="D221" s="126">
        <f>+GETPIVOTDATA(" Old Asc. avg",'Averages Pivot Table'!$A$3,"State","AR","Category",4,"Category2","Four-Year")</f>
        <v>57548.159836986306</v>
      </c>
      <c r="E221" s="118">
        <f t="shared" si="36"/>
        <v>13</v>
      </c>
      <c r="F221" s="126">
        <f>+GETPIVOTDATA(" Old Ast. avg",'Averages Pivot Table'!$A$3,"State","AR","Category",4,"Category2","Four-Year")</f>
        <v>48822.418566346154</v>
      </c>
      <c r="G221" s="118">
        <f t="shared" si="32"/>
        <v>13</v>
      </c>
      <c r="H221" s="126">
        <f>+GETPIVOTDATA(" Old Inst. avg",'Averages Pivot Table'!$A$3,"State","AR","Category",4,"Category2","Four-Year")</f>
        <v>39082.076891666664</v>
      </c>
      <c r="I221" s="118">
        <f t="shared" si="33"/>
        <v>13</v>
      </c>
      <c r="J221" s="126">
        <f>+GETPIVOTDATA(" Old Undesg. avg",'Averages Pivot Table'!$A$3,"State","AR","Category",4,"Category2","Four-Year")</f>
        <v>36931.300000000003</v>
      </c>
      <c r="K221" s="118">
        <f t="shared" si="34"/>
        <v>10</v>
      </c>
      <c r="L221" s="126">
        <f>+GETPIVOTDATA(" Old All Ranks avg",'Averages Pivot Table'!$A$3,"State","AR","Category",4,"Category2","Four-Year")</f>
        <v>52555.77495040519</v>
      </c>
      <c r="M221" s="118">
        <f t="shared" si="35"/>
        <v>13</v>
      </c>
      <c r="N221" s="126"/>
      <c r="O221" s="126"/>
    </row>
    <row r="222" spans="1:19" ht="12.95" customHeight="1" x14ac:dyDescent="0.25">
      <c r="A222" s="132" t="s">
        <v>221</v>
      </c>
      <c r="B222" s="126">
        <f>+GETPIVOTDATA(" Old Prof avg",'Averages Pivot Table'!$A$3,"State","DE","Category",4,"Category2","Four-Year")</f>
        <v>79203.881600000008</v>
      </c>
      <c r="C222" s="118">
        <f t="shared" si="36"/>
        <v>8</v>
      </c>
      <c r="D222" s="126">
        <f>+GETPIVOTDATA(" Old Asc. avg",'Averages Pivot Table'!$A$3,"State","DE","Category",4,"Category2","Four-Year")</f>
        <v>64594.062697674417</v>
      </c>
      <c r="E222" s="118">
        <f t="shared" si="36"/>
        <v>9</v>
      </c>
      <c r="F222" s="126">
        <f>+GETPIVOTDATA(" Old Ast. avg",'Averages Pivot Table'!$A$3,"State","DE","Category",4,"Category2","Four-Year")</f>
        <v>59798.311460317462</v>
      </c>
      <c r="G222" s="118">
        <f t="shared" si="32"/>
        <v>5</v>
      </c>
      <c r="H222" s="126">
        <f>+GETPIVOTDATA(" Old Inst. avg",'Averages Pivot Table'!$A$3,"State","DE","Category",4,"Category2","Four-Year")</f>
        <v>56856</v>
      </c>
      <c r="I222" s="118">
        <f t="shared" si="33"/>
        <v>3</v>
      </c>
      <c r="J222" s="126">
        <f>+GETPIVOTDATA(" Old Undesg. avg",'Averages Pivot Table'!$A$3,"State","DE","Category",4,"Category2","Four-Year")</f>
        <v>41893</v>
      </c>
      <c r="K222" s="118">
        <f t="shared" si="34"/>
        <v>8</v>
      </c>
      <c r="L222" s="126">
        <f>+GETPIVOTDATA(" Old All Ranks avg",'Averages Pivot Table'!$A$3,"State","DE","Category",4,"Category2","Four-Year")</f>
        <v>65065.276523232329</v>
      </c>
      <c r="M222" s="118">
        <f t="shared" si="35"/>
        <v>5</v>
      </c>
      <c r="N222" s="126"/>
      <c r="O222" s="126"/>
    </row>
    <row r="223" spans="1:19" ht="12.95" customHeight="1" x14ac:dyDescent="0.25">
      <c r="A223" s="132" t="s">
        <v>207</v>
      </c>
      <c r="B223" s="126">
        <f>+GETPIVOTDATA(" Old Prof avg",'Averages Pivot Table'!$A$3,"State","FL","Category",4,"Category2","Four-Year")</f>
        <v>88769.625456250011</v>
      </c>
      <c r="C223" s="118">
        <f t="shared" si="36"/>
        <v>4</v>
      </c>
      <c r="D223" s="126">
        <f>+GETPIVOTDATA(" Old Asc. avg",'Averages Pivot Table'!$A$3,"State","FL","Category",4,"Category2","Four-Year")</f>
        <v>71373.302698947373</v>
      </c>
      <c r="E223" s="118">
        <f t="shared" si="36"/>
        <v>4</v>
      </c>
      <c r="F223" s="126">
        <f>+GETPIVOTDATA(" Old Ast. avg",'Averages Pivot Table'!$A$3,"State","FL","Category",4,"Category2","Four-Year")</f>
        <v>56233.136203225804</v>
      </c>
      <c r="G223" s="118">
        <f t="shared" si="32"/>
        <v>7</v>
      </c>
      <c r="H223" s="126">
        <f>+GETPIVOTDATA(" Old Inst. avg",'Averages Pivot Table'!$A$3,"State","FL","Category",4,"Category2","Four-Year")</f>
        <v>44103.214886666668</v>
      </c>
      <c r="I223" s="118">
        <f t="shared" si="33"/>
        <v>8</v>
      </c>
      <c r="J223" s="126">
        <f>+GETPIVOTDATA(" Old Undesg. avg",'Averages Pivot Table'!$A$3,"State","FL","Category",4,"Category2","Four-Year")</f>
        <v>0</v>
      </c>
      <c r="K223" s="118">
        <f t="shared" si="34"/>
        <v>0</v>
      </c>
      <c r="L223" s="126">
        <f>+GETPIVOTDATA(" Old All Ranks avg",'Averages Pivot Table'!$A$3,"State","FL","Category",4,"Category2","Four-Year")</f>
        <v>62745.088510991962</v>
      </c>
      <c r="M223" s="118">
        <f t="shared" si="35"/>
        <v>9</v>
      </c>
      <c r="N223" s="126"/>
      <c r="O223" s="126"/>
    </row>
    <row r="224" spans="1:19" ht="12.95" customHeight="1" x14ac:dyDescent="0.25">
      <c r="A224" s="132"/>
      <c r="B224" s="126"/>
      <c r="C224" s="118">
        <f t="shared" si="36"/>
        <v>0</v>
      </c>
      <c r="D224" s="126"/>
      <c r="E224" s="118">
        <f t="shared" si="36"/>
        <v>0</v>
      </c>
      <c r="F224" s="126"/>
      <c r="G224" s="118">
        <f t="shared" si="32"/>
        <v>0</v>
      </c>
      <c r="H224" s="126"/>
      <c r="I224" s="118">
        <f t="shared" si="33"/>
        <v>0</v>
      </c>
      <c r="J224" s="126"/>
      <c r="K224" s="118">
        <f t="shared" si="34"/>
        <v>0</v>
      </c>
      <c r="L224" s="126"/>
      <c r="M224" s="118">
        <f t="shared" si="35"/>
        <v>0</v>
      </c>
      <c r="N224" s="126"/>
      <c r="O224" s="126"/>
    </row>
    <row r="225" spans="1:15" ht="12.95" customHeight="1" x14ac:dyDescent="0.25">
      <c r="A225" s="132" t="s">
        <v>208</v>
      </c>
      <c r="B225" s="126">
        <f>+GETPIVOTDATA(" Old Prof avg",'Averages Pivot Table'!$A$3,"State","GA","Category",4,"Category2","Four-Year")</f>
        <v>77533.850428937149</v>
      </c>
      <c r="C225" s="118">
        <f t="shared" si="36"/>
        <v>9</v>
      </c>
      <c r="D225" s="126">
        <f>+GETPIVOTDATA(" Old Asc. avg",'Averages Pivot Table'!$A$3,"State","GA","Category",4,"Category2","Four-Year")</f>
        <v>63595.956791295277</v>
      </c>
      <c r="E225" s="118">
        <f t="shared" si="36"/>
        <v>10</v>
      </c>
      <c r="F225" s="126">
        <f>+GETPIVOTDATA(" Old Ast. avg",'Averages Pivot Table'!$A$3,"State","GA","Category",4,"Category2","Four-Year")</f>
        <v>53814.067719978782</v>
      </c>
      <c r="G225" s="118">
        <f t="shared" si="32"/>
        <v>10</v>
      </c>
      <c r="H225" s="126">
        <f>+GETPIVOTDATA(" Old Inst. avg",'Averages Pivot Table'!$A$3,"State","GA","Category",4,"Category2","Four-Year")</f>
        <v>43186.014888607599</v>
      </c>
      <c r="I225" s="118">
        <f t="shared" si="33"/>
        <v>10</v>
      </c>
      <c r="J225" s="126">
        <f>+GETPIVOTDATA(" Old Undesg. avg",'Averages Pivot Table'!$A$3,"State","GA","Category",4,"Category2","Four-Year")</f>
        <v>47609.981512709222</v>
      </c>
      <c r="K225" s="118">
        <f t="shared" si="34"/>
        <v>5</v>
      </c>
      <c r="L225" s="126">
        <f>+GETPIVOTDATA(" Old All Ranks avg",'Averages Pivot Table'!$A$3,"State","GA","Category",4,"Category2","Four-Year")</f>
        <v>59474.124227744163</v>
      </c>
      <c r="M225" s="118">
        <f t="shared" si="35"/>
        <v>10</v>
      </c>
      <c r="N225" s="126"/>
      <c r="O225" s="126"/>
    </row>
    <row r="226" spans="1:15" ht="12.95" customHeight="1" x14ac:dyDescent="0.25">
      <c r="A226" s="132" t="s">
        <v>209</v>
      </c>
      <c r="B226" s="126">
        <f>+GETPIVOTDATA(" Old Prof avg",'Averages Pivot Table'!$A$3,"State","KY","Category",4,"Category2","Four-Year")</f>
        <v>89722.689160360358</v>
      </c>
      <c r="C226" s="118">
        <f t="shared" si="36"/>
        <v>2</v>
      </c>
      <c r="D226" s="126">
        <f>+GETPIVOTDATA(" Old Asc. avg",'Averages Pivot Table'!$A$3,"State","KY","Category",4,"Category2","Four-Year")</f>
        <v>66698.789339583323</v>
      </c>
      <c r="E226" s="118">
        <f t="shared" si="36"/>
        <v>6</v>
      </c>
      <c r="F226" s="126">
        <f>+GETPIVOTDATA(" Old Ast. avg",'Averages Pivot Table'!$A$3,"State","KY","Category",4,"Category2","Four-Year")</f>
        <v>58875.751162105262</v>
      </c>
      <c r="G226" s="118">
        <f t="shared" si="32"/>
        <v>6</v>
      </c>
      <c r="H226" s="126">
        <f>+GETPIVOTDATA(" Old Inst. avg",'Averages Pivot Table'!$A$3,"State","KY","Category",4,"Category2","Four-Year")</f>
        <v>43837.6633</v>
      </c>
      <c r="I226" s="118">
        <f t="shared" si="33"/>
        <v>9</v>
      </c>
      <c r="J226" s="126">
        <f>+GETPIVOTDATA(" Old Undesg. avg",'Averages Pivot Table'!$A$3,"State","KY","Category",4,"Category2","Four-Year")</f>
        <v>44473.221907692307</v>
      </c>
      <c r="K226" s="118">
        <f t="shared" si="34"/>
        <v>7</v>
      </c>
      <c r="L226" s="126">
        <f>+GETPIVOTDATA(" Old All Ranks avg",'Averages Pivot Table'!$A$3,"State","KY","Category",4,"Category2","Four-Year")</f>
        <v>62844.843185015299</v>
      </c>
      <c r="M226" s="118">
        <f t="shared" si="35"/>
        <v>8</v>
      </c>
      <c r="N226" s="126"/>
      <c r="O226" s="126"/>
    </row>
    <row r="227" spans="1:15" ht="12.95" customHeight="1" x14ac:dyDescent="0.25">
      <c r="A227" s="132" t="s">
        <v>210</v>
      </c>
      <c r="B227" s="126">
        <f>+GETPIVOTDATA(" Old Prof avg",'Averages Pivot Table'!$A$3,"State","LA","Category",4,"Category2","Four-Year")</f>
        <v>72272.364383064516</v>
      </c>
      <c r="C227" s="118">
        <f t="shared" si="36"/>
        <v>11</v>
      </c>
      <c r="D227" s="126">
        <f>+GETPIVOTDATA(" Old Asc. avg",'Averages Pivot Table'!$A$3,"State","LA","Category",4,"Category2","Four-Year")</f>
        <v>59278.728357491294</v>
      </c>
      <c r="E227" s="118">
        <f t="shared" si="36"/>
        <v>11</v>
      </c>
      <c r="F227" s="126">
        <f>+GETPIVOTDATA(" Old Ast. avg",'Averages Pivot Table'!$A$3,"State","LA","Category",4,"Category2","Four-Year")</f>
        <v>51669.645381096409</v>
      </c>
      <c r="G227" s="118">
        <f t="shared" si="32"/>
        <v>11</v>
      </c>
      <c r="H227" s="126">
        <f>+GETPIVOTDATA(" Old Inst. avg",'Averages Pivot Table'!$A$3,"State","LA","Category",4,"Category2","Four-Year")</f>
        <v>40891.092090178572</v>
      </c>
      <c r="I227" s="118">
        <f t="shared" si="33"/>
        <v>12</v>
      </c>
      <c r="J227" s="126">
        <f>+GETPIVOTDATA(" Old Undesg. avg",'Averages Pivot Table'!$A$3,"State","LA","Category",4,"Category2","Four-Year")</f>
        <v>47615.952622222219</v>
      </c>
      <c r="K227" s="118">
        <f t="shared" si="34"/>
        <v>4</v>
      </c>
      <c r="L227" s="126">
        <f>+GETPIVOTDATA(" Old All Ranks avg",'Averages Pivot Table'!$A$3,"State","LA","Category",4,"Category2","Four-Year")</f>
        <v>55296.592518022815</v>
      </c>
      <c r="M227" s="118">
        <f t="shared" si="35"/>
        <v>11</v>
      </c>
      <c r="N227" s="126"/>
      <c r="O227" s="126"/>
    </row>
    <row r="228" spans="1:15" ht="12.95" customHeight="1" x14ac:dyDescent="0.25">
      <c r="A228" s="132" t="s">
        <v>211</v>
      </c>
      <c r="B228" s="126">
        <f>+GETPIVOTDATA(" Old Prof avg",'Averages Pivot Table'!$A$3,"State","MD","Category",4,"Category2","Four-Year")</f>
        <v>91892.37147647058</v>
      </c>
      <c r="C228" s="118">
        <f t="shared" si="36"/>
        <v>1</v>
      </c>
      <c r="D228" s="126">
        <f>+GETPIVOTDATA(" Old Asc. avg",'Averages Pivot Table'!$A$3,"State","MD","Category",4,"Category2","Four-Year")</f>
        <v>73598.272450303033</v>
      </c>
      <c r="E228" s="118">
        <f t="shared" si="36"/>
        <v>2</v>
      </c>
      <c r="F228" s="126">
        <f>+GETPIVOTDATA(" Old Ast. avg",'Averages Pivot Table'!$A$3,"State","MD","Category",4,"Category2","Four-Year")</f>
        <v>64489.254883333335</v>
      </c>
      <c r="G228" s="118">
        <f t="shared" si="32"/>
        <v>2</v>
      </c>
      <c r="H228" s="126">
        <f>+GETPIVOTDATA(" Old Inst. avg",'Averages Pivot Table'!$A$3,"State","MD","Category",4,"Category2","Four-Year")</f>
        <v>58855.126241025646</v>
      </c>
      <c r="I228" s="118">
        <f t="shared" si="33"/>
        <v>1</v>
      </c>
      <c r="J228" s="126">
        <f>+GETPIVOTDATA(" Old Undesg. avg",'Averages Pivot Table'!$A$3,"State","MD","Category",4,"Category2","Four-Year")</f>
        <v>45853.010686324778</v>
      </c>
      <c r="K228" s="118">
        <f t="shared" si="34"/>
        <v>6</v>
      </c>
      <c r="L228" s="126">
        <f>+GETPIVOTDATA(" Old All Ranks avg",'Averages Pivot Table'!$A$3,"State","MD","Category",4,"Category2","Four-Year")</f>
        <v>69478.791378168506</v>
      </c>
      <c r="M228" s="118">
        <f t="shared" si="35"/>
        <v>2</v>
      </c>
      <c r="N228" s="126"/>
      <c r="O228" s="126"/>
    </row>
    <row r="229" spans="1:15" ht="12.95" customHeight="1" x14ac:dyDescent="0.25">
      <c r="A229" s="132"/>
      <c r="B229" s="126"/>
      <c r="C229" s="118">
        <f t="shared" si="36"/>
        <v>0</v>
      </c>
      <c r="D229" s="126"/>
      <c r="E229" s="118">
        <f t="shared" si="36"/>
        <v>0</v>
      </c>
      <c r="F229" s="126"/>
      <c r="G229" s="118">
        <f t="shared" si="32"/>
        <v>0</v>
      </c>
      <c r="H229" s="126"/>
      <c r="I229" s="118">
        <f t="shared" si="33"/>
        <v>0</v>
      </c>
      <c r="J229" s="126"/>
      <c r="K229" s="118">
        <f t="shared" si="34"/>
        <v>0</v>
      </c>
      <c r="L229" s="126"/>
      <c r="M229" s="118">
        <f t="shared" si="35"/>
        <v>0</v>
      </c>
      <c r="N229" s="126"/>
      <c r="O229" s="126"/>
    </row>
    <row r="230" spans="1:15" ht="12.95" customHeight="1" x14ac:dyDescent="0.25">
      <c r="A230" s="132" t="s">
        <v>212</v>
      </c>
      <c r="B230" s="126">
        <f>+GETPIVOTDATA(" Old Prof avg",'Averages Pivot Table'!$A$3,"State","MS","Category",4,"Category2","Four-Year")</f>
        <v>66235.84277517072</v>
      </c>
      <c r="C230" s="118">
        <f t="shared" si="36"/>
        <v>13</v>
      </c>
      <c r="D230" s="126">
        <f>+GETPIVOTDATA(" Old Asc. avg",'Averages Pivot Table'!$A$3,"State","MS","Category",4,"Category2","Four-Year")</f>
        <v>58236.514973368423</v>
      </c>
      <c r="E230" s="118">
        <f t="shared" si="36"/>
        <v>12</v>
      </c>
      <c r="F230" s="126">
        <f>+GETPIVOTDATA(" Old Ast. avg",'Averages Pivot Table'!$A$3,"State","MS","Category",4,"Category2","Four-Year")</f>
        <v>50802.034439736533</v>
      </c>
      <c r="G230" s="118">
        <f t="shared" si="32"/>
        <v>12</v>
      </c>
      <c r="H230" s="126">
        <f>+GETPIVOTDATA(" Old Inst. avg",'Averages Pivot Table'!$A$3,"State","MS","Category",4,"Category2","Four-Year")</f>
        <v>42602.040884412701</v>
      </c>
      <c r="I230" s="118">
        <f t="shared" si="33"/>
        <v>11</v>
      </c>
      <c r="J230" s="126">
        <f>+GETPIVOTDATA(" Old Undesg. avg",'Averages Pivot Table'!$A$3,"State","MS","Category",4,"Category2","Four-Year")</f>
        <v>0</v>
      </c>
      <c r="K230" s="118">
        <f t="shared" si="34"/>
        <v>0</v>
      </c>
      <c r="L230" s="126">
        <f>+GETPIVOTDATA(" Old All Ranks avg",'Averages Pivot Table'!$A$3,"State","MS","Category",4,"Category2","Four-Year")</f>
        <v>53010.426824948874</v>
      </c>
      <c r="M230" s="118">
        <f t="shared" si="35"/>
        <v>12</v>
      </c>
      <c r="N230" s="126"/>
      <c r="O230" s="126"/>
    </row>
    <row r="231" spans="1:15" ht="12.95" customHeight="1" x14ac:dyDescent="0.25">
      <c r="A231" s="132" t="s">
        <v>213</v>
      </c>
      <c r="B231" s="126">
        <f>+GETPIVOTDATA(" Old Prof avg",'Averages Pivot Table'!$A$3,"State","NC","Category",4,"Category2","Four-Year")</f>
        <v>85931.190300000002</v>
      </c>
      <c r="C231" s="118">
        <f t="shared" si="36"/>
        <v>5</v>
      </c>
      <c r="D231" s="126">
        <f>+GETPIVOTDATA(" Old Asc. avg",'Averages Pivot Table'!$A$3,"State","NC","Category",4,"Category2","Four-Year")</f>
        <v>73744.370292682928</v>
      </c>
      <c r="E231" s="118">
        <f t="shared" si="36"/>
        <v>1</v>
      </c>
      <c r="F231" s="126">
        <f>+GETPIVOTDATA(" Old Ast. avg",'Averages Pivot Table'!$A$3,"State","NC","Category",4,"Category2","Four-Year")</f>
        <v>63419.665517431196</v>
      </c>
      <c r="G231" s="118">
        <f t="shared" si="32"/>
        <v>3</v>
      </c>
      <c r="H231" s="126">
        <f>+GETPIVOTDATA(" Old Inst. avg",'Averages Pivot Table'!$A$3,"State","NC","Category",4,"Category2","Four-Year")</f>
        <v>58771</v>
      </c>
      <c r="I231" s="118">
        <f t="shared" si="33"/>
        <v>2</v>
      </c>
      <c r="J231" s="126">
        <f>+GETPIVOTDATA(" Old Undesg. avg",'Averages Pivot Table'!$A$3,"State","NC","Category",4,"Category2","Four-Year")</f>
        <v>53427</v>
      </c>
      <c r="K231" s="118">
        <f t="shared" si="34"/>
        <v>3</v>
      </c>
      <c r="L231" s="126">
        <f>+GETPIVOTDATA(" Old All Ranks avg",'Averages Pivot Table'!$A$3,"State","NC","Category",4,"Category2","Four-Year")</f>
        <v>68710.412558122742</v>
      </c>
      <c r="M231" s="118">
        <f t="shared" si="35"/>
        <v>3</v>
      </c>
      <c r="N231" s="126"/>
      <c r="O231" s="126"/>
    </row>
    <row r="232" spans="1:15" ht="12.95" customHeight="1" x14ac:dyDescent="0.25">
      <c r="A232" s="132" t="s">
        <v>214</v>
      </c>
      <c r="B232" s="126">
        <f>+GETPIVOTDATA(" Old Prof avg",'Averages Pivot Table'!$A$3,"State","OK","Category",4,"Category2","Four-Year")</f>
        <v>0</v>
      </c>
      <c r="C232" s="118">
        <f t="shared" si="36"/>
        <v>0</v>
      </c>
      <c r="D232" s="126">
        <f>+GETPIVOTDATA(" Old Asc. avg",'Averages Pivot Table'!$A$3,"State","OK","Category",4,"Category2","Four-Year")</f>
        <v>0</v>
      </c>
      <c r="E232" s="118">
        <f t="shared" si="36"/>
        <v>0</v>
      </c>
      <c r="F232" s="126">
        <f>+GETPIVOTDATA(" Old Ast. avg",'Averages Pivot Table'!$A$3,"State","OK","Category",4,"Category2","Four-Year")</f>
        <v>0</v>
      </c>
      <c r="G232" s="118">
        <f t="shared" si="32"/>
        <v>0</v>
      </c>
      <c r="H232" s="126">
        <f>+GETPIVOTDATA(" Old Inst. avg",'Averages Pivot Table'!$A$3,"State","OK","Category",4,"Category2","Four-Year")</f>
        <v>0</v>
      </c>
      <c r="I232" s="118">
        <f t="shared" si="33"/>
        <v>0</v>
      </c>
      <c r="J232" s="126">
        <f>+GETPIVOTDATA(" Old Undesg. avg",'Averages Pivot Table'!$A$3,"State","OK","Category",4,"Category2","Four-Year")</f>
        <v>0</v>
      </c>
      <c r="K232" s="118">
        <f t="shared" si="34"/>
        <v>0</v>
      </c>
      <c r="L232" s="126">
        <f>+GETPIVOTDATA(" Old All Ranks avg",'Averages Pivot Table'!$A$3,"State","OK","Category",4,"Category2","Four-Year")</f>
        <v>0</v>
      </c>
      <c r="M232" s="118">
        <f t="shared" si="35"/>
        <v>0</v>
      </c>
      <c r="N232" s="126"/>
      <c r="O232" s="126"/>
    </row>
    <row r="233" spans="1:15" ht="12.95" customHeight="1" x14ac:dyDescent="0.25">
      <c r="A233" s="132" t="s">
        <v>215</v>
      </c>
      <c r="B233" s="126">
        <f>+GETPIVOTDATA(" Old Prof avg",'Averages Pivot Table'!$A$3,"State","SC","Category",4,"Category2","Four-Year")</f>
        <v>84252.528301886792</v>
      </c>
      <c r="C233" s="118">
        <f t="shared" si="36"/>
        <v>6</v>
      </c>
      <c r="D233" s="126">
        <f>+GETPIVOTDATA(" Old Asc. avg",'Averages Pivot Table'!$A$3,"State","SC","Category",4,"Category2","Four-Year")</f>
        <v>67878.850980392148</v>
      </c>
      <c r="E233" s="118">
        <f t="shared" si="36"/>
        <v>5</v>
      </c>
      <c r="F233" s="126">
        <f>+GETPIVOTDATA(" Old Ast. avg",'Averages Pivot Table'!$A$3,"State","SC","Category",4,"Category2","Four-Year")</f>
        <v>56117.015625</v>
      </c>
      <c r="G233" s="118">
        <f t="shared" si="32"/>
        <v>8</v>
      </c>
      <c r="H233" s="126">
        <f>+GETPIVOTDATA(" Old Inst. avg",'Averages Pivot Table'!$A$3,"State","SC","Category",4,"Category2","Four-Year")</f>
        <v>49000</v>
      </c>
      <c r="I233" s="118">
        <f t="shared" si="33"/>
        <v>5</v>
      </c>
      <c r="J233" s="126">
        <f>+GETPIVOTDATA(" Old Undesg. avg",'Averages Pivot Table'!$A$3,"State","SC","Category",4,"Category2","Four-Year")</f>
        <v>0</v>
      </c>
      <c r="K233" s="118">
        <f t="shared" si="34"/>
        <v>0</v>
      </c>
      <c r="L233" s="126">
        <f>+GETPIVOTDATA(" Old All Ranks avg",'Averages Pivot Table'!$A$3,"State","SC","Category",4,"Category2","Four-Year")</f>
        <v>68333.49647058823</v>
      </c>
      <c r="M233" s="118">
        <f t="shared" si="35"/>
        <v>4</v>
      </c>
      <c r="N233" s="126"/>
      <c r="O233" s="126"/>
    </row>
    <row r="234" spans="1:15" ht="12.95" customHeight="1" x14ac:dyDescent="0.25">
      <c r="A234" s="132"/>
      <c r="B234" s="126"/>
      <c r="C234" s="118">
        <f t="shared" si="36"/>
        <v>0</v>
      </c>
      <c r="D234" s="126"/>
      <c r="E234" s="118">
        <f t="shared" si="36"/>
        <v>0</v>
      </c>
      <c r="F234" s="126"/>
      <c r="G234" s="118">
        <f t="shared" si="32"/>
        <v>0</v>
      </c>
      <c r="H234" s="126"/>
      <c r="I234" s="118">
        <f t="shared" si="33"/>
        <v>0</v>
      </c>
      <c r="J234" s="126"/>
      <c r="K234" s="118">
        <f t="shared" si="34"/>
        <v>0</v>
      </c>
      <c r="L234" s="126"/>
      <c r="M234" s="118">
        <f t="shared" si="35"/>
        <v>0</v>
      </c>
      <c r="N234" s="126"/>
      <c r="O234" s="126"/>
    </row>
    <row r="235" spans="1:15" ht="12.95" customHeight="1" x14ac:dyDescent="0.25">
      <c r="A235" s="132" t="s">
        <v>216</v>
      </c>
      <c r="B235" s="563">
        <f>+GETPIVOTDATA(" Old Prof avg",'Averages Pivot Table'!$A$3,"State","TN","Category",4,"Category2","Four-Year")</f>
        <v>0</v>
      </c>
      <c r="C235" s="118">
        <f t="shared" si="36"/>
        <v>0</v>
      </c>
      <c r="D235" s="563">
        <f>+GETPIVOTDATA(" Old Asc. avg",'Averages Pivot Table'!$A$3,"State","TN","Category",4,"Category2","Four-Year")</f>
        <v>0</v>
      </c>
      <c r="E235" s="118">
        <f t="shared" si="36"/>
        <v>0</v>
      </c>
      <c r="F235" s="563">
        <f>+GETPIVOTDATA(" Old Ast. avg",'Averages Pivot Table'!$A$3,"State","TN","Category",4,"Category2","Four-Year")</f>
        <v>0</v>
      </c>
      <c r="G235" s="118">
        <f t="shared" si="32"/>
        <v>0</v>
      </c>
      <c r="H235" s="563">
        <f>+GETPIVOTDATA(" Old Inst. avg",'Averages Pivot Table'!$A$3,"State","TN","Category",4,"Category2","Four-Year")</f>
        <v>0</v>
      </c>
      <c r="I235" s="118">
        <f t="shared" si="33"/>
        <v>0</v>
      </c>
      <c r="J235" s="563">
        <f>+GETPIVOTDATA(" Old Undesg. avg",'Averages Pivot Table'!$A$3,"State","TN","Category",4,"Category2","Four-Year")</f>
        <v>0</v>
      </c>
      <c r="K235" s="118">
        <f t="shared" si="34"/>
        <v>0</v>
      </c>
      <c r="L235" s="563">
        <f>+GETPIVOTDATA(" Old All Ranks avg",'Averages Pivot Table'!$A$3,"State","TN","Category",4,"Category2","Four-Year")</f>
        <v>0</v>
      </c>
      <c r="M235" s="118">
        <f t="shared" si="35"/>
        <v>0</v>
      </c>
      <c r="N235" s="126"/>
      <c r="O235" s="126"/>
    </row>
    <row r="236" spans="1:15" ht="12.95" customHeight="1" x14ac:dyDescent="0.25">
      <c r="A236" s="132" t="s">
        <v>217</v>
      </c>
      <c r="B236" s="563">
        <f>+GETPIVOTDATA(" Old Prof avg",'Averages Pivot Table'!$A$3,"State","TX","Category",4,"Category2","Four-Year")</f>
        <v>88824.555361538456</v>
      </c>
      <c r="C236" s="118">
        <f t="shared" si="36"/>
        <v>3</v>
      </c>
      <c r="D236" s="563">
        <f>+GETPIVOTDATA(" Old Asc. avg",'Averages Pivot Table'!$A$3,"State","TX","Category",4,"Category2","Four-Year")</f>
        <v>72517.056603773584</v>
      </c>
      <c r="E236" s="118">
        <f t="shared" si="36"/>
        <v>3</v>
      </c>
      <c r="F236" s="563">
        <f>+GETPIVOTDATA(" Old Ast. avg",'Averages Pivot Table'!$A$3,"State","TX","Category",4,"Category2","Four-Year")</f>
        <v>67074.938775510207</v>
      </c>
      <c r="G236" s="118">
        <f t="shared" si="32"/>
        <v>1</v>
      </c>
      <c r="H236" s="563">
        <f>+GETPIVOTDATA(" Old Inst. avg",'Averages Pivot Table'!$A$3,"State","TX","Category",4,"Category2","Four-Year")</f>
        <v>45691.972727272725</v>
      </c>
      <c r="I236" s="118">
        <f t="shared" si="33"/>
        <v>6</v>
      </c>
      <c r="J236" s="563">
        <f>+GETPIVOTDATA(" Old Undesg. avg",'Averages Pivot Table'!$A$3,"State","TX","Category",4,"Category2","Four-Year")</f>
        <v>59072.076923076922</v>
      </c>
      <c r="K236" s="118">
        <f t="shared" si="34"/>
        <v>2</v>
      </c>
      <c r="L236" s="563">
        <f>+GETPIVOTDATA(" Old All Ranks avg",'Averages Pivot Table'!$A$3,"State","TX","Category",4,"Category2","Four-Year")</f>
        <v>76864.177408988762</v>
      </c>
      <c r="M236" s="118">
        <f t="shared" si="35"/>
        <v>1</v>
      </c>
      <c r="N236" s="126"/>
      <c r="O236" s="126"/>
    </row>
    <row r="237" spans="1:15" ht="12.95" customHeight="1" x14ac:dyDescent="0.25">
      <c r="A237" s="132" t="s">
        <v>218</v>
      </c>
      <c r="B237" s="563">
        <f>+GETPIVOTDATA(" Old Prof avg",'Averages Pivot Table'!$A$3,"State","VA","Category",4,"Category2","Four-Year")</f>
        <v>77045.231320731706</v>
      </c>
      <c r="C237" s="118">
        <f t="shared" si="36"/>
        <v>10</v>
      </c>
      <c r="D237" s="563">
        <f>+GETPIVOTDATA(" Old Asc. avg",'Averages Pivot Table'!$A$3,"State","VA","Category",4,"Category2","Four-Year")</f>
        <v>64667.430417204305</v>
      </c>
      <c r="E237" s="118">
        <f t="shared" si="36"/>
        <v>8</v>
      </c>
      <c r="F237" s="563">
        <f>+GETPIVOTDATA(" Old Ast. avg",'Averages Pivot Table'!$A$3,"State","VA","Category",4,"Category2","Four-Year")</f>
        <v>59925.404501851852</v>
      </c>
      <c r="G237" s="118">
        <f t="shared" si="32"/>
        <v>4</v>
      </c>
      <c r="H237" s="563">
        <f>+GETPIVOTDATA(" Old Inst. avg",'Averages Pivot Table'!$A$3,"State","VA","Category",4,"Category2","Four-Year")</f>
        <v>49267.273852054794</v>
      </c>
      <c r="I237" s="118">
        <f t="shared" si="33"/>
        <v>4</v>
      </c>
      <c r="J237" s="563">
        <f>+GETPIVOTDATA(" Old Undesg. avg",'Averages Pivot Table'!$A$3,"State","VA","Category",4,"Category2","Four-Year")</f>
        <v>41342.827799999999</v>
      </c>
      <c r="K237" s="118">
        <f t="shared" si="34"/>
        <v>9</v>
      </c>
      <c r="L237" s="563">
        <f>+GETPIVOTDATA(" Old All Ranks avg",'Averages Pivot Table'!$A$3,"State","VA","Category",4,"Category2","Four-Year")</f>
        <v>64445.783102499998</v>
      </c>
      <c r="M237" s="118">
        <f t="shared" si="35"/>
        <v>6</v>
      </c>
      <c r="N237" s="126"/>
      <c r="O237" s="126"/>
    </row>
    <row r="238" spans="1:15" ht="12.95" customHeight="1" x14ac:dyDescent="0.25">
      <c r="A238" s="6" t="s">
        <v>219</v>
      </c>
      <c r="B238" s="566">
        <f>+GETPIVOTDATA(" Old Prof avg",'Averages Pivot Table'!$A$3,"State","WV","Category",4,"Category2","Four-Year")</f>
        <v>0</v>
      </c>
      <c r="C238" s="119">
        <f t="shared" si="36"/>
        <v>0</v>
      </c>
      <c r="D238" s="566">
        <f>+GETPIVOTDATA(" Old Asc. avg",'Averages Pivot Table'!$A$3,"State","WV","Category",4,"Category2","Four-Year")</f>
        <v>0</v>
      </c>
      <c r="E238" s="119">
        <f t="shared" si="36"/>
        <v>0</v>
      </c>
      <c r="F238" s="566">
        <f>+GETPIVOTDATA(" Old Ast. avg",'Averages Pivot Table'!$A$3,"State","WV","Category",4,"Category2","Four-Year")</f>
        <v>0</v>
      </c>
      <c r="G238" s="119">
        <f t="shared" si="32"/>
        <v>0</v>
      </c>
      <c r="H238" s="566">
        <f>+GETPIVOTDATA(" Old Inst. avg",'Averages Pivot Table'!$A$3,"State","WV","Category",4,"Category2","Four-Year")</f>
        <v>0</v>
      </c>
      <c r="I238" s="119">
        <f t="shared" si="33"/>
        <v>0</v>
      </c>
      <c r="J238" s="566">
        <f>+GETPIVOTDATA(" Old Undesg. avg",'Averages Pivot Table'!$A$3,"State","WV","Category",4,"Category2","Four-Year")</f>
        <v>0</v>
      </c>
      <c r="K238" s="119">
        <f t="shared" si="34"/>
        <v>0</v>
      </c>
      <c r="L238" s="566">
        <f>+GETPIVOTDATA(" Old All Ranks avg",'Averages Pivot Table'!$A$3,"State","WV","Category",4,"Category2","Four-Year")</f>
        <v>0</v>
      </c>
      <c r="M238" s="119">
        <f t="shared" si="35"/>
        <v>0</v>
      </c>
      <c r="N238" s="126"/>
      <c r="O238" s="126"/>
    </row>
    <row r="239" spans="1:15" ht="30" customHeight="1" x14ac:dyDescent="0.25">
      <c r="A239" s="672" t="s">
        <v>91</v>
      </c>
      <c r="B239" s="680"/>
      <c r="C239" s="680"/>
      <c r="D239" s="680"/>
      <c r="E239" s="680"/>
      <c r="F239" s="680"/>
      <c r="G239" s="680"/>
      <c r="H239" s="680"/>
      <c r="I239" s="680"/>
      <c r="J239" s="680"/>
      <c r="K239" s="680"/>
      <c r="L239" s="680"/>
      <c r="M239" s="680"/>
      <c r="N239" s="132"/>
      <c r="O239" s="132"/>
    </row>
    <row r="240" spans="1:15" x14ac:dyDescent="0.25">
      <c r="M240" s="157" t="s">
        <v>1083</v>
      </c>
      <c r="O240" s="131"/>
    </row>
    <row r="241" spans="1:19" ht="18" x14ac:dyDescent="0.25">
      <c r="A241" s="544" t="s">
        <v>267</v>
      </c>
      <c r="B241" s="544"/>
      <c r="C241" s="544"/>
      <c r="D241" s="544"/>
      <c r="E241" s="544"/>
      <c r="F241" s="544"/>
      <c r="G241" s="544"/>
      <c r="H241" s="544"/>
      <c r="I241" s="544"/>
      <c r="J241" s="544"/>
      <c r="K241" s="544"/>
      <c r="L241" s="544"/>
      <c r="M241" s="544"/>
      <c r="N241" s="100"/>
      <c r="O241" s="100"/>
    </row>
    <row r="242" spans="1:19" x14ac:dyDescent="0.25">
      <c r="A242" s="588"/>
      <c r="B242" s="93"/>
      <c r="C242" s="93"/>
      <c r="D242" s="93"/>
      <c r="E242" s="93"/>
      <c r="F242" s="93"/>
      <c r="G242" s="93"/>
      <c r="H242" s="93"/>
      <c r="I242" s="93"/>
      <c r="J242" s="93"/>
      <c r="K242" s="93"/>
      <c r="L242" s="93"/>
      <c r="M242" s="93"/>
      <c r="N242" s="93"/>
      <c r="O242" s="93"/>
    </row>
    <row r="243" spans="1:19" x14ac:dyDescent="0.25">
      <c r="A243" s="665" t="s">
        <v>220</v>
      </c>
      <c r="B243" s="665"/>
      <c r="C243" s="665"/>
      <c r="D243" s="665"/>
      <c r="E243" s="665"/>
      <c r="F243" s="665"/>
      <c r="G243" s="665"/>
      <c r="H243" s="665"/>
      <c r="I243" s="665"/>
      <c r="J243" s="665"/>
      <c r="K243" s="665"/>
      <c r="L243" s="665"/>
      <c r="M243" s="665"/>
      <c r="N243" s="128"/>
      <c r="O243" s="128"/>
    </row>
    <row r="244" spans="1:19" x14ac:dyDescent="0.25">
      <c r="A244" s="665" t="s">
        <v>313</v>
      </c>
      <c r="B244" s="665"/>
      <c r="C244" s="665"/>
      <c r="D244" s="665"/>
      <c r="E244" s="665"/>
      <c r="F244" s="665"/>
      <c r="G244" s="665"/>
      <c r="H244" s="665"/>
      <c r="I244" s="665"/>
      <c r="J244" s="665"/>
      <c r="K244" s="665"/>
      <c r="L244" s="665"/>
      <c r="M244" s="665"/>
      <c r="N244" s="128"/>
      <c r="O244" s="128"/>
    </row>
    <row r="245" spans="1:19" x14ac:dyDescent="0.25">
      <c r="A245" s="93"/>
      <c r="B245" s="93"/>
      <c r="C245" s="93"/>
      <c r="D245" s="93"/>
      <c r="E245" s="93"/>
      <c r="F245" s="93"/>
      <c r="G245" s="93"/>
      <c r="H245" s="93"/>
      <c r="I245" s="93"/>
      <c r="J245" s="93"/>
      <c r="K245" s="93"/>
      <c r="L245" s="93"/>
      <c r="M245" s="93"/>
      <c r="N245" s="129" t="s">
        <v>223</v>
      </c>
      <c r="O245" s="129"/>
    </row>
    <row r="246" spans="1:19" ht="31.5" customHeight="1" x14ac:dyDescent="0.25">
      <c r="A246" s="547"/>
      <c r="B246" s="589" t="s">
        <v>99</v>
      </c>
      <c r="C246" s="142"/>
      <c r="D246" s="590" t="s">
        <v>100</v>
      </c>
      <c r="E246" s="591"/>
      <c r="F246" s="590" t="s">
        <v>101</v>
      </c>
      <c r="G246" s="591"/>
      <c r="H246" s="589" t="s">
        <v>102</v>
      </c>
      <c r="I246" s="142"/>
      <c r="J246" s="590" t="s">
        <v>226</v>
      </c>
      <c r="K246" s="591"/>
      <c r="L246" s="142" t="s">
        <v>84</v>
      </c>
      <c r="M246" s="142"/>
      <c r="N246" s="129" t="s">
        <v>223</v>
      </c>
      <c r="O246" s="129"/>
    </row>
    <row r="247" spans="1:19" x14ac:dyDescent="0.25">
      <c r="A247" s="551"/>
      <c r="B247" s="115" t="s">
        <v>103</v>
      </c>
      <c r="C247" s="143" t="s">
        <v>193</v>
      </c>
      <c r="D247" s="115" t="s">
        <v>103</v>
      </c>
      <c r="E247" s="143" t="s">
        <v>193</v>
      </c>
      <c r="F247" s="115" t="s">
        <v>103</v>
      </c>
      <c r="G247" s="143" t="s">
        <v>193</v>
      </c>
      <c r="H247" s="115" t="s">
        <v>103</v>
      </c>
      <c r="I247" s="143" t="s">
        <v>193</v>
      </c>
      <c r="J247" s="115" t="s">
        <v>103</v>
      </c>
      <c r="K247" s="143" t="s">
        <v>193</v>
      </c>
      <c r="L247" s="115" t="s">
        <v>103</v>
      </c>
      <c r="M247" s="143" t="s">
        <v>193</v>
      </c>
      <c r="N247" s="129" t="s">
        <v>223</v>
      </c>
      <c r="O247" s="129"/>
    </row>
    <row r="248" spans="1:19" s="556" customFormat="1" ht="18" customHeight="1" x14ac:dyDescent="0.25">
      <c r="A248" s="554" t="s">
        <v>222</v>
      </c>
      <c r="B248" s="146">
        <f>+GETPIVOTDATA(" Old Prof avg",'Averages Pivot Table'!$A$3,"Category",5,"Category2","Four-Year")</f>
        <v>76418.573802389088</v>
      </c>
      <c r="C248" s="146"/>
      <c r="D248" s="146">
        <f>+GETPIVOTDATA(" Old Asc. avg",'Averages Pivot Table'!$A$3,"Category",5,"Category2","Four-Year")</f>
        <v>63655.17663658518</v>
      </c>
      <c r="E248" s="146"/>
      <c r="F248" s="146">
        <f>+GETPIVOTDATA(" Old Ast. avg",'Averages Pivot Table'!$A$3,"Category",5,"Category2","Four-Year")</f>
        <v>54179.378735377657</v>
      </c>
      <c r="G248" s="146"/>
      <c r="H248" s="146">
        <f>+GETPIVOTDATA(" Old Inst. avg",'Averages Pivot Table'!$A$3,"Category",5,"Category2","Four-Year")</f>
        <v>44983.085352494294</v>
      </c>
      <c r="I248" s="146"/>
      <c r="J248" s="146">
        <f>+GETPIVOTDATA(" Old Undesg. avg",'Averages Pivot Table'!$A$3,"Category",5,"Category2","Four-Year")</f>
        <v>44679.64272302483</v>
      </c>
      <c r="K248" s="146"/>
      <c r="L248" s="146">
        <f>+GETPIVOTDATA(" Old All Ranks avg",'Averages Pivot Table'!$A$3,"Category",5,"Category2","Four-Year")</f>
        <v>59803.985499071277</v>
      </c>
      <c r="M248" s="149"/>
      <c r="N248" s="141"/>
      <c r="O248" s="141"/>
      <c r="Q248" s="558"/>
      <c r="R248" s="558"/>
      <c r="S248" s="558"/>
    </row>
    <row r="249" spans="1:19" ht="12.95" customHeight="1" x14ac:dyDescent="0.25">
      <c r="A249" s="132"/>
      <c r="B249" s="123"/>
      <c r="C249" s="150"/>
      <c r="D249" s="123"/>
      <c r="E249" s="150"/>
      <c r="F249" s="123"/>
      <c r="G249" s="150"/>
      <c r="H249" s="123"/>
      <c r="I249" s="150"/>
      <c r="J249" s="123"/>
      <c r="K249" s="150"/>
      <c r="L249" s="123"/>
      <c r="M249" s="150"/>
      <c r="N249" s="123"/>
      <c r="O249" s="134"/>
    </row>
    <row r="250" spans="1:19" ht="12.95" customHeight="1" x14ac:dyDescent="0.25">
      <c r="A250" s="132" t="s">
        <v>205</v>
      </c>
      <c r="B250" s="126">
        <f>+GETPIVOTDATA(" Old Prof avg",'Averages Pivot Table'!$A$3,"State","AL","Category",5,"Category2","Four-Year")</f>
        <v>69562.213114754093</v>
      </c>
      <c r="C250" s="118">
        <f>IF(B250&gt;0,(RANK(B250,B$250:B$268)),0)</f>
        <v>8</v>
      </c>
      <c r="D250" s="126">
        <f>+GETPIVOTDATA(" Old Asc. avg",'Averages Pivot Table'!$A$3,"State","AL","Category",5,"Category2","Four-Year")</f>
        <v>61738.878787878784</v>
      </c>
      <c r="E250" s="118">
        <f>IF(D250&gt;0,(RANK(D250,D$250:D$268)),0)</f>
        <v>5</v>
      </c>
      <c r="F250" s="126">
        <f>+GETPIVOTDATA(" Old Ast. avg",'Averages Pivot Table'!$A$3,"State","AL","Category",5,"Category2","Four-Year")</f>
        <v>49430.659793814433</v>
      </c>
      <c r="G250" s="118">
        <f t="shared" ref="G250:G268" si="37">IF(F250&gt;0,(RANK(F250,F$250:F$268)),0)</f>
        <v>9</v>
      </c>
      <c r="H250" s="126">
        <f>+GETPIVOTDATA(" Old Inst. avg",'Averages Pivot Table'!$A$3,"State","AL","Category",5,"Category2","Four-Year")</f>
        <v>41600.083333333336</v>
      </c>
      <c r="I250" s="118">
        <f t="shared" ref="I250:I268" si="38">IF(H250&gt;0,(RANK(H250,H$250:H$268)),0)</f>
        <v>9</v>
      </c>
      <c r="J250" s="126">
        <f>+GETPIVOTDATA(" Old Undesg. avg",'Averages Pivot Table'!$A$3,"State","AL","Category",5,"Category2","Four-Year")</f>
        <v>29018.075000000001</v>
      </c>
      <c r="K250" s="118">
        <f t="shared" ref="K250:K268" si="39">IF(J250&gt;0,(RANK(J250,J$250:J$268)),0)</f>
        <v>9</v>
      </c>
      <c r="L250" s="126">
        <f>+GETPIVOTDATA(" Old All Ranks avg",'Averages Pivot Table'!$A$3,"State","AL","Category",5,"Category2","Four-Year")</f>
        <v>56738.445081967213</v>
      </c>
      <c r="M250" s="118">
        <f t="shared" ref="M250:M268" si="40">IF(L250&gt;0,(RANK(L250,L$250:L$268)),0)</f>
        <v>8</v>
      </c>
      <c r="N250" s="126"/>
      <c r="O250" s="129"/>
    </row>
    <row r="251" spans="1:19" ht="12.95" customHeight="1" x14ac:dyDescent="0.25">
      <c r="A251" s="132" t="s">
        <v>206</v>
      </c>
      <c r="B251" s="126">
        <f>+GETPIVOTDATA(" Old Prof avg",'Averages Pivot Table'!$A$3,"State","AR","Category",5,"Category2","Four-Year")</f>
        <v>66335.290869999997</v>
      </c>
      <c r="C251" s="118">
        <f t="shared" ref="C251:E268" si="41">IF(B251&gt;0,(RANK(B251,B$250:B$268)),0)</f>
        <v>10</v>
      </c>
      <c r="D251" s="126">
        <f>+GETPIVOTDATA(" Old Asc. avg",'Averages Pivot Table'!$A$3,"State","AR","Category",5,"Category2","Four-Year")</f>
        <v>57271.987013333339</v>
      </c>
      <c r="E251" s="118">
        <f t="shared" si="41"/>
        <v>10</v>
      </c>
      <c r="F251" s="126">
        <f>+GETPIVOTDATA(" Old Ast. avg",'Averages Pivot Table'!$A$3,"State","AR","Category",5,"Category2","Four-Year")</f>
        <v>46970.310777777777</v>
      </c>
      <c r="G251" s="118">
        <f t="shared" si="37"/>
        <v>11</v>
      </c>
      <c r="H251" s="126">
        <f>+GETPIVOTDATA(" Old Inst. avg",'Averages Pivot Table'!$A$3,"State","AR","Category",5,"Category2","Four-Year")</f>
        <v>40920.753749999996</v>
      </c>
      <c r="I251" s="118">
        <f t="shared" si="38"/>
        <v>10</v>
      </c>
      <c r="J251" s="126">
        <f>+GETPIVOTDATA(" Old Undesg. avg",'Averages Pivot Table'!$A$3,"State","AR","Category",5,"Category2","Four-Year")</f>
        <v>36214.622224390245</v>
      </c>
      <c r="K251" s="118">
        <f t="shared" si="39"/>
        <v>8</v>
      </c>
      <c r="L251" s="126">
        <f>+GETPIVOTDATA(" Old All Ranks avg",'Averages Pivot Table'!$A$3,"State","AR","Category",5,"Category2","Four-Year")</f>
        <v>47699.961701986758</v>
      </c>
      <c r="M251" s="118">
        <f t="shared" si="40"/>
        <v>11</v>
      </c>
      <c r="N251" s="126"/>
      <c r="O251" s="129"/>
    </row>
    <row r="252" spans="1:19" ht="12.95" customHeight="1" x14ac:dyDescent="0.25">
      <c r="A252" s="132" t="s">
        <v>221</v>
      </c>
      <c r="B252" s="126">
        <f>+GETPIVOTDATA(" Old Prof avg",'Averages Pivot Table'!$A$3,"State","DE","Category",5,"Category2","Four-Year")</f>
        <v>0</v>
      </c>
      <c r="C252" s="118">
        <f t="shared" si="41"/>
        <v>0</v>
      </c>
      <c r="D252" s="126">
        <f>+GETPIVOTDATA(" Old Asc. avg",'Averages Pivot Table'!$A$3,"State","DE","Category",5,"Category2","Four-Year")</f>
        <v>0</v>
      </c>
      <c r="E252" s="118">
        <f t="shared" si="41"/>
        <v>0</v>
      </c>
      <c r="F252" s="126">
        <f>+GETPIVOTDATA(" Old Ast. avg",'Averages Pivot Table'!$A$3,"State","DE","Category",5,"Category2","Four-Year")</f>
        <v>0</v>
      </c>
      <c r="G252" s="118">
        <f t="shared" si="37"/>
        <v>0</v>
      </c>
      <c r="H252" s="126">
        <f>+GETPIVOTDATA(" Old Inst. avg",'Averages Pivot Table'!$A$3,"State","DE","Category",5,"Category2","Four-Year")</f>
        <v>0</v>
      </c>
      <c r="I252" s="118">
        <f t="shared" si="38"/>
        <v>0</v>
      </c>
      <c r="J252" s="126">
        <f>+GETPIVOTDATA(" Old Undesg. avg",'Averages Pivot Table'!$A$3,"State","DE","Category",5,"Category2","Four-Year")</f>
        <v>0</v>
      </c>
      <c r="K252" s="118">
        <f t="shared" si="39"/>
        <v>0</v>
      </c>
      <c r="L252" s="126">
        <f>+GETPIVOTDATA(" Old All Ranks avg",'Averages Pivot Table'!$A$3,"State","DE","Category",5,"Category2","Four-Year")</f>
        <v>0</v>
      </c>
      <c r="M252" s="118">
        <f t="shared" si="40"/>
        <v>0</v>
      </c>
      <c r="N252" s="126"/>
      <c r="O252" s="129"/>
    </row>
    <row r="253" spans="1:19" ht="12.95" customHeight="1" x14ac:dyDescent="0.25">
      <c r="A253" s="132" t="s">
        <v>207</v>
      </c>
      <c r="B253" s="126">
        <f>+GETPIVOTDATA(" Old Prof avg",'Averages Pivot Table'!$A$3,"State","FL","Category",5,"Category2","Four-Year")</f>
        <v>0</v>
      </c>
      <c r="C253" s="118">
        <f t="shared" si="41"/>
        <v>0</v>
      </c>
      <c r="D253" s="126">
        <f>+GETPIVOTDATA(" Old Asc. avg",'Averages Pivot Table'!$A$3,"State","FL","Category",5,"Category2","Four-Year")</f>
        <v>0</v>
      </c>
      <c r="E253" s="118">
        <f t="shared" si="41"/>
        <v>0</v>
      </c>
      <c r="F253" s="126">
        <f>+GETPIVOTDATA(" Old Ast. avg",'Averages Pivot Table'!$A$3,"State","FL","Category",5,"Category2","Four-Year")</f>
        <v>0</v>
      </c>
      <c r="G253" s="118">
        <f t="shared" si="37"/>
        <v>0</v>
      </c>
      <c r="H253" s="126">
        <f>+GETPIVOTDATA(" Old Inst. avg",'Averages Pivot Table'!$A$3,"State","FL","Category",5,"Category2","Four-Year")</f>
        <v>0</v>
      </c>
      <c r="I253" s="118">
        <f t="shared" si="38"/>
        <v>0</v>
      </c>
      <c r="J253" s="126">
        <f>+GETPIVOTDATA(" Old Undesg. avg",'Averages Pivot Table'!$A$3,"State","FL","Category",5,"Category2","Four-Year")</f>
        <v>0</v>
      </c>
      <c r="K253" s="118">
        <f t="shared" si="39"/>
        <v>0</v>
      </c>
      <c r="L253" s="126">
        <f>+GETPIVOTDATA(" Old All Ranks avg",'Averages Pivot Table'!$A$3,"State","FL","Category",5,"Category2","Four-Year")</f>
        <v>0</v>
      </c>
      <c r="M253" s="118">
        <f t="shared" si="40"/>
        <v>0</v>
      </c>
      <c r="N253" s="126"/>
      <c r="O253" s="129"/>
    </row>
    <row r="254" spans="1:19" ht="12.95" customHeight="1" x14ac:dyDescent="0.25">
      <c r="A254" s="132"/>
      <c r="B254" s="126"/>
      <c r="C254" s="118">
        <f t="shared" si="41"/>
        <v>0</v>
      </c>
      <c r="D254" s="126"/>
      <c r="E254" s="118">
        <f t="shared" si="41"/>
        <v>0</v>
      </c>
      <c r="F254" s="126"/>
      <c r="G254" s="118">
        <f t="shared" si="37"/>
        <v>0</v>
      </c>
      <c r="H254" s="126"/>
      <c r="I254" s="118">
        <f t="shared" si="38"/>
        <v>0</v>
      </c>
      <c r="J254" s="126"/>
      <c r="K254" s="118">
        <f t="shared" si="39"/>
        <v>0</v>
      </c>
      <c r="L254" s="126"/>
      <c r="M254" s="118">
        <f t="shared" si="40"/>
        <v>0</v>
      </c>
      <c r="N254" s="126"/>
      <c r="O254" s="129"/>
    </row>
    <row r="255" spans="1:19" ht="12.95" customHeight="1" x14ac:dyDescent="0.25">
      <c r="A255" s="132" t="s">
        <v>208</v>
      </c>
      <c r="B255" s="126">
        <f>+GETPIVOTDATA(" Old Prof avg",'Averages Pivot Table'!$A$3,"State","GA","Category",5,"Category2","Four-Year")</f>
        <v>76128.232952493621</v>
      </c>
      <c r="C255" s="118">
        <f t="shared" si="41"/>
        <v>5</v>
      </c>
      <c r="D255" s="126">
        <f>+GETPIVOTDATA(" Old Asc. avg",'Averages Pivot Table'!$A$3,"State","GA","Category",5,"Category2","Four-Year")</f>
        <v>60804.073142355068</v>
      </c>
      <c r="E255" s="118">
        <f t="shared" si="41"/>
        <v>7</v>
      </c>
      <c r="F255" s="126">
        <f>+GETPIVOTDATA(" Old Ast. avg",'Averages Pivot Table'!$A$3,"State","GA","Category",5,"Category2","Four-Year")</f>
        <v>52963.541875376883</v>
      </c>
      <c r="G255" s="118">
        <f t="shared" si="37"/>
        <v>6</v>
      </c>
      <c r="H255" s="126">
        <f>+GETPIVOTDATA(" Old Inst. avg",'Averages Pivot Table'!$A$3,"State","GA","Category",5,"Category2","Four-Year")</f>
        <v>42800.056170247932</v>
      </c>
      <c r="I255" s="118">
        <f t="shared" si="38"/>
        <v>7</v>
      </c>
      <c r="J255" s="126">
        <f>+GETPIVOTDATA(" Old Undesg. avg",'Averages Pivot Table'!$A$3,"State","GA","Category",5,"Category2","Four-Year")</f>
        <v>45102.486388888887</v>
      </c>
      <c r="K255" s="118">
        <f t="shared" si="39"/>
        <v>5</v>
      </c>
      <c r="L255" s="126">
        <f>+GETPIVOTDATA(" Old All Ranks avg",'Averages Pivot Table'!$A$3,"State","GA","Category",5,"Category2","Four-Year")</f>
        <v>58237.508542764066</v>
      </c>
      <c r="M255" s="118">
        <f t="shared" si="40"/>
        <v>6</v>
      </c>
      <c r="N255" s="126"/>
      <c r="O255" s="129"/>
    </row>
    <row r="256" spans="1:19" ht="12.95" customHeight="1" x14ac:dyDescent="0.25">
      <c r="A256" s="132" t="s">
        <v>209</v>
      </c>
      <c r="B256" s="126">
        <f>+GETPIVOTDATA(" Old Prof avg",'Averages Pivot Table'!$A$3,"State","KY","Category",5,"Category2","Four-Year")</f>
        <v>0</v>
      </c>
      <c r="C256" s="118">
        <f t="shared" si="41"/>
        <v>0</v>
      </c>
      <c r="D256" s="126">
        <f>+GETPIVOTDATA(" Old Asc. avg",'Averages Pivot Table'!$A$3,"State","KY","Category",5,"Category2","Four-Year")</f>
        <v>0</v>
      </c>
      <c r="E256" s="118">
        <f t="shared" si="41"/>
        <v>0</v>
      </c>
      <c r="F256" s="126">
        <f>+GETPIVOTDATA(" Old Ast. avg",'Averages Pivot Table'!$A$3,"State","KY","Category",5,"Category2","Four-Year")</f>
        <v>0</v>
      </c>
      <c r="G256" s="118">
        <f t="shared" si="37"/>
        <v>0</v>
      </c>
      <c r="H256" s="126">
        <f>+GETPIVOTDATA(" Old Inst. avg",'Averages Pivot Table'!$A$3,"State","KY","Category",5,"Category2","Four-Year")</f>
        <v>0</v>
      </c>
      <c r="I256" s="118">
        <f t="shared" si="38"/>
        <v>0</v>
      </c>
      <c r="J256" s="126">
        <f>+GETPIVOTDATA(" Old Undesg. avg",'Averages Pivot Table'!$A$3,"State","KY","Category",5,"Category2","Four-Year")</f>
        <v>0</v>
      </c>
      <c r="K256" s="118">
        <f t="shared" si="39"/>
        <v>0</v>
      </c>
      <c r="L256" s="126">
        <f>+GETPIVOTDATA(" Old All Ranks avg",'Averages Pivot Table'!$A$3,"State","KY","Category",5,"Category2","Four-Year")</f>
        <v>0</v>
      </c>
      <c r="M256" s="118">
        <f t="shared" si="40"/>
        <v>0</v>
      </c>
      <c r="N256" s="126"/>
      <c r="O256" s="129"/>
    </row>
    <row r="257" spans="1:15" ht="12.95" customHeight="1" x14ac:dyDescent="0.25">
      <c r="A257" s="132" t="s">
        <v>210</v>
      </c>
      <c r="B257" s="126">
        <f>+GETPIVOTDATA(" Old Prof avg",'Averages Pivot Table'!$A$3,"State","LA","Category",5,"Category2","Four-Year")</f>
        <v>0</v>
      </c>
      <c r="C257" s="118">
        <f t="shared" si="41"/>
        <v>0</v>
      </c>
      <c r="D257" s="126">
        <f>+GETPIVOTDATA(" Old Asc. avg",'Averages Pivot Table'!$A$3,"State","LA","Category",5,"Category2","Four-Year")</f>
        <v>0</v>
      </c>
      <c r="E257" s="118">
        <f t="shared" si="41"/>
        <v>0</v>
      </c>
      <c r="F257" s="126">
        <f>+GETPIVOTDATA(" Old Ast. avg",'Averages Pivot Table'!$A$3,"State","LA","Category",5,"Category2","Four-Year")</f>
        <v>0</v>
      </c>
      <c r="G257" s="118">
        <f t="shared" si="37"/>
        <v>0</v>
      </c>
      <c r="H257" s="126">
        <f>+GETPIVOTDATA(" Old Inst. avg",'Averages Pivot Table'!$A$3,"State","LA","Category",5,"Category2","Four-Year")</f>
        <v>0</v>
      </c>
      <c r="I257" s="118">
        <f t="shared" si="38"/>
        <v>0</v>
      </c>
      <c r="J257" s="126">
        <f>+GETPIVOTDATA(" Old Undesg. avg",'Averages Pivot Table'!$A$3,"State","LA","Category",5,"Category2","Four-Year")</f>
        <v>0</v>
      </c>
      <c r="K257" s="118">
        <f t="shared" si="39"/>
        <v>0</v>
      </c>
      <c r="L257" s="126">
        <f>+GETPIVOTDATA(" Old All Ranks avg",'Averages Pivot Table'!$A$3,"State","LA","Category",5,"Category2","Four-Year")</f>
        <v>0</v>
      </c>
      <c r="M257" s="118">
        <f t="shared" si="40"/>
        <v>0</v>
      </c>
      <c r="N257" s="126"/>
      <c r="O257" s="129"/>
    </row>
    <row r="258" spans="1:15" ht="12.95" customHeight="1" x14ac:dyDescent="0.25">
      <c r="A258" s="132" t="s">
        <v>211</v>
      </c>
      <c r="B258" s="126">
        <f>+GETPIVOTDATA(" Old Prof avg",'Averages Pivot Table'!$A$3,"State","MD","Category",5,"Category2","Four-Year")</f>
        <v>0</v>
      </c>
      <c r="C258" s="118">
        <f t="shared" si="41"/>
        <v>0</v>
      </c>
      <c r="D258" s="126">
        <f>+GETPIVOTDATA(" Old Asc. avg",'Averages Pivot Table'!$A$3,"State","MD","Category",5,"Category2","Four-Year")</f>
        <v>0</v>
      </c>
      <c r="E258" s="118">
        <f t="shared" si="41"/>
        <v>0</v>
      </c>
      <c r="F258" s="126">
        <f>+GETPIVOTDATA(" Old Ast. avg",'Averages Pivot Table'!$A$3,"State","MD","Category",5,"Category2","Four-Year")</f>
        <v>0</v>
      </c>
      <c r="G258" s="118">
        <f t="shared" si="37"/>
        <v>0</v>
      </c>
      <c r="H258" s="126">
        <f>+GETPIVOTDATA(" Old Inst. avg",'Averages Pivot Table'!$A$3,"State","MD","Category",5,"Category2","Four-Year")</f>
        <v>0</v>
      </c>
      <c r="I258" s="118">
        <f t="shared" si="38"/>
        <v>0</v>
      </c>
      <c r="J258" s="126">
        <f>+GETPIVOTDATA(" Old Undesg. avg",'Averages Pivot Table'!$A$3,"State","MD","Category",5,"Category2","Four-Year")</f>
        <v>0</v>
      </c>
      <c r="K258" s="118">
        <f t="shared" si="39"/>
        <v>0</v>
      </c>
      <c r="L258" s="126">
        <f>+GETPIVOTDATA(" Old All Ranks avg",'Averages Pivot Table'!$A$3,"State","MD","Category",5,"Category2","Four-Year")</f>
        <v>0</v>
      </c>
      <c r="M258" s="118">
        <f t="shared" si="40"/>
        <v>0</v>
      </c>
      <c r="N258" s="126"/>
      <c r="O258" s="129"/>
    </row>
    <row r="259" spans="1:15" ht="12.95" customHeight="1" x14ac:dyDescent="0.25">
      <c r="A259" s="132"/>
      <c r="B259" s="126"/>
      <c r="C259" s="118">
        <f t="shared" si="41"/>
        <v>0</v>
      </c>
      <c r="D259" s="126"/>
      <c r="E259" s="118">
        <f t="shared" si="41"/>
        <v>0</v>
      </c>
      <c r="F259" s="126"/>
      <c r="G259" s="118">
        <f t="shared" si="37"/>
        <v>0</v>
      </c>
      <c r="H259" s="126"/>
      <c r="I259" s="118">
        <f t="shared" si="38"/>
        <v>0</v>
      </c>
      <c r="J259" s="126"/>
      <c r="K259" s="118">
        <f t="shared" si="39"/>
        <v>0</v>
      </c>
      <c r="L259" s="126"/>
      <c r="M259" s="118">
        <f t="shared" si="40"/>
        <v>0</v>
      </c>
      <c r="N259" s="126"/>
      <c r="O259" s="129"/>
    </row>
    <row r="260" spans="1:15" ht="12.95" customHeight="1" x14ac:dyDescent="0.25">
      <c r="A260" s="132" t="s">
        <v>212</v>
      </c>
      <c r="B260" s="126">
        <f>+GETPIVOTDATA(" Old Prof avg",'Averages Pivot Table'!$A$3,"State","MS","Category",5,"Category2","Four-Year")</f>
        <v>55384.145413481485</v>
      </c>
      <c r="C260" s="118">
        <f t="shared" si="41"/>
        <v>11</v>
      </c>
      <c r="D260" s="126">
        <f>+GETPIVOTDATA(" Old Asc. avg",'Averages Pivot Table'!$A$3,"State","MS","Category",5,"Category2","Four-Year")</f>
        <v>47080.092409999997</v>
      </c>
      <c r="E260" s="118">
        <f t="shared" si="41"/>
        <v>11</v>
      </c>
      <c r="F260" s="126">
        <f>+GETPIVOTDATA(" Old Ast. avg",'Averages Pivot Table'!$A$3,"State","MS","Category",5,"Category2","Four-Year")</f>
        <v>48784.310935823531</v>
      </c>
      <c r="G260" s="118">
        <f t="shared" si="37"/>
        <v>10</v>
      </c>
      <c r="H260" s="126">
        <f>+GETPIVOTDATA(" Old Inst. avg",'Averages Pivot Table'!$A$3,"State","MS","Category",5,"Category2","Four-Year")</f>
        <v>47372.234872367349</v>
      </c>
      <c r="I260" s="118">
        <f t="shared" si="38"/>
        <v>4</v>
      </c>
      <c r="J260" s="126">
        <f>+GETPIVOTDATA(" Old Undesg. avg",'Averages Pivot Table'!$A$3,"State","MS","Category",5,"Category2","Four-Year")</f>
        <v>0</v>
      </c>
      <c r="K260" s="118">
        <f t="shared" si="39"/>
        <v>0</v>
      </c>
      <c r="L260" s="126">
        <f>+GETPIVOTDATA(" Old All Ranks avg",'Averages Pivot Table'!$A$3,"State","MS","Category",5,"Category2","Four-Year")</f>
        <v>49360.614268676931</v>
      </c>
      <c r="M260" s="118">
        <f t="shared" si="40"/>
        <v>10</v>
      </c>
      <c r="N260" s="126"/>
      <c r="O260" s="129"/>
    </row>
    <row r="261" spans="1:15" ht="12.95" customHeight="1" x14ac:dyDescent="0.25">
      <c r="A261" s="132" t="s">
        <v>213</v>
      </c>
      <c r="B261" s="126">
        <f>+GETPIVOTDATA(" Old Prof avg",'Averages Pivot Table'!$A$3,"State","NC","Category",5,"Category2","Four-Year")</f>
        <v>86738.679415999999</v>
      </c>
      <c r="C261" s="118">
        <f t="shared" si="41"/>
        <v>2</v>
      </c>
      <c r="D261" s="126">
        <f>+GETPIVOTDATA(" Old Asc. avg",'Averages Pivot Table'!$A$3,"State","NC","Category",5,"Category2","Four-Year")</f>
        <v>71087.038529479774</v>
      </c>
      <c r="E261" s="118">
        <f t="shared" si="41"/>
        <v>1</v>
      </c>
      <c r="F261" s="126">
        <f>+GETPIVOTDATA(" Old Ast. avg",'Averages Pivot Table'!$A$3,"State","NC","Category",5,"Category2","Four-Year")</f>
        <v>62524.84281788618</v>
      </c>
      <c r="G261" s="118">
        <f t="shared" si="37"/>
        <v>1</v>
      </c>
      <c r="H261" s="126">
        <f>+GETPIVOTDATA(" Old Inst. avg",'Averages Pivot Table'!$A$3,"State","NC","Category",5,"Category2","Four-Year")</f>
        <v>56656.081041666672</v>
      </c>
      <c r="I261" s="118">
        <f t="shared" si="38"/>
        <v>2</v>
      </c>
      <c r="J261" s="126">
        <f>+GETPIVOTDATA(" Old Undesg. avg",'Averages Pivot Table'!$A$3,"State","NC","Category",5,"Category2","Four-Year")</f>
        <v>49658.049455238099</v>
      </c>
      <c r="K261" s="118">
        <f t="shared" si="39"/>
        <v>1</v>
      </c>
      <c r="L261" s="126">
        <f>+GETPIVOTDATA(" Old All Ranks avg",'Averages Pivot Table'!$A$3,"State","NC","Category",5,"Category2","Four-Year")</f>
        <v>65902.714320238098</v>
      </c>
      <c r="M261" s="118">
        <f t="shared" si="40"/>
        <v>2</v>
      </c>
      <c r="N261" s="126"/>
      <c r="O261" s="129"/>
    </row>
    <row r="262" spans="1:15" ht="12.95" customHeight="1" x14ac:dyDescent="0.25">
      <c r="A262" s="132" t="s">
        <v>214</v>
      </c>
      <c r="B262" s="126">
        <f>+GETPIVOTDATA(" Old Prof avg",'Averages Pivot Table'!$A$3,"State","OK","Category",5,"Category2","Four-Year")</f>
        <v>69194.258745177664</v>
      </c>
      <c r="C262" s="118">
        <f t="shared" si="41"/>
        <v>9</v>
      </c>
      <c r="D262" s="126">
        <f>+GETPIVOTDATA(" Old Asc. avg",'Averages Pivot Table'!$A$3,"State","OK","Category",5,"Category2","Four-Year")</f>
        <v>59061.930140740733</v>
      </c>
      <c r="E262" s="118">
        <f t="shared" si="41"/>
        <v>8</v>
      </c>
      <c r="F262" s="126">
        <f>+GETPIVOTDATA(" Old Ast. avg",'Averages Pivot Table'!$A$3,"State","OK","Category",5,"Category2","Four-Year")</f>
        <v>49900.183833333329</v>
      </c>
      <c r="G262" s="118">
        <f t="shared" si="37"/>
        <v>8</v>
      </c>
      <c r="H262" s="126">
        <f>+GETPIVOTDATA(" Old Inst. avg",'Averages Pivot Table'!$A$3,"State","OK","Category",5,"Category2","Four-Year")</f>
        <v>42220.207280000002</v>
      </c>
      <c r="I262" s="118">
        <f t="shared" si="38"/>
        <v>8</v>
      </c>
      <c r="J262" s="126">
        <f>+GETPIVOTDATA(" Old Undesg. avg",'Averages Pivot Table'!$A$3,"State","OK","Category",5,"Category2","Four-Year")</f>
        <v>0</v>
      </c>
      <c r="K262" s="118">
        <f t="shared" si="39"/>
        <v>0</v>
      </c>
      <c r="L262" s="126">
        <f>+GETPIVOTDATA(" Old All Ranks avg",'Averages Pivot Table'!$A$3,"State","OK","Category",5,"Category2","Four-Year")</f>
        <v>53598.031679351356</v>
      </c>
      <c r="M262" s="118">
        <f t="shared" si="40"/>
        <v>9</v>
      </c>
      <c r="N262" s="126"/>
      <c r="O262" s="129"/>
    </row>
    <row r="263" spans="1:15" ht="12.95" customHeight="1" x14ac:dyDescent="0.25">
      <c r="A263" s="132" t="s">
        <v>215</v>
      </c>
      <c r="B263" s="126">
        <f>+GETPIVOTDATA(" Old Prof avg",'Averages Pivot Table'!$A$3,"State","SC","Category",5,"Category2","Four-Year")</f>
        <v>77252.415317575753</v>
      </c>
      <c r="C263" s="118">
        <f t="shared" si="41"/>
        <v>4</v>
      </c>
      <c r="D263" s="126">
        <f>+GETPIVOTDATA(" Old Asc. avg",'Averages Pivot Table'!$A$3,"State","SC","Category",5,"Category2","Four-Year")</f>
        <v>64847.727862983425</v>
      </c>
      <c r="E263" s="118">
        <f t="shared" si="41"/>
        <v>4</v>
      </c>
      <c r="F263" s="126">
        <f>+GETPIVOTDATA(" Old Ast. avg",'Averages Pivot Table'!$A$3,"State","SC","Category",5,"Category2","Four-Year")</f>
        <v>55813.019887632508</v>
      </c>
      <c r="G263" s="118">
        <f t="shared" si="37"/>
        <v>3</v>
      </c>
      <c r="H263" s="126">
        <f>+GETPIVOTDATA(" Old Inst. avg",'Averages Pivot Table'!$A$3,"State","SC","Category",5,"Category2","Four-Year")</f>
        <v>45426.593761290322</v>
      </c>
      <c r="I263" s="118">
        <f t="shared" si="38"/>
        <v>5</v>
      </c>
      <c r="J263" s="126">
        <f>+GETPIVOTDATA(" Old Undesg. avg",'Averages Pivot Table'!$A$3,"State","SC","Category",5,"Category2","Four-Year")</f>
        <v>40290.588926027398</v>
      </c>
      <c r="K263" s="118">
        <f t="shared" si="39"/>
        <v>7</v>
      </c>
      <c r="L263" s="126">
        <f>+GETPIVOTDATA(" Old All Ranks avg",'Averages Pivot Table'!$A$3,"State","SC","Category",5,"Category2","Four-Year")</f>
        <v>60257.635737696342</v>
      </c>
      <c r="M263" s="118">
        <f t="shared" si="40"/>
        <v>4</v>
      </c>
      <c r="N263" s="126"/>
      <c r="O263" s="129"/>
    </row>
    <row r="264" spans="1:15" ht="12.95" customHeight="1" x14ac:dyDescent="0.25">
      <c r="A264" s="132"/>
      <c r="B264" s="126"/>
      <c r="C264" s="118">
        <f t="shared" si="41"/>
        <v>0</v>
      </c>
      <c r="D264" s="126"/>
      <c r="E264" s="118">
        <f t="shared" si="41"/>
        <v>0</v>
      </c>
      <c r="F264" s="126"/>
      <c r="G264" s="118">
        <f t="shared" si="37"/>
        <v>0</v>
      </c>
      <c r="H264" s="126"/>
      <c r="I264" s="118">
        <f t="shared" si="38"/>
        <v>0</v>
      </c>
      <c r="J264" s="126"/>
      <c r="K264" s="118">
        <f t="shared" si="39"/>
        <v>0</v>
      </c>
      <c r="L264" s="126"/>
      <c r="M264" s="118">
        <f t="shared" si="40"/>
        <v>0</v>
      </c>
      <c r="N264" s="126"/>
      <c r="O264" s="129"/>
    </row>
    <row r="265" spans="1:15" ht="12.95" customHeight="1" x14ac:dyDescent="0.25">
      <c r="A265" s="132" t="s">
        <v>216</v>
      </c>
      <c r="B265" s="563">
        <f>+GETPIVOTDATA(" Old Prof avg",'Averages Pivot Table'!$A$3,"State","TN","Category",5,"Category2","Four-Year")</f>
        <v>73505.332748717949</v>
      </c>
      <c r="C265" s="118">
        <f t="shared" si="41"/>
        <v>7</v>
      </c>
      <c r="D265" s="563">
        <f>+GETPIVOTDATA(" Old Asc. avg",'Averages Pivot Table'!$A$3,"State","TN","Category",5,"Category2","Four-Year")</f>
        <v>58922.013140350871</v>
      </c>
      <c r="E265" s="118">
        <f t="shared" si="41"/>
        <v>9</v>
      </c>
      <c r="F265" s="563">
        <f>+GETPIVOTDATA(" Old Ast. avg",'Averages Pivot Table'!$A$3,"State","TN","Category",5,"Category2","Four-Year")</f>
        <v>52983.439246913578</v>
      </c>
      <c r="G265" s="118">
        <f t="shared" si="37"/>
        <v>5</v>
      </c>
      <c r="H265" s="563">
        <f>+GETPIVOTDATA(" Old Inst. avg",'Averages Pivot Table'!$A$3,"State","TN","Category",5,"Category2","Four-Year")</f>
        <v>45031.194176470584</v>
      </c>
      <c r="I265" s="118">
        <f t="shared" si="38"/>
        <v>6</v>
      </c>
      <c r="J265" s="563">
        <f>+GETPIVOTDATA(" Old Undesg. avg",'Averages Pivot Table'!$A$3,"State","TN","Category",5,"Category2","Four-Year")</f>
        <v>42352.555555555555</v>
      </c>
      <c r="K265" s="118">
        <f t="shared" si="39"/>
        <v>6</v>
      </c>
      <c r="L265" s="563">
        <f>+GETPIVOTDATA(" Old All Ranks avg",'Averages Pivot Table'!$A$3,"State","TN","Category",5,"Category2","Four-Year")</f>
        <v>57751.886990647479</v>
      </c>
      <c r="M265" s="118">
        <f t="shared" si="40"/>
        <v>7</v>
      </c>
      <c r="N265" s="126"/>
      <c r="O265" s="129"/>
    </row>
    <row r="266" spans="1:15" ht="12.95" customHeight="1" x14ac:dyDescent="0.25">
      <c r="A266" s="132" t="s">
        <v>217</v>
      </c>
      <c r="B266" s="563">
        <f>+GETPIVOTDATA(" Old Prof avg",'Averages Pivot Table'!$A$3,"State","TX","Category",5,"Category2","Four-Year")</f>
        <v>89027.798342857146</v>
      </c>
      <c r="C266" s="118">
        <f t="shared" si="41"/>
        <v>1</v>
      </c>
      <c r="D266" s="563">
        <f>+GETPIVOTDATA(" Old Asc. avg",'Averages Pivot Table'!$A$3,"State","TX","Category",5,"Category2","Four-Year")</f>
        <v>70642.922453191495</v>
      </c>
      <c r="E266" s="118">
        <f t="shared" si="41"/>
        <v>2</v>
      </c>
      <c r="F266" s="563">
        <f>+GETPIVOTDATA(" Old Ast. avg",'Averages Pivot Table'!$A$3,"State","TX","Category",5,"Category2","Four-Year")</f>
        <v>57375.247422680412</v>
      </c>
      <c r="G266" s="118">
        <f t="shared" si="37"/>
        <v>2</v>
      </c>
      <c r="H266" s="563">
        <f>+GETPIVOTDATA(" Old Inst. avg",'Averages Pivot Table'!$A$3,"State","TX","Category",5,"Category2","Four-Year")</f>
        <v>63118.142857142855</v>
      </c>
      <c r="I266" s="118">
        <f t="shared" si="38"/>
        <v>1</v>
      </c>
      <c r="J266" s="563">
        <f>+GETPIVOTDATA(" Old Undesg. avg",'Averages Pivot Table'!$A$3,"State","TX","Category",5,"Category2","Four-Year")</f>
        <v>48499.085325</v>
      </c>
      <c r="K266" s="118">
        <f t="shared" si="39"/>
        <v>2</v>
      </c>
      <c r="L266" s="563">
        <f>+GETPIVOTDATA(" Old All Ranks avg",'Averages Pivot Table'!$A$3,"State","TX","Category",5,"Category2","Four-Year")</f>
        <v>74606.685854639174</v>
      </c>
      <c r="M266" s="118">
        <f t="shared" si="40"/>
        <v>1</v>
      </c>
      <c r="N266" s="126"/>
      <c r="O266" s="129"/>
    </row>
    <row r="267" spans="1:15" ht="12.95" customHeight="1" x14ac:dyDescent="0.25">
      <c r="A267" s="132" t="s">
        <v>218</v>
      </c>
      <c r="B267" s="563">
        <f>+GETPIVOTDATA(" Old Prof avg",'Averages Pivot Table'!$A$3,"State","VA","Category",5,"Category2","Four-Year")</f>
        <v>84523.776571428578</v>
      </c>
      <c r="C267" s="118">
        <f t="shared" si="41"/>
        <v>3</v>
      </c>
      <c r="D267" s="563">
        <f>+GETPIVOTDATA(" Old Asc. avg",'Averages Pivot Table'!$A$3,"State","VA","Category",5,"Category2","Four-Year")</f>
        <v>66362.585065789477</v>
      </c>
      <c r="E267" s="118">
        <f t="shared" si="41"/>
        <v>3</v>
      </c>
      <c r="F267" s="563">
        <f>+GETPIVOTDATA(" Old Ast. avg",'Averages Pivot Table'!$A$3,"State","VA","Category",5,"Category2","Four-Year")</f>
        <v>54787.940816326533</v>
      </c>
      <c r="G267" s="118">
        <f t="shared" si="37"/>
        <v>4</v>
      </c>
      <c r="H267" s="563">
        <f>+GETPIVOTDATA(" Old Inst. avg",'Averages Pivot Table'!$A$3,"State","VA","Category",5,"Category2","Four-Year")</f>
        <v>50665.326777142858</v>
      </c>
      <c r="I267" s="118">
        <f t="shared" si="38"/>
        <v>3</v>
      </c>
      <c r="J267" s="563">
        <f>+GETPIVOTDATA(" Old Undesg. avg",'Averages Pivot Table'!$A$3,"State","VA","Category",5,"Category2","Four-Year")</f>
        <v>47820.756097560974</v>
      </c>
      <c r="K267" s="118">
        <f t="shared" si="39"/>
        <v>4</v>
      </c>
      <c r="L267" s="563">
        <f>+GETPIVOTDATA(" Old All Ranks avg",'Averages Pivot Table'!$A$3,"State","VA","Category",5,"Category2","Four-Year")</f>
        <v>64633.128875574715</v>
      </c>
      <c r="M267" s="118">
        <f t="shared" si="40"/>
        <v>3</v>
      </c>
      <c r="N267" s="126"/>
      <c r="O267" s="126"/>
    </row>
    <row r="268" spans="1:15" ht="12.95" customHeight="1" x14ac:dyDescent="0.25">
      <c r="A268" s="6" t="s">
        <v>219</v>
      </c>
      <c r="B268" s="566">
        <f>+GETPIVOTDATA(" Old Prof avg",'Averages Pivot Table'!$A$3,"State","WV","Category",5,"Category2","Four-Year")</f>
        <v>74065.436278481007</v>
      </c>
      <c r="C268" s="119">
        <f t="shared" si="41"/>
        <v>6</v>
      </c>
      <c r="D268" s="566">
        <f>+GETPIVOTDATA(" Old Asc. avg",'Averages Pivot Table'!$A$3,"State","WV","Category",5,"Category2","Four-Year")</f>
        <v>61039.467475324673</v>
      </c>
      <c r="E268" s="119">
        <f t="shared" si="41"/>
        <v>6</v>
      </c>
      <c r="F268" s="566">
        <f>+GETPIVOTDATA(" Old Ast. avg",'Averages Pivot Table'!$A$3,"State","WV","Category",5,"Category2","Four-Year")</f>
        <v>50970.486221359221</v>
      </c>
      <c r="G268" s="119">
        <f t="shared" si="37"/>
        <v>7</v>
      </c>
      <c r="H268" s="566">
        <f>+GETPIVOTDATA(" Old Inst. avg",'Averages Pivot Table'!$A$3,"State","WV","Category",5,"Category2","Four-Year")</f>
        <v>40425.764719999999</v>
      </c>
      <c r="I268" s="119">
        <f t="shared" si="38"/>
        <v>11</v>
      </c>
      <c r="J268" s="566">
        <f>+GETPIVOTDATA(" Old Undesg. avg",'Averages Pivot Table'!$A$3,"State","WV","Category",5,"Category2","Four-Year")</f>
        <v>48069.618314285712</v>
      </c>
      <c r="K268" s="119">
        <f t="shared" si="39"/>
        <v>3</v>
      </c>
      <c r="L268" s="566">
        <f>+GETPIVOTDATA(" Old All Ranks avg",'Averages Pivot Table'!$A$3,"State","WV","Category",5,"Category2","Four-Year")</f>
        <v>59307.394686111104</v>
      </c>
      <c r="M268" s="119">
        <f t="shared" si="40"/>
        <v>5</v>
      </c>
      <c r="N268" s="126"/>
      <c r="O268" s="126"/>
    </row>
    <row r="269" spans="1:15" ht="30" customHeight="1" x14ac:dyDescent="0.25">
      <c r="A269" s="672" t="s">
        <v>91</v>
      </c>
      <c r="B269" s="680"/>
      <c r="C269" s="680"/>
      <c r="D269" s="680"/>
      <c r="E269" s="680"/>
      <c r="F269" s="680"/>
      <c r="G269" s="680"/>
      <c r="H269" s="680"/>
      <c r="I269" s="680"/>
      <c r="J269" s="680"/>
      <c r="K269" s="680"/>
      <c r="L269" s="680"/>
      <c r="M269" s="680"/>
      <c r="N269" s="132"/>
      <c r="O269" s="132"/>
    </row>
    <row r="270" spans="1:15" x14ac:dyDescent="0.25">
      <c r="M270" s="157" t="s">
        <v>1083</v>
      </c>
      <c r="O270" s="131"/>
    </row>
    <row r="271" spans="1:15" ht="18" x14ac:dyDescent="0.25">
      <c r="A271" s="544" t="s">
        <v>268</v>
      </c>
      <c r="B271" s="544"/>
      <c r="C271" s="544"/>
      <c r="D271" s="544"/>
      <c r="E271" s="544"/>
      <c r="F271" s="544"/>
      <c r="G271" s="544"/>
      <c r="H271" s="544"/>
      <c r="I271" s="544"/>
      <c r="J271" s="544"/>
      <c r="K271" s="544"/>
      <c r="L271" s="544"/>
      <c r="M271" s="544"/>
      <c r="N271" s="100"/>
      <c r="O271" s="100"/>
    </row>
    <row r="272" spans="1:15" x14ac:dyDescent="0.25">
      <c r="A272" s="588"/>
      <c r="B272" s="93"/>
      <c r="C272" s="93"/>
      <c r="D272" s="93"/>
      <c r="E272" s="93"/>
      <c r="F272" s="93"/>
      <c r="G272" s="93"/>
      <c r="H272" s="93"/>
      <c r="I272" s="93"/>
      <c r="J272" s="93"/>
      <c r="K272" s="93"/>
      <c r="L272" s="93"/>
      <c r="M272" s="93"/>
      <c r="N272" s="93"/>
      <c r="O272" s="93"/>
    </row>
    <row r="273" spans="1:19" x14ac:dyDescent="0.25">
      <c r="A273" s="665" t="s">
        <v>220</v>
      </c>
      <c r="B273" s="665"/>
      <c r="C273" s="665"/>
      <c r="D273" s="665"/>
      <c r="E273" s="665"/>
      <c r="F273" s="665"/>
      <c r="G273" s="665"/>
      <c r="H273" s="665"/>
      <c r="I273" s="665"/>
      <c r="J273" s="665"/>
      <c r="K273" s="665"/>
      <c r="L273" s="665"/>
      <c r="M273" s="665"/>
      <c r="N273" s="128"/>
      <c r="O273" s="128"/>
    </row>
    <row r="274" spans="1:19" x14ac:dyDescent="0.25">
      <c r="A274" s="665" t="s">
        <v>312</v>
      </c>
      <c r="B274" s="665"/>
      <c r="C274" s="665"/>
      <c r="D274" s="665"/>
      <c r="E274" s="665"/>
      <c r="F274" s="665"/>
      <c r="G274" s="665"/>
      <c r="H274" s="665"/>
      <c r="I274" s="665"/>
      <c r="J274" s="665"/>
      <c r="K274" s="665"/>
      <c r="L274" s="665"/>
      <c r="M274" s="665"/>
      <c r="N274" s="128"/>
      <c r="O274" s="128"/>
    </row>
    <row r="275" spans="1:19" x14ac:dyDescent="0.25">
      <c r="A275" s="132"/>
      <c r="B275" s="132"/>
      <c r="C275" s="132"/>
      <c r="D275" s="132"/>
      <c r="E275" s="132"/>
      <c r="F275" s="132"/>
      <c r="G275" s="132"/>
      <c r="H275" s="132"/>
      <c r="I275" s="132"/>
      <c r="J275" s="132"/>
      <c r="K275" s="132"/>
      <c r="L275" s="132"/>
      <c r="M275" s="132"/>
      <c r="N275" s="132"/>
      <c r="O275" s="132"/>
    </row>
    <row r="276" spans="1:19" ht="36" customHeight="1" x14ac:dyDescent="0.25">
      <c r="A276" s="547"/>
      <c r="B276" s="589" t="s">
        <v>99</v>
      </c>
      <c r="C276" s="142"/>
      <c r="D276" s="590" t="s">
        <v>100</v>
      </c>
      <c r="E276" s="591"/>
      <c r="F276" s="590" t="s">
        <v>101</v>
      </c>
      <c r="G276" s="591"/>
      <c r="H276" s="589" t="s">
        <v>102</v>
      </c>
      <c r="I276" s="142"/>
      <c r="J276" s="590" t="s">
        <v>226</v>
      </c>
      <c r="K276" s="591"/>
      <c r="L276" s="142" t="s">
        <v>84</v>
      </c>
      <c r="M276" s="142"/>
      <c r="N276" s="129" t="s">
        <v>223</v>
      </c>
      <c r="O276" s="129"/>
    </row>
    <row r="277" spans="1:19" x14ac:dyDescent="0.25">
      <c r="A277" s="551"/>
      <c r="B277" s="115" t="s">
        <v>103</v>
      </c>
      <c r="C277" s="143" t="s">
        <v>193</v>
      </c>
      <c r="D277" s="115" t="s">
        <v>103</v>
      </c>
      <c r="E277" s="143" t="s">
        <v>193</v>
      </c>
      <c r="F277" s="115" t="s">
        <v>103</v>
      </c>
      <c r="G277" s="143" t="s">
        <v>193</v>
      </c>
      <c r="H277" s="115" t="s">
        <v>103</v>
      </c>
      <c r="I277" s="143" t="s">
        <v>193</v>
      </c>
      <c r="J277" s="115" t="s">
        <v>103</v>
      </c>
      <c r="K277" s="143" t="s">
        <v>193</v>
      </c>
      <c r="L277" s="115" t="s">
        <v>103</v>
      </c>
      <c r="M277" s="143" t="s">
        <v>193</v>
      </c>
      <c r="N277" s="129" t="s">
        <v>223</v>
      </c>
      <c r="O277" s="129"/>
    </row>
    <row r="278" spans="1:19" s="556" customFormat="1" ht="18" customHeight="1" x14ac:dyDescent="0.25">
      <c r="A278" s="554" t="s">
        <v>222</v>
      </c>
      <c r="B278" s="146">
        <f>+GETPIVOTDATA(" Old Prof avg",'Averages Pivot Table'!$A$3,"Category",6,"Category2","Four-Year")</f>
        <v>75959.054483390995</v>
      </c>
      <c r="C278" s="146"/>
      <c r="D278" s="146">
        <f>+GETPIVOTDATA(" Old Asc. avg",'Averages Pivot Table'!$A$3,"Category",6,"Category2","Four-Year")</f>
        <v>61331.35819941567</v>
      </c>
      <c r="E278" s="146"/>
      <c r="F278" s="146">
        <f>+GETPIVOTDATA(" Old Ast. avg",'Averages Pivot Table'!$A$3,"Category",6,"Category2","Four-Year")</f>
        <v>52830.335523860587</v>
      </c>
      <c r="G278" s="146"/>
      <c r="H278" s="146">
        <f>+GETPIVOTDATA(" Old Inst. avg",'Averages Pivot Table'!$A$3,"Category",6,"Category2","Four-Year")</f>
        <v>41470.456577440345</v>
      </c>
      <c r="I278" s="146"/>
      <c r="J278" s="146">
        <f>+GETPIVOTDATA(" Old Undesg. avg",'Averages Pivot Table'!$A$3,"Category",6,"Category2","Four-Year")</f>
        <v>45958.604873668643</v>
      </c>
      <c r="K278" s="146"/>
      <c r="L278" s="146">
        <f>+GETPIVOTDATA(" Old All Ranks avg",'Averages Pivot Table'!$A$3,"Category",6,"Category2","Four-Year")</f>
        <v>57684.047198899352</v>
      </c>
      <c r="M278" s="149"/>
      <c r="N278" s="141"/>
      <c r="O278" s="141"/>
      <c r="Q278" s="558"/>
      <c r="R278" s="558"/>
      <c r="S278" s="558"/>
    </row>
    <row r="279" spans="1:19" ht="12.95" customHeight="1" x14ac:dyDescent="0.25">
      <c r="A279" s="132"/>
      <c r="B279" s="123"/>
      <c r="C279" s="150"/>
      <c r="D279" s="123"/>
      <c r="E279" s="150"/>
      <c r="F279" s="123"/>
      <c r="G279" s="150"/>
      <c r="H279" s="123"/>
      <c r="I279" s="150"/>
      <c r="J279" s="123"/>
      <c r="K279" s="150"/>
      <c r="L279" s="123"/>
      <c r="M279" s="150"/>
      <c r="N279" s="123"/>
      <c r="O279" s="134"/>
    </row>
    <row r="280" spans="1:19" ht="12.95" customHeight="1" x14ac:dyDescent="0.25">
      <c r="A280" s="132" t="s">
        <v>205</v>
      </c>
      <c r="B280" s="126">
        <f>+GETPIVOTDATA(" Old Prof avg",'Averages Pivot Table'!$A$3,"State","AL","Category",6,"Category2","Four-Year")</f>
        <v>84518.760180952377</v>
      </c>
      <c r="C280" s="118">
        <f>IF(B280&gt;0,(RANK(B280,B$280:B$298)),0)</f>
        <v>4</v>
      </c>
      <c r="D280" s="126">
        <f>+GETPIVOTDATA(" Old Asc. avg",'Averages Pivot Table'!$A$3,"State","AL","Category",6,"Category2","Four-Year")</f>
        <v>71280.042960000006</v>
      </c>
      <c r="E280" s="118">
        <f>IF(D280&gt;0,(RANK(D280,D$280:D$298)),0)</f>
        <v>1</v>
      </c>
      <c r="F280" s="126">
        <f>+GETPIVOTDATA(" Old Ast. avg",'Averages Pivot Table'!$A$3,"State","AL","Category",6,"Category2","Four-Year")</f>
        <v>61092.721438095243</v>
      </c>
      <c r="G280" s="118">
        <f t="shared" ref="G280:G298" si="42">IF(F280&gt;0,(RANK(F280,F$280:F$298)),0)</f>
        <v>3</v>
      </c>
      <c r="H280" s="126">
        <f>+GETPIVOTDATA(" Old Inst. avg",'Averages Pivot Table'!$A$3,"State","AL","Category",6,"Category2","Four-Year")</f>
        <v>48012.133333333331</v>
      </c>
      <c r="I280" s="118">
        <f t="shared" ref="I280:I298" si="43">IF(H280&gt;0,(RANK(H280,H$280:H$298)),0)</f>
        <v>2</v>
      </c>
      <c r="J280" s="126">
        <f>+GETPIVOTDATA(" Old Undesg. avg",'Averages Pivot Table'!$A$3,"State","AL","Category",6,"Category2","Four-Year")</f>
        <v>0</v>
      </c>
      <c r="K280" s="118">
        <f t="shared" ref="K280:K298" si="44">IF(J280&gt;0,(RANK(J280,J$280:J$298)),0)</f>
        <v>0</v>
      </c>
      <c r="L280" s="126">
        <f>+GETPIVOTDATA(" Old All Ranks avg",'Averages Pivot Table'!$A$3,"State","AL","Category",6,"Category2","Four-Year")</f>
        <v>68725.878179069769</v>
      </c>
      <c r="M280" s="118">
        <f t="shared" ref="M280:M298" si="45">IF(L280&gt;0,(RANK(L280,L$280:L$298)),0)</f>
        <v>2</v>
      </c>
      <c r="N280" s="126"/>
      <c r="O280" s="129"/>
    </row>
    <row r="281" spans="1:19" ht="12.95" customHeight="1" x14ac:dyDescent="0.25">
      <c r="A281" s="132" t="s">
        <v>206</v>
      </c>
      <c r="B281" s="126">
        <f>+GETPIVOTDATA(" Old Prof avg",'Averages Pivot Table'!$A$3,"State","AR","Category",6,"Category2","Four-Year")</f>
        <v>65428.845741463418</v>
      </c>
      <c r="C281" s="118">
        <f t="shared" ref="C281:E298" si="46">IF(B281&gt;0,(RANK(B281,B$280:B$298)),0)</f>
        <v>10</v>
      </c>
      <c r="D281" s="126">
        <f>+GETPIVOTDATA(" Old Asc. avg",'Averages Pivot Table'!$A$3,"State","AR","Category",6,"Category2","Four-Year")</f>
        <v>62852.339460975607</v>
      </c>
      <c r="E281" s="118">
        <f t="shared" si="46"/>
        <v>7</v>
      </c>
      <c r="F281" s="126">
        <f>+GETPIVOTDATA(" Old Ast. avg",'Averages Pivot Table'!$A$3,"State","AR","Category",6,"Category2","Four-Year")</f>
        <v>51253.953162913909</v>
      </c>
      <c r="G281" s="118">
        <f t="shared" si="42"/>
        <v>8</v>
      </c>
      <c r="H281" s="126">
        <f>+GETPIVOTDATA(" Old Inst. avg",'Averages Pivot Table'!$A$3,"State","AR","Category",6,"Category2","Four-Year")</f>
        <v>41210.294220869568</v>
      </c>
      <c r="I281" s="118">
        <f t="shared" si="43"/>
        <v>8</v>
      </c>
      <c r="J281" s="126">
        <f>+GETPIVOTDATA(" Old Undesg. avg",'Averages Pivot Table'!$A$3,"State","AR","Category",6,"Category2","Four-Year")</f>
        <v>40669</v>
      </c>
      <c r="K281" s="118">
        <f t="shared" si="44"/>
        <v>5</v>
      </c>
      <c r="L281" s="126">
        <f>+GETPIVOTDATA(" Old All Ranks avg",'Averages Pivot Table'!$A$3,"State","AR","Category",6,"Category2","Four-Year")</f>
        <v>52019.414833838382</v>
      </c>
      <c r="M281" s="118">
        <f t="shared" si="45"/>
        <v>10</v>
      </c>
      <c r="N281" s="126"/>
      <c r="O281" s="129"/>
    </row>
    <row r="282" spans="1:19" ht="12.95" customHeight="1" x14ac:dyDescent="0.25">
      <c r="A282" s="132" t="s">
        <v>221</v>
      </c>
      <c r="B282" s="126">
        <f>+GETPIVOTDATA(" Old Prof avg",'Averages Pivot Table'!$A$3,"State","DE","Category",6,"Category2","Four-Year")</f>
        <v>0</v>
      </c>
      <c r="C282" s="118">
        <f t="shared" si="46"/>
        <v>0</v>
      </c>
      <c r="D282" s="126">
        <f>+GETPIVOTDATA(" Old Asc. avg",'Averages Pivot Table'!$A$3,"State","DE","Category",6,"Category2","Four-Year")</f>
        <v>0</v>
      </c>
      <c r="E282" s="118">
        <f t="shared" si="46"/>
        <v>0</v>
      </c>
      <c r="F282" s="126">
        <f>+GETPIVOTDATA(" Old Ast. avg",'Averages Pivot Table'!$A$3,"State","DE","Category",6,"Category2","Four-Year")</f>
        <v>0</v>
      </c>
      <c r="G282" s="118">
        <f t="shared" si="42"/>
        <v>0</v>
      </c>
      <c r="H282" s="126">
        <f>+GETPIVOTDATA(" Old Inst. avg",'Averages Pivot Table'!$A$3,"State","DE","Category",6,"Category2","Four-Year")</f>
        <v>0</v>
      </c>
      <c r="I282" s="118">
        <f t="shared" si="43"/>
        <v>0</v>
      </c>
      <c r="J282" s="126">
        <f>+GETPIVOTDATA(" Old Undesg. avg",'Averages Pivot Table'!$A$3,"State","DE","Category",6,"Category2","Four-Year")</f>
        <v>0</v>
      </c>
      <c r="K282" s="118">
        <f t="shared" si="44"/>
        <v>0</v>
      </c>
      <c r="L282" s="126">
        <f>+GETPIVOTDATA(" Old All Ranks avg",'Averages Pivot Table'!$A$3,"State","DE","Category",6,"Category2","Four-Year")</f>
        <v>0</v>
      </c>
      <c r="M282" s="118">
        <f t="shared" si="45"/>
        <v>0</v>
      </c>
      <c r="N282" s="126"/>
      <c r="O282" s="129"/>
    </row>
    <row r="283" spans="1:19" ht="12.95" customHeight="1" x14ac:dyDescent="0.25">
      <c r="A283" s="132" t="s">
        <v>207</v>
      </c>
      <c r="B283" s="126">
        <f>+GETPIVOTDATA(" Old Prof avg",'Averages Pivot Table'!$A$3,"State","FL","Category",6,"Category2","Four-Year")</f>
        <v>82860.049583333326</v>
      </c>
      <c r="C283" s="118">
        <f t="shared" si="46"/>
        <v>5</v>
      </c>
      <c r="D283" s="126">
        <f>+GETPIVOTDATA(" Old Asc. avg",'Averages Pivot Table'!$A$3,"State","FL","Category",6,"Category2","Four-Year")</f>
        <v>66594.874639999995</v>
      </c>
      <c r="E283" s="118">
        <f t="shared" si="46"/>
        <v>3</v>
      </c>
      <c r="F283" s="126">
        <f>+GETPIVOTDATA(" Old Ast. avg",'Averages Pivot Table'!$A$3,"State","FL","Category",6,"Category2","Four-Year")</f>
        <v>55388.154999999999</v>
      </c>
      <c r="G283" s="118">
        <f t="shared" si="42"/>
        <v>5</v>
      </c>
      <c r="H283" s="126">
        <f>+GETPIVOTDATA(" Old Inst. avg",'Averages Pivot Table'!$A$3,"State","FL","Category",6,"Category2","Four-Year")</f>
        <v>42020.78</v>
      </c>
      <c r="I283" s="118">
        <f t="shared" si="43"/>
        <v>7</v>
      </c>
      <c r="J283" s="126">
        <f>+GETPIVOTDATA(" Old Undesg. avg",'Averages Pivot Table'!$A$3,"State","FL","Category",6,"Category2","Four-Year")</f>
        <v>0</v>
      </c>
      <c r="K283" s="118">
        <f t="shared" si="44"/>
        <v>0</v>
      </c>
      <c r="L283" s="126">
        <f>+GETPIVOTDATA(" Old All Ranks avg",'Averages Pivot Table'!$A$3,"State","FL","Category",6,"Category2","Four-Year")</f>
        <v>68274.343258591558</v>
      </c>
      <c r="M283" s="118">
        <f t="shared" si="45"/>
        <v>3</v>
      </c>
      <c r="N283" s="126"/>
      <c r="O283" s="129"/>
    </row>
    <row r="284" spans="1:19" ht="12.95" customHeight="1" x14ac:dyDescent="0.25">
      <c r="A284" s="132"/>
      <c r="B284" s="126"/>
      <c r="C284" s="118">
        <f t="shared" si="46"/>
        <v>0</v>
      </c>
      <c r="D284" s="126"/>
      <c r="E284" s="118">
        <f t="shared" si="46"/>
        <v>0</v>
      </c>
      <c r="F284" s="126"/>
      <c r="G284" s="118">
        <f t="shared" si="42"/>
        <v>0</v>
      </c>
      <c r="H284" s="126"/>
      <c r="I284" s="118">
        <f t="shared" si="43"/>
        <v>0</v>
      </c>
      <c r="J284" s="126"/>
      <c r="K284" s="118">
        <f t="shared" si="44"/>
        <v>0</v>
      </c>
      <c r="L284" s="126"/>
      <c r="M284" s="118">
        <f t="shared" si="45"/>
        <v>0</v>
      </c>
      <c r="N284" s="126"/>
      <c r="O284" s="129"/>
    </row>
    <row r="285" spans="1:19" ht="12.95" customHeight="1" x14ac:dyDescent="0.25">
      <c r="A285" s="132" t="s">
        <v>208</v>
      </c>
      <c r="B285" s="126">
        <f>+GETPIVOTDATA(" Old Prof avg",'Averages Pivot Table'!$A$3,"State","GA","Category",6,"Category2","Four-Year")</f>
        <v>88098.703703703708</v>
      </c>
      <c r="C285" s="118">
        <f t="shared" si="46"/>
        <v>3</v>
      </c>
      <c r="D285" s="126">
        <f>+GETPIVOTDATA(" Old Asc. avg",'Averages Pivot Table'!$A$3,"State","GA","Category",6,"Category2","Four-Year")</f>
        <v>65407.92658227848</v>
      </c>
      <c r="E285" s="118">
        <f t="shared" si="46"/>
        <v>5</v>
      </c>
      <c r="F285" s="126">
        <f>+GETPIVOTDATA(" Old Ast. avg",'Averages Pivot Table'!$A$3,"State","GA","Category",6,"Category2","Four-Year")</f>
        <v>55047.811644725742</v>
      </c>
      <c r="G285" s="118">
        <f t="shared" si="42"/>
        <v>6</v>
      </c>
      <c r="H285" s="126">
        <f>+GETPIVOTDATA(" Old Inst. avg",'Averages Pivot Table'!$A$3,"State","GA","Category",6,"Category2","Four-Year")</f>
        <v>44627.810784615387</v>
      </c>
      <c r="I285" s="118">
        <f t="shared" si="43"/>
        <v>3</v>
      </c>
      <c r="J285" s="126">
        <f>+GETPIVOTDATA(" Old Undesg. avg",'Averages Pivot Table'!$A$3,"State","GA","Category",6,"Category2","Four-Year")</f>
        <v>43400.1</v>
      </c>
      <c r="K285" s="118">
        <f t="shared" si="44"/>
        <v>3</v>
      </c>
      <c r="L285" s="126">
        <f>+GETPIVOTDATA(" Old All Ranks avg",'Averages Pivot Table'!$A$3,"State","GA","Category",6,"Category2","Four-Year")</f>
        <v>58864.825675675675</v>
      </c>
      <c r="M285" s="118">
        <f t="shared" si="45"/>
        <v>6</v>
      </c>
      <c r="N285" s="126"/>
      <c r="O285" s="129"/>
    </row>
    <row r="286" spans="1:19" ht="12.95" customHeight="1" x14ac:dyDescent="0.25">
      <c r="A286" s="132" t="s">
        <v>209</v>
      </c>
      <c r="B286" s="126">
        <f>+GETPIVOTDATA(" Old Prof avg",'Averages Pivot Table'!$A$3,"State","KY","Category",6,"Category2","Four-Year")</f>
        <v>0</v>
      </c>
      <c r="C286" s="118">
        <f t="shared" si="46"/>
        <v>0</v>
      </c>
      <c r="D286" s="126">
        <f>+GETPIVOTDATA(" Old Asc. avg",'Averages Pivot Table'!$A$3,"State","KY","Category",6,"Category2","Four-Year")</f>
        <v>0</v>
      </c>
      <c r="E286" s="118">
        <f t="shared" si="46"/>
        <v>0</v>
      </c>
      <c r="F286" s="126">
        <f>+GETPIVOTDATA(" Old Ast. avg",'Averages Pivot Table'!$A$3,"State","KY","Category",6,"Category2","Four-Year")</f>
        <v>0</v>
      </c>
      <c r="G286" s="118">
        <f t="shared" si="42"/>
        <v>0</v>
      </c>
      <c r="H286" s="126">
        <f>+GETPIVOTDATA(" Old Inst. avg",'Averages Pivot Table'!$A$3,"State","KY","Category",6,"Category2","Four-Year")</f>
        <v>0</v>
      </c>
      <c r="I286" s="118">
        <f t="shared" si="43"/>
        <v>0</v>
      </c>
      <c r="J286" s="126">
        <f>+GETPIVOTDATA(" Old Undesg. avg",'Averages Pivot Table'!$A$3,"State","KY","Category",6,"Category2","Four-Year")</f>
        <v>0</v>
      </c>
      <c r="K286" s="118">
        <f t="shared" si="44"/>
        <v>0</v>
      </c>
      <c r="L286" s="126">
        <f>+GETPIVOTDATA(" Old All Ranks avg",'Averages Pivot Table'!$A$3,"State","KY","Category",6,"Category2","Four-Year")</f>
        <v>0</v>
      </c>
      <c r="M286" s="118">
        <f t="shared" si="45"/>
        <v>0</v>
      </c>
      <c r="N286" s="126"/>
      <c r="O286" s="129"/>
    </row>
    <row r="287" spans="1:19" ht="12.95" customHeight="1" x14ac:dyDescent="0.25">
      <c r="A287" s="132" t="s">
        <v>210</v>
      </c>
      <c r="B287" s="126">
        <f>+GETPIVOTDATA(" Old Prof avg",'Averages Pivot Table'!$A$3,"State","LA","Category",6,"Category2","Four-Year")</f>
        <v>60118.385550000006</v>
      </c>
      <c r="C287" s="118">
        <f t="shared" si="46"/>
        <v>12</v>
      </c>
      <c r="D287" s="126">
        <f>+GETPIVOTDATA(" Old Asc. avg",'Averages Pivot Table'!$A$3,"State","LA","Category",6,"Category2","Four-Year")</f>
        <v>47366.956821428568</v>
      </c>
      <c r="E287" s="118">
        <f t="shared" si="46"/>
        <v>12</v>
      </c>
      <c r="F287" s="126">
        <f>+GETPIVOTDATA(" Old Ast. avg",'Averages Pivot Table'!$A$3,"State","LA","Category",6,"Category2","Four-Year")</f>
        <v>46031.747488888883</v>
      </c>
      <c r="G287" s="118">
        <f t="shared" si="42"/>
        <v>11</v>
      </c>
      <c r="H287" s="126">
        <f>+GETPIVOTDATA(" Old Inst. avg",'Averages Pivot Table'!$A$3,"State","LA","Category",6,"Category2","Four-Year")</f>
        <v>38955</v>
      </c>
      <c r="I287" s="118">
        <f t="shared" si="43"/>
        <v>10</v>
      </c>
      <c r="J287" s="126">
        <f>+GETPIVOTDATA(" Old Undesg. avg",'Averages Pivot Table'!$A$3,"State","LA","Category",6,"Category2","Four-Year")</f>
        <v>0</v>
      </c>
      <c r="K287" s="118">
        <f t="shared" si="44"/>
        <v>0</v>
      </c>
      <c r="L287" s="126">
        <f>+GETPIVOTDATA(" Old All Ranks avg",'Averages Pivot Table'!$A$3,"State","LA","Category",6,"Category2","Four-Year")</f>
        <v>48373.200119587629</v>
      </c>
      <c r="M287" s="118">
        <f t="shared" si="45"/>
        <v>11</v>
      </c>
      <c r="N287" s="126"/>
      <c r="O287" s="129"/>
    </row>
    <row r="288" spans="1:19" ht="12.95" customHeight="1" x14ac:dyDescent="0.25">
      <c r="A288" s="132" t="s">
        <v>211</v>
      </c>
      <c r="B288" s="126">
        <f>+GETPIVOTDATA(" Old Prof avg",'Averages Pivot Table'!$A$3,"State","MD","Category",6,"Category2","Four-Year")</f>
        <v>88734</v>
      </c>
      <c r="C288" s="118">
        <f t="shared" si="46"/>
        <v>2</v>
      </c>
      <c r="D288" s="126">
        <f>+GETPIVOTDATA(" Old Asc. avg",'Averages Pivot Table'!$A$3,"State","MD","Category",6,"Category2","Four-Year")</f>
        <v>64696</v>
      </c>
      <c r="E288" s="118">
        <f t="shared" si="46"/>
        <v>6</v>
      </c>
      <c r="F288" s="126">
        <f>+GETPIVOTDATA(" Old Ast. avg",'Averages Pivot Table'!$A$3,"State","MD","Category",6,"Category2","Four-Year")</f>
        <v>52941</v>
      </c>
      <c r="G288" s="118">
        <f t="shared" si="42"/>
        <v>7</v>
      </c>
      <c r="H288" s="126">
        <f>+GETPIVOTDATA(" Old Inst. avg",'Averages Pivot Table'!$A$3,"State","MD","Category",6,"Category2","Four-Year")</f>
        <v>43250</v>
      </c>
      <c r="I288" s="118">
        <f t="shared" si="43"/>
        <v>6</v>
      </c>
      <c r="J288" s="126">
        <f>+GETPIVOTDATA(" Old Undesg. avg",'Averages Pivot Table'!$A$3,"State","MD","Category",6,"Category2","Four-Year")</f>
        <v>0</v>
      </c>
      <c r="K288" s="118">
        <f t="shared" si="44"/>
        <v>0</v>
      </c>
      <c r="L288" s="126">
        <f>+GETPIVOTDATA(" Old All Ranks avg",'Averages Pivot Table'!$A$3,"State","MD","Category",6,"Category2","Four-Year")</f>
        <v>67412.923611111109</v>
      </c>
      <c r="M288" s="118">
        <f t="shared" si="45"/>
        <v>5</v>
      </c>
      <c r="N288" s="126"/>
      <c r="O288" s="129"/>
    </row>
    <row r="289" spans="1:15" ht="12.95" customHeight="1" x14ac:dyDescent="0.25">
      <c r="A289" s="132"/>
      <c r="B289" s="126"/>
      <c r="C289" s="118">
        <f t="shared" si="46"/>
        <v>0</v>
      </c>
      <c r="D289" s="126"/>
      <c r="E289" s="118">
        <f t="shared" si="46"/>
        <v>0</v>
      </c>
      <c r="F289" s="126"/>
      <c r="G289" s="118">
        <f t="shared" si="42"/>
        <v>0</v>
      </c>
      <c r="H289" s="126"/>
      <c r="I289" s="118">
        <f t="shared" si="43"/>
        <v>0</v>
      </c>
      <c r="J289" s="126"/>
      <c r="K289" s="118">
        <f t="shared" si="44"/>
        <v>0</v>
      </c>
      <c r="L289" s="126"/>
      <c r="M289" s="118">
        <f t="shared" si="45"/>
        <v>0</v>
      </c>
      <c r="N289" s="126"/>
      <c r="O289" s="129"/>
    </row>
    <row r="290" spans="1:15" ht="12.95" customHeight="1" x14ac:dyDescent="0.25">
      <c r="A290" s="132" t="s">
        <v>212</v>
      </c>
      <c r="B290" s="126">
        <f>+GETPIVOTDATA(" Old Prof avg",'Averages Pivot Table'!$A$3,"State","MS","Category",6,"Category2","Four-Year")</f>
        <v>0</v>
      </c>
      <c r="C290" s="118">
        <f t="shared" si="46"/>
        <v>0</v>
      </c>
      <c r="D290" s="126">
        <f>+GETPIVOTDATA(" Old Asc. avg",'Averages Pivot Table'!$A$3,"State","MS","Category",6,"Category2","Four-Year")</f>
        <v>0</v>
      </c>
      <c r="E290" s="118">
        <f t="shared" si="46"/>
        <v>0</v>
      </c>
      <c r="F290" s="126">
        <f>+GETPIVOTDATA(" Old Ast. avg",'Averages Pivot Table'!$A$3,"State","MS","Category",6,"Category2","Four-Year")</f>
        <v>0</v>
      </c>
      <c r="G290" s="118">
        <f t="shared" si="42"/>
        <v>0</v>
      </c>
      <c r="H290" s="126">
        <f>+GETPIVOTDATA(" Old Inst. avg",'Averages Pivot Table'!$A$3,"State","MS","Category",6,"Category2","Four-Year")</f>
        <v>0</v>
      </c>
      <c r="I290" s="118">
        <f t="shared" si="43"/>
        <v>0</v>
      </c>
      <c r="J290" s="126">
        <f>+GETPIVOTDATA(" Old Undesg. avg",'Averages Pivot Table'!$A$3,"State","MS","Category",6,"Category2","Four-Year")</f>
        <v>0</v>
      </c>
      <c r="K290" s="118">
        <f t="shared" si="44"/>
        <v>0</v>
      </c>
      <c r="L290" s="126">
        <f>+GETPIVOTDATA(" Old All Ranks avg",'Averages Pivot Table'!$A$3,"State","MS","Category",6,"Category2","Four-Year")</f>
        <v>0</v>
      </c>
      <c r="M290" s="118">
        <f t="shared" si="45"/>
        <v>0</v>
      </c>
      <c r="N290" s="126"/>
      <c r="O290" s="129"/>
    </row>
    <row r="291" spans="1:15" ht="12.95" customHeight="1" x14ac:dyDescent="0.25">
      <c r="A291" s="132" t="s">
        <v>213</v>
      </c>
      <c r="B291" s="126">
        <f>+GETPIVOTDATA(" Old Prof avg",'Averages Pivot Table'!$A$3,"State","NC","Category",6,"Category2","Four-Year")</f>
        <v>82031.37857391304</v>
      </c>
      <c r="C291" s="118">
        <f t="shared" si="46"/>
        <v>6</v>
      </c>
      <c r="D291" s="126">
        <f>+GETPIVOTDATA(" Old Asc. avg",'Averages Pivot Table'!$A$3,"State","NC","Category",6,"Category2","Four-Year")</f>
        <v>68304.144</v>
      </c>
      <c r="E291" s="118">
        <f t="shared" si="46"/>
        <v>2</v>
      </c>
      <c r="F291" s="126">
        <f>+GETPIVOTDATA(" Old Ast. avg",'Averages Pivot Table'!$A$3,"State","NC","Category",6,"Category2","Four-Year")</f>
        <v>62497.120002298849</v>
      </c>
      <c r="G291" s="118">
        <f t="shared" si="42"/>
        <v>2</v>
      </c>
      <c r="H291" s="126">
        <f>+GETPIVOTDATA(" Old Inst. avg",'Averages Pivot Table'!$A$3,"State","NC","Category",6,"Category2","Four-Year")</f>
        <v>56294</v>
      </c>
      <c r="I291" s="118">
        <f t="shared" si="43"/>
        <v>1</v>
      </c>
      <c r="J291" s="126">
        <f>+GETPIVOTDATA(" Old Undesg. avg",'Averages Pivot Table'!$A$3,"State","NC","Category",6,"Category2","Four-Year")</f>
        <v>53763.70620487805</v>
      </c>
      <c r="K291" s="118">
        <f t="shared" si="44"/>
        <v>1</v>
      </c>
      <c r="L291" s="126">
        <f>+GETPIVOTDATA(" Old All Ranks avg",'Averages Pivot Table'!$A$3,"State","NC","Category",6,"Category2","Four-Year")</f>
        <v>67903.819857881143</v>
      </c>
      <c r="M291" s="118">
        <f t="shared" si="45"/>
        <v>4</v>
      </c>
      <c r="N291" s="126"/>
      <c r="O291" s="129"/>
    </row>
    <row r="292" spans="1:15" ht="12.95" customHeight="1" x14ac:dyDescent="0.25">
      <c r="A292" s="132" t="s">
        <v>214</v>
      </c>
      <c r="B292" s="126">
        <f>+GETPIVOTDATA(" Old Prof avg",'Averages Pivot Table'!$A$3,"State","OK","Category",6,"Category2","Four-Year")</f>
        <v>61870.840031250002</v>
      </c>
      <c r="C292" s="118">
        <f t="shared" si="46"/>
        <v>11</v>
      </c>
      <c r="D292" s="126">
        <f>+GETPIVOTDATA(" Old Asc. avg",'Averages Pivot Table'!$A$3,"State","OK","Category",6,"Category2","Four-Year")</f>
        <v>54569.445878571431</v>
      </c>
      <c r="E292" s="118">
        <f t="shared" si="46"/>
        <v>11</v>
      </c>
      <c r="F292" s="126">
        <f>+GETPIVOTDATA(" Old Ast. avg",'Averages Pivot Table'!$A$3,"State","OK","Category",6,"Category2","Four-Year")</f>
        <v>45565.789881818178</v>
      </c>
      <c r="G292" s="118">
        <f t="shared" si="42"/>
        <v>12</v>
      </c>
      <c r="H292" s="126">
        <f>+GETPIVOTDATA(" Old Inst. avg",'Averages Pivot Table'!$A$3,"State","OK","Category",6,"Category2","Four-Year")</f>
        <v>35153.848803333334</v>
      </c>
      <c r="I292" s="118">
        <f t="shared" si="43"/>
        <v>11</v>
      </c>
      <c r="J292" s="126">
        <f>+GETPIVOTDATA(" Old Undesg. avg",'Averages Pivot Table'!$A$3,"State","OK","Category",6,"Category2","Four-Year")</f>
        <v>0</v>
      </c>
      <c r="K292" s="118">
        <f t="shared" si="44"/>
        <v>0</v>
      </c>
      <c r="L292" s="126">
        <f>+GETPIVOTDATA(" Old All Ranks avg",'Averages Pivot Table'!$A$3,"State","OK","Category",6,"Category2","Four-Year")</f>
        <v>47440.789301869154</v>
      </c>
      <c r="M292" s="118">
        <f t="shared" si="45"/>
        <v>12</v>
      </c>
      <c r="N292" s="126"/>
      <c r="O292" s="129"/>
    </row>
    <row r="293" spans="1:15" ht="12.95" customHeight="1" x14ac:dyDescent="0.25">
      <c r="A293" s="132" t="s">
        <v>215</v>
      </c>
      <c r="B293" s="126">
        <f>+GETPIVOTDATA(" Old Prof avg",'Averages Pivot Table'!$A$3,"State","SC","Category",6,"Category2","Four-Year")</f>
        <v>73164.096905882354</v>
      </c>
      <c r="C293" s="118">
        <f t="shared" si="46"/>
        <v>8</v>
      </c>
      <c r="D293" s="126">
        <f>+GETPIVOTDATA(" Old Asc. avg",'Averages Pivot Table'!$A$3,"State","SC","Category",6,"Category2","Four-Year")</f>
        <v>58920.214755905516</v>
      </c>
      <c r="E293" s="118">
        <f t="shared" si="46"/>
        <v>9</v>
      </c>
      <c r="F293" s="126">
        <f>+GETPIVOTDATA(" Old Ast. avg",'Averages Pivot Table'!$A$3,"State","SC","Category",6,"Category2","Four-Year")</f>
        <v>50820.607352272724</v>
      </c>
      <c r="G293" s="118">
        <f t="shared" si="42"/>
        <v>9</v>
      </c>
      <c r="H293" s="126">
        <f>+GETPIVOTDATA(" Old Inst. avg",'Averages Pivot Table'!$A$3,"State","SC","Category",6,"Category2","Four-Year")</f>
        <v>44085.373708843537</v>
      </c>
      <c r="I293" s="118">
        <f t="shared" si="43"/>
        <v>4</v>
      </c>
      <c r="J293" s="126">
        <f>+GETPIVOTDATA(" Old Undesg. avg",'Averages Pivot Table'!$A$3,"State","SC","Category",6,"Category2","Four-Year")</f>
        <v>34040.082399999999</v>
      </c>
      <c r="K293" s="118">
        <f t="shared" si="44"/>
        <v>7</v>
      </c>
      <c r="L293" s="126">
        <f>+GETPIVOTDATA(" Old All Ranks avg",'Averages Pivot Table'!$A$3,"State","SC","Category",6,"Category2","Four-Year")</f>
        <v>54216.326866173753</v>
      </c>
      <c r="M293" s="118">
        <f t="shared" si="45"/>
        <v>8</v>
      </c>
      <c r="N293" s="126"/>
      <c r="O293" s="129"/>
    </row>
    <row r="294" spans="1:15" ht="12.95" customHeight="1" x14ac:dyDescent="0.25">
      <c r="A294" s="132"/>
      <c r="B294" s="126"/>
      <c r="C294" s="118">
        <f t="shared" si="46"/>
        <v>0</v>
      </c>
      <c r="D294" s="126"/>
      <c r="E294" s="118">
        <f t="shared" si="46"/>
        <v>0</v>
      </c>
      <c r="F294" s="126"/>
      <c r="G294" s="118">
        <f t="shared" si="42"/>
        <v>0</v>
      </c>
      <c r="H294" s="126"/>
      <c r="I294" s="118">
        <f t="shared" si="43"/>
        <v>0</v>
      </c>
      <c r="J294" s="126"/>
      <c r="K294" s="118">
        <f t="shared" si="44"/>
        <v>0</v>
      </c>
      <c r="L294" s="126"/>
      <c r="M294" s="118">
        <f t="shared" si="45"/>
        <v>0</v>
      </c>
      <c r="N294" s="126"/>
      <c r="O294" s="129"/>
    </row>
    <row r="295" spans="1:15" ht="12.95" customHeight="1" x14ac:dyDescent="0.25">
      <c r="A295" s="132" t="s">
        <v>216</v>
      </c>
      <c r="B295" s="563">
        <f>+GETPIVOTDATA(" Old Prof avg",'Averages Pivot Table'!$A$3,"State","TN","Category",6,"Category2","Four-Year")</f>
        <v>0</v>
      </c>
      <c r="C295" s="118">
        <f t="shared" si="46"/>
        <v>0</v>
      </c>
      <c r="D295" s="563">
        <f>+GETPIVOTDATA(" Old Asc. avg",'Averages Pivot Table'!$A$3,"State","TN","Category",6,"Category2","Four-Year")</f>
        <v>0</v>
      </c>
      <c r="E295" s="118">
        <f t="shared" si="46"/>
        <v>0</v>
      </c>
      <c r="F295" s="563">
        <f>+GETPIVOTDATA(" Old Ast. avg",'Averages Pivot Table'!$A$3,"State","TN","Category",6,"Category2","Four-Year")</f>
        <v>0</v>
      </c>
      <c r="G295" s="118">
        <f t="shared" si="42"/>
        <v>0</v>
      </c>
      <c r="H295" s="563">
        <f>+GETPIVOTDATA(" Old Inst. avg",'Averages Pivot Table'!$A$3,"State","TN","Category",6,"Category2","Four-Year")</f>
        <v>0</v>
      </c>
      <c r="I295" s="118">
        <f t="shared" si="43"/>
        <v>0</v>
      </c>
      <c r="J295" s="563">
        <f>+GETPIVOTDATA(" Old Undesg. avg",'Averages Pivot Table'!$A$3,"State","TN","Category",6,"Category2","Four-Year")</f>
        <v>0</v>
      </c>
      <c r="K295" s="118">
        <f t="shared" si="44"/>
        <v>0</v>
      </c>
      <c r="L295" s="563">
        <f>+GETPIVOTDATA(" Old All Ranks avg",'Averages Pivot Table'!$A$3,"State","TN","Category",6,"Category2","Four-Year")</f>
        <v>0</v>
      </c>
      <c r="M295" s="118">
        <f t="shared" si="45"/>
        <v>0</v>
      </c>
      <c r="N295" s="126"/>
      <c r="O295" s="129"/>
    </row>
    <row r="296" spans="1:15" ht="12.95" customHeight="1" x14ac:dyDescent="0.25">
      <c r="A296" s="132" t="s">
        <v>217</v>
      </c>
      <c r="B296" s="563">
        <f>+GETPIVOTDATA(" Old Prof avg",'Averages Pivot Table'!$A$3,"State","TX","Category",6,"Category2","Four-Year")</f>
        <v>98105.197966666659</v>
      </c>
      <c r="C296" s="118">
        <f t="shared" si="46"/>
        <v>1</v>
      </c>
      <c r="D296" s="563">
        <f>+GETPIVOTDATA(" Old Asc. avg",'Averages Pivot Table'!$A$3,"State","TX","Category",6,"Category2","Four-Year")</f>
        <v>66528.928571428565</v>
      </c>
      <c r="E296" s="118">
        <f t="shared" si="46"/>
        <v>4</v>
      </c>
      <c r="F296" s="563">
        <f>+GETPIVOTDATA(" Old Ast. avg",'Averages Pivot Table'!$A$3,"State","TX","Category",6,"Category2","Four-Year")</f>
        <v>65825.382155555562</v>
      </c>
      <c r="G296" s="118">
        <f t="shared" si="42"/>
        <v>1</v>
      </c>
      <c r="H296" s="563">
        <f>+GETPIVOTDATA(" Old Inst. avg",'Averages Pivot Table'!$A$3,"State","TX","Category",6,"Category2","Four-Year")</f>
        <v>0</v>
      </c>
      <c r="I296" s="118">
        <f t="shared" si="43"/>
        <v>0</v>
      </c>
      <c r="J296" s="563">
        <f>+GETPIVOTDATA(" Old Undesg. avg",'Averages Pivot Table'!$A$3,"State","TX","Category",6,"Category2","Four-Year")</f>
        <v>35198.372028409089</v>
      </c>
      <c r="K296" s="118">
        <f t="shared" si="44"/>
        <v>6</v>
      </c>
      <c r="L296" s="563">
        <f>+GETPIVOTDATA(" Old All Ranks avg",'Averages Pivot Table'!$A$3,"State","TX","Category",6,"Category2","Four-Year")</f>
        <v>75975.039992500009</v>
      </c>
      <c r="M296" s="118">
        <f t="shared" si="45"/>
        <v>1</v>
      </c>
      <c r="N296" s="126"/>
      <c r="O296" s="129"/>
    </row>
    <row r="297" spans="1:15" ht="12.95" customHeight="1" x14ac:dyDescent="0.25">
      <c r="A297" s="132" t="s">
        <v>218</v>
      </c>
      <c r="B297" s="563">
        <f>+GETPIVOTDATA(" Old Prof avg",'Averages Pivot Table'!$A$3,"State","VA","Category",6,"Category2","Four-Year")</f>
        <v>74989.31578947368</v>
      </c>
      <c r="C297" s="118">
        <f t="shared" si="46"/>
        <v>7</v>
      </c>
      <c r="D297" s="563">
        <f>+GETPIVOTDATA(" Old Asc. avg",'Averages Pivot Table'!$A$3,"State","VA","Category",6,"Category2","Four-Year")</f>
        <v>60041</v>
      </c>
      <c r="E297" s="118">
        <f t="shared" si="46"/>
        <v>8</v>
      </c>
      <c r="F297" s="563">
        <f>+GETPIVOTDATA(" Old Ast. avg",'Averages Pivot Table'!$A$3,"State","VA","Category",6,"Category2","Four-Year")</f>
        <v>55810</v>
      </c>
      <c r="G297" s="118">
        <f t="shared" si="42"/>
        <v>4</v>
      </c>
      <c r="H297" s="563">
        <f>+GETPIVOTDATA(" Old Inst. avg",'Averages Pivot Table'!$A$3,"State","VA","Category",6,"Category2","Four-Year")</f>
        <v>43276.902727272725</v>
      </c>
      <c r="I297" s="118">
        <f t="shared" si="43"/>
        <v>5</v>
      </c>
      <c r="J297" s="563">
        <f>+GETPIVOTDATA(" Old Undesg. avg",'Averages Pivot Table'!$A$3,"State","VA","Category",6,"Category2","Four-Year")</f>
        <v>41100</v>
      </c>
      <c r="K297" s="118">
        <f t="shared" si="44"/>
        <v>4</v>
      </c>
      <c r="L297" s="563">
        <f>+GETPIVOTDATA(" Old All Ranks avg",'Averages Pivot Table'!$A$3,"State","VA","Category",6,"Category2","Four-Year")</f>
        <v>57971.185274725278</v>
      </c>
      <c r="M297" s="118">
        <f t="shared" si="45"/>
        <v>7</v>
      </c>
      <c r="N297" s="126"/>
      <c r="O297" s="126"/>
    </row>
    <row r="298" spans="1:15" ht="12.95" customHeight="1" x14ac:dyDescent="0.25">
      <c r="A298" s="6" t="s">
        <v>219</v>
      </c>
      <c r="B298" s="566">
        <f>+GETPIVOTDATA(" Old Prof avg",'Averages Pivot Table'!$A$3,"State","WV","Category",6,"Category2","Four-Year")</f>
        <v>68109.256267716541</v>
      </c>
      <c r="C298" s="119">
        <f t="shared" si="46"/>
        <v>9</v>
      </c>
      <c r="D298" s="566">
        <f>+GETPIVOTDATA(" Old Asc. avg",'Averages Pivot Table'!$A$3,"State","WV","Category",6,"Category2","Four-Year")</f>
        <v>57288.1466</v>
      </c>
      <c r="E298" s="119">
        <f t="shared" si="46"/>
        <v>10</v>
      </c>
      <c r="F298" s="566">
        <f>+GETPIVOTDATA(" Old Ast. avg",'Averages Pivot Table'!$A$3,"State","WV","Category",6,"Category2","Four-Year")</f>
        <v>49294.949289201875</v>
      </c>
      <c r="G298" s="119">
        <f t="shared" si="42"/>
        <v>10</v>
      </c>
      <c r="H298" s="566">
        <f>+GETPIVOTDATA(" Old Inst. avg",'Averages Pivot Table'!$A$3,"State","WV","Category",6,"Category2","Four-Year")</f>
        <v>40351.319551219509</v>
      </c>
      <c r="I298" s="119">
        <f t="shared" si="43"/>
        <v>9</v>
      </c>
      <c r="J298" s="566">
        <f>+GETPIVOTDATA(" Old Undesg. avg",'Averages Pivot Table'!$A$3,"State","WV","Category",6,"Category2","Four-Year")</f>
        <v>44801.803413333335</v>
      </c>
      <c r="K298" s="119">
        <f t="shared" si="44"/>
        <v>2</v>
      </c>
      <c r="L298" s="566">
        <f>+GETPIVOTDATA(" Old All Ranks avg",'Averages Pivot Table'!$A$3,"State","WV","Category",6,"Category2","Four-Year")</f>
        <v>54021.619901543745</v>
      </c>
      <c r="M298" s="119">
        <f t="shared" si="45"/>
        <v>9</v>
      </c>
      <c r="N298" s="126"/>
      <c r="O298" s="126"/>
    </row>
    <row r="299" spans="1:15" ht="30" customHeight="1" x14ac:dyDescent="0.25">
      <c r="A299" s="672" t="s">
        <v>91</v>
      </c>
      <c r="B299" s="680"/>
      <c r="C299" s="680"/>
      <c r="D299" s="680"/>
      <c r="E299" s="680"/>
      <c r="F299" s="680"/>
      <c r="G299" s="680"/>
      <c r="H299" s="680"/>
      <c r="I299" s="680"/>
      <c r="J299" s="680"/>
      <c r="K299" s="680"/>
      <c r="L299" s="680"/>
      <c r="M299" s="680"/>
      <c r="N299" s="132"/>
      <c r="O299" s="132"/>
    </row>
    <row r="300" spans="1:15" x14ac:dyDescent="0.25">
      <c r="M300" s="157" t="s">
        <v>1083</v>
      </c>
      <c r="O300" s="131"/>
    </row>
    <row r="301" spans="1:15" ht="18" x14ac:dyDescent="0.25">
      <c r="A301" s="544" t="s">
        <v>269</v>
      </c>
      <c r="B301" s="544"/>
      <c r="C301" s="544"/>
      <c r="D301" s="544"/>
      <c r="E301" s="544"/>
      <c r="F301" s="544"/>
      <c r="G301" s="544"/>
      <c r="H301" s="544"/>
      <c r="I301" s="544"/>
      <c r="J301" s="544"/>
      <c r="K301" s="544"/>
      <c r="L301" s="544"/>
      <c r="M301" s="544"/>
      <c r="N301" s="544"/>
      <c r="O301" s="544"/>
    </row>
    <row r="302" spans="1:15" x14ac:dyDescent="0.25">
      <c r="A302" s="588"/>
      <c r="B302" s="93"/>
      <c r="C302" s="93"/>
      <c r="D302" s="93"/>
      <c r="E302" s="93"/>
      <c r="F302" s="93"/>
      <c r="G302" s="93"/>
      <c r="H302" s="93"/>
      <c r="I302" s="93"/>
      <c r="J302" s="93"/>
      <c r="K302" s="93"/>
      <c r="L302" s="93"/>
      <c r="M302" s="93"/>
      <c r="N302" s="93"/>
      <c r="O302" s="93"/>
    </row>
    <row r="303" spans="1:15" x14ac:dyDescent="0.25">
      <c r="A303" s="665" t="s">
        <v>220</v>
      </c>
      <c r="B303" s="665"/>
      <c r="C303" s="665"/>
      <c r="D303" s="665"/>
      <c r="E303" s="665"/>
      <c r="F303" s="665"/>
      <c r="G303" s="665"/>
      <c r="H303" s="665"/>
      <c r="I303" s="665"/>
      <c r="J303" s="665"/>
      <c r="K303" s="665"/>
      <c r="L303" s="665"/>
      <c r="M303" s="665"/>
      <c r="N303" s="665"/>
      <c r="O303" s="665"/>
    </row>
    <row r="304" spans="1:15" x14ac:dyDescent="0.25">
      <c r="A304" s="665" t="s">
        <v>311</v>
      </c>
      <c r="B304" s="665"/>
      <c r="C304" s="665"/>
      <c r="D304" s="665"/>
      <c r="E304" s="665"/>
      <c r="F304" s="665"/>
      <c r="G304" s="665"/>
      <c r="H304" s="665"/>
      <c r="I304" s="665"/>
      <c r="J304" s="665"/>
      <c r="K304" s="665"/>
      <c r="L304" s="665"/>
      <c r="M304" s="665"/>
      <c r="N304" s="665"/>
      <c r="O304" s="665"/>
    </row>
    <row r="305" spans="1:19" x14ac:dyDescent="0.25">
      <c r="A305" s="132"/>
      <c r="B305" s="132"/>
      <c r="C305" s="132"/>
      <c r="D305" s="132"/>
      <c r="E305" s="132"/>
      <c r="F305" s="132"/>
      <c r="G305" s="132"/>
      <c r="H305" s="132"/>
      <c r="I305" s="132"/>
      <c r="J305" s="132"/>
      <c r="K305" s="132"/>
      <c r="L305" s="132"/>
      <c r="M305" s="132"/>
      <c r="N305" s="132"/>
      <c r="O305" s="132"/>
    </row>
    <row r="306" spans="1:19" ht="33" customHeight="1" x14ac:dyDescent="0.25">
      <c r="A306" s="547"/>
      <c r="B306" s="589" t="s">
        <v>99</v>
      </c>
      <c r="C306" s="142"/>
      <c r="D306" s="590" t="s">
        <v>100</v>
      </c>
      <c r="E306" s="591"/>
      <c r="F306" s="590" t="s">
        <v>101</v>
      </c>
      <c r="G306" s="591"/>
      <c r="H306" s="589" t="s">
        <v>102</v>
      </c>
      <c r="I306" s="142"/>
      <c r="J306" s="590" t="s">
        <v>226</v>
      </c>
      <c r="K306" s="591"/>
      <c r="L306" s="142" t="s">
        <v>82</v>
      </c>
      <c r="M306" s="142"/>
      <c r="N306" s="142" t="s">
        <v>84</v>
      </c>
      <c r="O306" s="142"/>
    </row>
    <row r="307" spans="1:19" x14ac:dyDescent="0.25">
      <c r="A307" s="551"/>
      <c r="B307" s="115" t="s">
        <v>103</v>
      </c>
      <c r="C307" s="143" t="s">
        <v>193</v>
      </c>
      <c r="D307" s="115" t="s">
        <v>103</v>
      </c>
      <c r="E307" s="143" t="s">
        <v>193</v>
      </c>
      <c r="F307" s="115" t="s">
        <v>103</v>
      </c>
      <c r="G307" s="143" t="s">
        <v>193</v>
      </c>
      <c r="H307" s="115" t="s">
        <v>103</v>
      </c>
      <c r="I307" s="143" t="s">
        <v>193</v>
      </c>
      <c r="J307" s="115" t="s">
        <v>103</v>
      </c>
      <c r="K307" s="143" t="s">
        <v>193</v>
      </c>
      <c r="L307" s="115" t="s">
        <v>103</v>
      </c>
      <c r="M307" s="143" t="s">
        <v>193</v>
      </c>
      <c r="N307" s="115" t="s">
        <v>103</v>
      </c>
      <c r="O307" s="143" t="s">
        <v>193</v>
      </c>
    </row>
    <row r="308" spans="1:19" s="556" customFormat="1" ht="18" customHeight="1" x14ac:dyDescent="0.25">
      <c r="A308" s="554" t="s">
        <v>222</v>
      </c>
      <c r="B308" s="146">
        <f>+GETPIVOTDATA(" Old Prof avg",'Averages Pivot Table'!$A$3,"Category2","Two-Year")</f>
        <v>65698.362478145587</v>
      </c>
      <c r="C308" s="146"/>
      <c r="D308" s="146">
        <f>+GETPIVOTDATA(" Old Asc. avg",'Averages Pivot Table'!$A$3,"Category2","Two-Year")</f>
        <v>54791.319547830208</v>
      </c>
      <c r="E308" s="146"/>
      <c r="F308" s="146">
        <f>+GETPIVOTDATA(" Old Ast. avg",'Averages Pivot Table'!$A$3,"Category2","Two-Year")</f>
        <v>49789.775566738914</v>
      </c>
      <c r="G308" s="146"/>
      <c r="H308" s="146">
        <f>+GETPIVOTDATA(" Old Inst. avg",'Averages Pivot Table'!$A$3,"Category2","Two-Year")</f>
        <v>46025.767580464613</v>
      </c>
      <c r="I308" s="146"/>
      <c r="J308" s="146">
        <f>+GETPIVOTDATA(" Old Undesg. avg",'Averages Pivot Table'!$A$3,"Category2","Two-Year")</f>
        <v>44926.961267470913</v>
      </c>
      <c r="K308" s="146"/>
      <c r="L308" s="146">
        <f>+GETPIVOTDATA(" Old Single Rnk avg",'Averages Pivot Table'!$A$3,"Category2","Two-Year")</f>
        <v>50874.605263073798</v>
      </c>
      <c r="M308" s="146"/>
      <c r="N308" s="146">
        <f>+GETPIVOTDATA(" Old All Ranks avg",'Averages Pivot Table'!$A$3,"Category2","Two-Year")</f>
        <v>51679.10817866453</v>
      </c>
      <c r="O308" s="133"/>
      <c r="Q308" s="558"/>
      <c r="R308" s="558"/>
      <c r="S308" s="558"/>
    </row>
    <row r="309" spans="1:19" ht="12.95" customHeight="1" x14ac:dyDescent="0.25">
      <c r="A309" s="132"/>
      <c r="B309" s="123"/>
      <c r="C309" s="150"/>
      <c r="D309" s="123"/>
      <c r="E309" s="150"/>
      <c r="F309" s="123"/>
      <c r="G309" s="150"/>
      <c r="H309" s="123"/>
      <c r="I309" s="150"/>
      <c r="J309" s="123"/>
      <c r="K309" s="150"/>
      <c r="L309" s="123"/>
      <c r="M309" s="150"/>
      <c r="N309" s="123"/>
      <c r="O309" s="134"/>
    </row>
    <row r="310" spans="1:19" ht="12.95" customHeight="1" x14ac:dyDescent="0.25">
      <c r="A310" s="132" t="s">
        <v>205</v>
      </c>
      <c r="B310" s="126">
        <f>+GETPIVOTDATA(" Old Prof avg",'Averages Pivot Table'!$A$3,"State","AL","Category2","Two-Year")</f>
        <v>0</v>
      </c>
      <c r="C310" s="118">
        <f>IF(B310&gt;0,(RANK(B310,B$310:B$328)),0)</f>
        <v>0</v>
      </c>
      <c r="D310" s="126">
        <f>+GETPIVOTDATA(" Old Asc. avg",'Averages Pivot Table'!$A$3,"State","AL","Category2","Two-Year")</f>
        <v>0</v>
      </c>
      <c r="E310" s="118">
        <f>IF(D310&gt;0,(RANK(D310,D$310:D$328)),0)</f>
        <v>0</v>
      </c>
      <c r="F310" s="126">
        <f>+GETPIVOTDATA(" Old Ast. avg",'Averages Pivot Table'!$A$3,"State","AL","Category2","Two-Year")</f>
        <v>0</v>
      </c>
      <c r="G310" s="118">
        <f t="shared" ref="G310:G328" si="47">IF(F310&gt;0,(RANK(F310,F$310:F$328)),0)</f>
        <v>0</v>
      </c>
      <c r="H310" s="126">
        <f>+GETPIVOTDATA(" Old Inst. avg",'Averages Pivot Table'!$A$3,"State","AL","Category2","Two-Year")</f>
        <v>0</v>
      </c>
      <c r="I310" s="118">
        <f t="shared" ref="I310:I328" si="48">IF(H310&gt;0,(RANK(H310,H$310:H$328)),0)</f>
        <v>0</v>
      </c>
      <c r="J310" s="126">
        <f>+GETPIVOTDATA(" Old Undesg. avg",'Averages Pivot Table'!$A$3,"State","AL","Category2","Two-Year")</f>
        <v>0</v>
      </c>
      <c r="K310" s="118">
        <f t="shared" ref="K310:K328" si="49">IF(J310&gt;0,(RANK(J310,J$310:J$328)),0)</f>
        <v>0</v>
      </c>
      <c r="L310" s="126">
        <f>+GETPIVOTDATA(" Old Single Rnk avg",'Averages Pivot Table'!$A$3,"State","AL","Category2","Two-Year")</f>
        <v>53018.942272532433</v>
      </c>
      <c r="M310" s="118">
        <f t="shared" ref="M310:M328" si="50">IF(L310&gt;0,(RANK(L310,L$310:L$328)),0)</f>
        <v>4</v>
      </c>
      <c r="N310" s="126">
        <f>+GETPIVOTDATA(" Old All Ranks avg",'Averages Pivot Table'!$A$3,"State","AL","Category2","Two-Year")</f>
        <v>53018.942272532433</v>
      </c>
      <c r="O310" s="118">
        <f t="shared" ref="O310:O328" si="51">IF(N310&gt;0,(RANK(N310,N$310:N$328)),0)</f>
        <v>6</v>
      </c>
    </row>
    <row r="311" spans="1:19" ht="12.95" customHeight="1" x14ac:dyDescent="0.25">
      <c r="A311" s="132" t="s">
        <v>206</v>
      </c>
      <c r="B311" s="126">
        <f>+GETPIVOTDATA(" Old Prof avg",'Averages Pivot Table'!$A$3,"State","AR","Category2","Two-Year")</f>
        <v>57778.512439999999</v>
      </c>
      <c r="C311" s="118">
        <f t="shared" ref="C311:E328" si="52">IF(B311&gt;0,(RANK(B311,B$310:B$328)),0)</f>
        <v>10</v>
      </c>
      <c r="D311" s="126">
        <f>+GETPIVOTDATA(" Old Asc. avg",'Averages Pivot Table'!$A$3,"State","AR","Category2","Two-Year")</f>
        <v>56579.617133333333</v>
      </c>
      <c r="E311" s="118">
        <f t="shared" si="52"/>
        <v>3</v>
      </c>
      <c r="F311" s="126">
        <f>+GETPIVOTDATA(" Old Ast. avg",'Averages Pivot Table'!$A$3,"State","AR","Category2","Two-Year")</f>
        <v>44804.996163636359</v>
      </c>
      <c r="G311" s="118">
        <f t="shared" si="47"/>
        <v>8</v>
      </c>
      <c r="H311" s="126">
        <f>+GETPIVOTDATA(" Old Inst. avg",'Averages Pivot Table'!$A$3,"State","AR","Category2","Two-Year")</f>
        <v>39710.288411920534</v>
      </c>
      <c r="I311" s="118">
        <f t="shared" si="48"/>
        <v>7</v>
      </c>
      <c r="J311" s="126">
        <f>+GETPIVOTDATA(" Old Undesg. avg",'Averages Pivot Table'!$A$3,"State","AR","Category2","Two-Year")</f>
        <v>0</v>
      </c>
      <c r="K311" s="118">
        <f t="shared" si="49"/>
        <v>0</v>
      </c>
      <c r="L311" s="126">
        <f>+GETPIVOTDATA(" Old Single Rnk avg",'Averages Pivot Table'!$A$3,"State","AR","Category2","Two-Year")</f>
        <v>43839.398560167363</v>
      </c>
      <c r="M311" s="118">
        <f t="shared" si="50"/>
        <v>8</v>
      </c>
      <c r="N311" s="126">
        <f>+GETPIVOTDATA(" Old All Ranks avg",'Averages Pivot Table'!$A$3,"State","AR","Category2","Two-Year")</f>
        <v>43576.138634502102</v>
      </c>
      <c r="O311" s="118">
        <f t="shared" si="51"/>
        <v>16</v>
      </c>
    </row>
    <row r="312" spans="1:19" ht="12.95" customHeight="1" x14ac:dyDescent="0.25">
      <c r="A312" s="132" t="s">
        <v>221</v>
      </c>
      <c r="B312" s="126">
        <f>+GETPIVOTDATA(" Old Prof avg",'Averages Pivot Table'!$A$3,"State","DE","Category2","Two-Year")</f>
        <v>0</v>
      </c>
      <c r="C312" s="118">
        <f t="shared" si="52"/>
        <v>0</v>
      </c>
      <c r="D312" s="126">
        <f>+GETPIVOTDATA(" Old Asc. avg",'Averages Pivot Table'!$A$3,"State","DE","Category2","Two-Year")</f>
        <v>0</v>
      </c>
      <c r="E312" s="118">
        <f t="shared" si="52"/>
        <v>0</v>
      </c>
      <c r="F312" s="126">
        <f>+GETPIVOTDATA(" Old Ast. avg",'Averages Pivot Table'!$A$3,"State","DE","Category2","Two-Year")</f>
        <v>0</v>
      </c>
      <c r="G312" s="118">
        <f t="shared" si="47"/>
        <v>0</v>
      </c>
      <c r="H312" s="126">
        <f>+GETPIVOTDATA(" Old Inst. avg",'Averages Pivot Table'!$A$3,"State","DE","Category2","Two-Year")</f>
        <v>0</v>
      </c>
      <c r="I312" s="118">
        <f t="shared" si="48"/>
        <v>0</v>
      </c>
      <c r="J312" s="126">
        <f>+GETPIVOTDATA(" Old Undesg. avg",'Averages Pivot Table'!$A$3,"State","DE","Category2","Two-Year")</f>
        <v>0</v>
      </c>
      <c r="K312" s="118">
        <f t="shared" si="49"/>
        <v>0</v>
      </c>
      <c r="L312" s="126">
        <f>+GETPIVOTDATA(" Old Single Rnk avg",'Averages Pivot Table'!$A$3,"State","DE","Category2","Two-Year")</f>
        <v>63804.420643749996</v>
      </c>
      <c r="M312" s="118">
        <f t="shared" si="50"/>
        <v>1</v>
      </c>
      <c r="N312" s="126">
        <f>+GETPIVOTDATA(" Old All Ranks avg",'Averages Pivot Table'!$A$3,"State","DE","Category2","Two-Year")</f>
        <v>63804.420643749996</v>
      </c>
      <c r="O312" s="118">
        <f t="shared" si="51"/>
        <v>2</v>
      </c>
    </row>
    <row r="313" spans="1:19" ht="12.95" customHeight="1" x14ac:dyDescent="0.25">
      <c r="A313" s="132" t="s">
        <v>207</v>
      </c>
      <c r="B313" s="126">
        <f>+GETPIVOTDATA(" Old Prof avg",'Averages Pivot Table'!$A$3,"State","FL","Category2","Two-Year")</f>
        <v>0</v>
      </c>
      <c r="C313" s="118">
        <f t="shared" si="52"/>
        <v>0</v>
      </c>
      <c r="D313" s="126">
        <f>+GETPIVOTDATA(" Old Asc. avg",'Averages Pivot Table'!$A$3,"State","FL","Category2","Two-Year")</f>
        <v>0</v>
      </c>
      <c r="E313" s="118">
        <f t="shared" si="52"/>
        <v>0</v>
      </c>
      <c r="F313" s="126">
        <f>+GETPIVOTDATA(" Old Ast. avg",'Averages Pivot Table'!$A$3,"State","FL","Category2","Two-Year")</f>
        <v>0</v>
      </c>
      <c r="G313" s="118">
        <f t="shared" si="47"/>
        <v>0</v>
      </c>
      <c r="H313" s="126">
        <f>+GETPIVOTDATA(" Old Inst. avg",'Averages Pivot Table'!$A$3,"State","FL","Category2","Two-Year")</f>
        <v>0</v>
      </c>
      <c r="I313" s="118">
        <f t="shared" si="48"/>
        <v>0</v>
      </c>
      <c r="J313" s="126">
        <f>+GETPIVOTDATA(" Old Undesg. avg",'Averages Pivot Table'!$A$3,"State","FL","Category2","Two-Year")</f>
        <v>0</v>
      </c>
      <c r="K313" s="118">
        <f t="shared" si="49"/>
        <v>0</v>
      </c>
      <c r="L313" s="126">
        <f>+GETPIVOTDATA(" Old Single Rnk avg",'Averages Pivot Table'!$A$3,"State","FL","Category2","Two-Year")</f>
        <v>54243.92208265065</v>
      </c>
      <c r="M313" s="118">
        <f t="shared" si="50"/>
        <v>3</v>
      </c>
      <c r="N313" s="126">
        <f>+GETPIVOTDATA(" Old All Ranks avg",'Averages Pivot Table'!$A$3,"State","FL","Category2","Two-Year")</f>
        <v>54243.92208265065</v>
      </c>
      <c r="O313" s="118">
        <f t="shared" si="51"/>
        <v>4</v>
      </c>
    </row>
    <row r="314" spans="1:19" ht="12.95" customHeight="1" x14ac:dyDescent="0.25">
      <c r="A314" s="132"/>
      <c r="B314" s="126"/>
      <c r="C314" s="118">
        <f t="shared" si="52"/>
        <v>0</v>
      </c>
      <c r="D314" s="126"/>
      <c r="E314" s="118">
        <f t="shared" si="52"/>
        <v>0</v>
      </c>
      <c r="F314" s="126"/>
      <c r="G314" s="118">
        <f t="shared" si="47"/>
        <v>0</v>
      </c>
      <c r="H314" s="126"/>
      <c r="I314" s="118">
        <f t="shared" si="48"/>
        <v>0</v>
      </c>
      <c r="J314" s="126"/>
      <c r="K314" s="118">
        <f t="shared" si="49"/>
        <v>0</v>
      </c>
      <c r="L314" s="126"/>
      <c r="M314" s="118">
        <f t="shared" si="50"/>
        <v>0</v>
      </c>
      <c r="N314" s="126"/>
      <c r="O314" s="118">
        <f t="shared" si="51"/>
        <v>0</v>
      </c>
    </row>
    <row r="315" spans="1:19" ht="12.95" customHeight="1" x14ac:dyDescent="0.25">
      <c r="A315" s="132" t="s">
        <v>208</v>
      </c>
      <c r="B315" s="126">
        <f>+GETPIVOTDATA(" Old Prof avg",'Averages Pivot Table'!$A$3,"State","GA","Category2","Two-Year")</f>
        <v>64010.766101151843</v>
      </c>
      <c r="C315" s="118">
        <f t="shared" si="52"/>
        <v>5</v>
      </c>
      <c r="D315" s="126">
        <f>+GETPIVOTDATA(" Old Asc. avg",'Averages Pivot Table'!$A$3,"State","GA","Category2","Two-Year")</f>
        <v>53835.801681731202</v>
      </c>
      <c r="E315" s="118">
        <f t="shared" si="52"/>
        <v>6</v>
      </c>
      <c r="F315" s="126">
        <f>+GETPIVOTDATA(" Old Ast. avg",'Averages Pivot Table'!$A$3,"State","GA","Category2","Two-Year")</f>
        <v>45166.643955088279</v>
      </c>
      <c r="G315" s="118">
        <f t="shared" si="47"/>
        <v>7</v>
      </c>
      <c r="H315" s="126">
        <f>+GETPIVOTDATA(" Old Inst. avg",'Averages Pivot Table'!$A$3,"State","GA","Category2","Two-Year")</f>
        <v>40062.251290211083</v>
      </c>
      <c r="I315" s="118">
        <f t="shared" si="48"/>
        <v>6</v>
      </c>
      <c r="J315" s="126">
        <f>+GETPIVOTDATA(" Old Undesg. avg",'Averages Pivot Table'!$A$3,"State","GA","Category2","Two-Year")</f>
        <v>38164.25372967033</v>
      </c>
      <c r="K315" s="118">
        <f t="shared" si="49"/>
        <v>7</v>
      </c>
      <c r="L315" s="126">
        <f>+GETPIVOTDATA(" Old Single Rnk avg",'Averages Pivot Table'!$A$3,"State","GA","Category2","Two-Year")</f>
        <v>0</v>
      </c>
      <c r="M315" s="118">
        <f t="shared" si="50"/>
        <v>0</v>
      </c>
      <c r="N315" s="126">
        <f>+GETPIVOTDATA(" Old All Ranks avg",'Averages Pivot Table'!$A$3,"State","GA","Category2","Two-Year")</f>
        <v>47971.754367968657</v>
      </c>
      <c r="O315" s="118">
        <f t="shared" si="51"/>
        <v>11</v>
      </c>
    </row>
    <row r="316" spans="1:19" ht="12.95" customHeight="1" x14ac:dyDescent="0.25">
      <c r="A316" s="132" t="s">
        <v>209</v>
      </c>
      <c r="B316" s="126">
        <f>+GETPIVOTDATA(" Old Prof avg",'Averages Pivot Table'!$A$3,"State","KY","Category2","Two-Year")</f>
        <v>58366.905191749174</v>
      </c>
      <c r="C316" s="118">
        <f t="shared" si="52"/>
        <v>9</v>
      </c>
      <c r="D316" s="126">
        <f>+GETPIVOTDATA(" Old Asc. avg",'Averages Pivot Table'!$A$3,"State","KY","Category2","Two-Year")</f>
        <v>47891.743360067121</v>
      </c>
      <c r="E316" s="118">
        <f t="shared" si="52"/>
        <v>10</v>
      </c>
      <c r="F316" s="126">
        <f>+GETPIVOTDATA(" Old Ast. avg",'Averages Pivot Table'!$A$3,"State","KY","Category2","Two-Year")</f>
        <v>41133.451012552301</v>
      </c>
      <c r="G316" s="118">
        <f t="shared" si="47"/>
        <v>10</v>
      </c>
      <c r="H316" s="126">
        <f>+GETPIVOTDATA(" Old Inst. avg",'Averages Pivot Table'!$A$3,"State","KY","Category2","Two-Year")</f>
        <v>37504.39841856288</v>
      </c>
      <c r="I316" s="118">
        <f t="shared" si="48"/>
        <v>10</v>
      </c>
      <c r="J316" s="126">
        <f>+GETPIVOTDATA(" Old Undesg. avg",'Averages Pivot Table'!$A$3,"State","KY","Category2","Two-Year")</f>
        <v>0</v>
      </c>
      <c r="K316" s="118">
        <f t="shared" si="49"/>
        <v>0</v>
      </c>
      <c r="L316" s="126">
        <f>+GETPIVOTDATA(" Old Single Rnk avg",'Averages Pivot Table'!$A$3,"State","KY","Category2","Two-Year")</f>
        <v>0</v>
      </c>
      <c r="M316" s="118">
        <f t="shared" si="50"/>
        <v>0</v>
      </c>
      <c r="N316" s="126">
        <f>+GETPIVOTDATA(" Old All Ranks avg",'Averages Pivot Table'!$A$3,"State","KY","Category2","Two-Year")</f>
        <v>48603.485888788731</v>
      </c>
      <c r="O316" s="118">
        <f t="shared" si="51"/>
        <v>9</v>
      </c>
    </row>
    <row r="317" spans="1:19" ht="12.95" customHeight="1" x14ac:dyDescent="0.25">
      <c r="A317" s="132" t="s">
        <v>210</v>
      </c>
      <c r="B317" s="126">
        <f>+GETPIVOTDATA(" Old Prof avg",'Averages Pivot Table'!$A$3,"State","LA","Category2","Two-Year")</f>
        <v>69653.545229268304</v>
      </c>
      <c r="C317" s="118">
        <f t="shared" si="52"/>
        <v>2</v>
      </c>
      <c r="D317" s="126">
        <f>+GETPIVOTDATA(" Old Asc. avg",'Averages Pivot Table'!$A$3,"State","LA","Category2","Two-Year")</f>
        <v>55874.17057011494</v>
      </c>
      <c r="E317" s="118">
        <f t="shared" si="52"/>
        <v>4</v>
      </c>
      <c r="F317" s="126">
        <f>+GETPIVOTDATA(" Old Ast. avg",'Averages Pivot Table'!$A$3,"State","LA","Category2","Two-Year")</f>
        <v>52907.824334387355</v>
      </c>
      <c r="G317" s="118">
        <f t="shared" si="47"/>
        <v>3</v>
      </c>
      <c r="H317" s="126">
        <f>+GETPIVOTDATA(" Old Inst. avg",'Averages Pivot Table'!$A$3,"State","LA","Category2","Two-Year")</f>
        <v>42852.522479069768</v>
      </c>
      <c r="I317" s="118">
        <f t="shared" si="48"/>
        <v>4</v>
      </c>
      <c r="J317" s="126">
        <f>+GETPIVOTDATA(" Old Undesg. avg",'Averages Pivot Table'!$A$3,"State","LA","Category2","Two-Year")</f>
        <v>38882</v>
      </c>
      <c r="K317" s="118">
        <f t="shared" si="49"/>
        <v>4</v>
      </c>
      <c r="L317" s="126">
        <f>+GETPIVOTDATA(" Old Single Rnk avg",'Averages Pivot Table'!$A$3,"State","LA","Category2","Two-Year")</f>
        <v>39308</v>
      </c>
      <c r="M317" s="118">
        <f t="shared" si="50"/>
        <v>9</v>
      </c>
      <c r="N317" s="126">
        <f>+GETPIVOTDATA(" Old All Ranks avg",'Averages Pivot Table'!$A$3,"State","LA","Category2","Two-Year")</f>
        <v>49938.14158728972</v>
      </c>
      <c r="O317" s="118">
        <f t="shared" si="51"/>
        <v>7</v>
      </c>
    </row>
    <row r="318" spans="1:19" ht="12.95" customHeight="1" x14ac:dyDescent="0.25">
      <c r="A318" s="132" t="s">
        <v>211</v>
      </c>
      <c r="B318" s="126">
        <f>+GETPIVOTDATA(" Old Prof avg",'Averages Pivot Table'!$A$3,"State","MD","Category2","Two-Year")</f>
        <v>81061.993123205742</v>
      </c>
      <c r="C318" s="118">
        <f t="shared" si="52"/>
        <v>1</v>
      </c>
      <c r="D318" s="126">
        <f>+GETPIVOTDATA(" Old Asc. avg",'Averages Pivot Table'!$A$3,"State","MD","Category2","Two-Year")</f>
        <v>64492.576602962967</v>
      </c>
      <c r="E318" s="118">
        <f t="shared" si="52"/>
        <v>1</v>
      </c>
      <c r="F318" s="126">
        <f>+GETPIVOTDATA(" Old Ast. avg",'Averages Pivot Table'!$A$3,"State","MD","Category2","Two-Year")</f>
        <v>55594.900709802081</v>
      </c>
      <c r="G318" s="118">
        <f t="shared" si="47"/>
        <v>1</v>
      </c>
      <c r="H318" s="126">
        <f>+GETPIVOTDATA(" Old Inst. avg",'Averages Pivot Table'!$A$3,"State","MD","Category2","Two-Year")</f>
        <v>46812.260336312851</v>
      </c>
      <c r="I318" s="118">
        <f t="shared" si="48"/>
        <v>3</v>
      </c>
      <c r="J318" s="126">
        <f>+GETPIVOTDATA(" Old Undesg. avg",'Averages Pivot Table'!$A$3,"State","MD","Category2","Two-Year")</f>
        <v>45081.20181052632</v>
      </c>
      <c r="K318" s="118">
        <f t="shared" si="49"/>
        <v>3</v>
      </c>
      <c r="L318" s="126">
        <f>+GETPIVOTDATA(" Old Single Rnk avg",'Averages Pivot Table'!$A$3,"State","MD","Category2","Two-Year")</f>
        <v>0</v>
      </c>
      <c r="M318" s="118">
        <f t="shared" si="50"/>
        <v>0</v>
      </c>
      <c r="N318" s="126">
        <f>+GETPIVOTDATA(" Old All Ranks avg",'Averages Pivot Table'!$A$3,"State","MD","Category2","Two-Year")</f>
        <v>65745.12407672072</v>
      </c>
      <c r="O318" s="118">
        <f t="shared" si="51"/>
        <v>1</v>
      </c>
    </row>
    <row r="319" spans="1:19" ht="12.95" customHeight="1" x14ac:dyDescent="0.25">
      <c r="A319" s="132"/>
      <c r="B319" s="126"/>
      <c r="C319" s="118">
        <f t="shared" si="52"/>
        <v>0</v>
      </c>
      <c r="D319" s="126"/>
      <c r="E319" s="118">
        <f t="shared" si="52"/>
        <v>0</v>
      </c>
      <c r="F319" s="126"/>
      <c r="G319" s="118">
        <f t="shared" si="47"/>
        <v>0</v>
      </c>
      <c r="H319" s="126"/>
      <c r="I319" s="118">
        <f t="shared" si="48"/>
        <v>0</v>
      </c>
      <c r="J319" s="126"/>
      <c r="K319" s="118">
        <f t="shared" si="49"/>
        <v>0</v>
      </c>
      <c r="L319" s="126"/>
      <c r="M319" s="118">
        <f t="shared" si="50"/>
        <v>0</v>
      </c>
      <c r="N319" s="126"/>
      <c r="O319" s="118">
        <f t="shared" si="51"/>
        <v>0</v>
      </c>
    </row>
    <row r="320" spans="1:19" ht="12.95" customHeight="1" x14ac:dyDescent="0.25">
      <c r="A320" s="132" t="s">
        <v>212</v>
      </c>
      <c r="B320" s="126">
        <f>+GETPIVOTDATA(" Old Prof avg",'Averages Pivot Table'!$A$3,"State","MS","Category2","Two-Year")</f>
        <v>0</v>
      </c>
      <c r="C320" s="118">
        <f t="shared" si="52"/>
        <v>0</v>
      </c>
      <c r="D320" s="126">
        <f>+GETPIVOTDATA(" Old Asc. avg",'Averages Pivot Table'!$A$3,"State","MS","Category2","Two-Year")</f>
        <v>0</v>
      </c>
      <c r="E320" s="118">
        <f t="shared" si="52"/>
        <v>0</v>
      </c>
      <c r="F320" s="126">
        <f>+GETPIVOTDATA(" Old Ast. avg",'Averages Pivot Table'!$A$3,"State","MS","Category2","Two-Year")</f>
        <v>0</v>
      </c>
      <c r="G320" s="118">
        <f t="shared" si="47"/>
        <v>0</v>
      </c>
      <c r="H320" s="126">
        <f>+GETPIVOTDATA(" Old Inst. avg",'Averages Pivot Table'!$A$3,"State","MS","Category2","Two-Year")</f>
        <v>0</v>
      </c>
      <c r="I320" s="118">
        <f t="shared" si="48"/>
        <v>0</v>
      </c>
      <c r="J320" s="126">
        <f>+GETPIVOTDATA(" Old Undesg. avg",'Averages Pivot Table'!$A$3,"State","MS","Category2","Two-Year")</f>
        <v>0</v>
      </c>
      <c r="K320" s="118">
        <f t="shared" si="49"/>
        <v>0</v>
      </c>
      <c r="L320" s="126">
        <f>+GETPIVOTDATA(" Old Single Rnk avg",'Averages Pivot Table'!$A$3,"State","MS","Category2","Two-Year")</f>
        <v>49309.383603560455</v>
      </c>
      <c r="M320" s="118">
        <f t="shared" si="50"/>
        <v>5</v>
      </c>
      <c r="N320" s="126">
        <f>+GETPIVOTDATA(" Old All Ranks avg",'Averages Pivot Table'!$A$3,"State","MS","Category2","Two-Year")</f>
        <v>49309.383603560455</v>
      </c>
      <c r="O320" s="118">
        <f t="shared" si="51"/>
        <v>8</v>
      </c>
    </row>
    <row r="321" spans="1:16" ht="12.95" customHeight="1" x14ac:dyDescent="0.25">
      <c r="A321" s="132" t="s">
        <v>213</v>
      </c>
      <c r="B321" s="126">
        <f>+GETPIVOTDATA(" Old Prof avg",'Averages Pivot Table'!$A$3,"State","NC","Category2","Two-Year")</f>
        <v>0</v>
      </c>
      <c r="C321" s="118">
        <f t="shared" si="52"/>
        <v>0</v>
      </c>
      <c r="D321" s="126">
        <f>+GETPIVOTDATA(" Old Asc. avg",'Averages Pivot Table'!$A$3,"State","NC","Category2","Two-Year")</f>
        <v>0</v>
      </c>
      <c r="E321" s="118">
        <f t="shared" si="52"/>
        <v>0</v>
      </c>
      <c r="F321" s="126">
        <f>+GETPIVOTDATA(" Old Ast. avg",'Averages Pivot Table'!$A$3,"State","NC","Category2","Two-Year")</f>
        <v>0</v>
      </c>
      <c r="G321" s="118">
        <f t="shared" si="47"/>
        <v>0</v>
      </c>
      <c r="H321" s="126">
        <f>+GETPIVOTDATA(" Old Inst. avg",'Averages Pivot Table'!$A$3,"State","NC","Category2","Two-Year")</f>
        <v>0</v>
      </c>
      <c r="I321" s="118">
        <f t="shared" si="48"/>
        <v>0</v>
      </c>
      <c r="J321" s="126">
        <f>+GETPIVOTDATA(" Old Undesg. avg",'Averages Pivot Table'!$A$3,"State","NC","Category2","Two-Year")</f>
        <v>0</v>
      </c>
      <c r="K321" s="118">
        <f t="shared" si="49"/>
        <v>0</v>
      </c>
      <c r="L321" s="126">
        <f>+GETPIVOTDATA(" Old Single Rnk avg",'Averages Pivot Table'!$A$3,"State","NC","Category2","Two-Year")</f>
        <v>47284.192889672398</v>
      </c>
      <c r="M321" s="118">
        <f t="shared" si="50"/>
        <v>7</v>
      </c>
      <c r="N321" s="126">
        <f>+GETPIVOTDATA(" Old All Ranks avg",'Averages Pivot Table'!$A$3,"State","NC","Category2","Two-Year")</f>
        <v>47284.192889672398</v>
      </c>
      <c r="O321" s="118">
        <f t="shared" si="51"/>
        <v>12</v>
      </c>
    </row>
    <row r="322" spans="1:16" ht="12.95" customHeight="1" x14ac:dyDescent="0.25">
      <c r="A322" s="132" t="s">
        <v>214</v>
      </c>
      <c r="B322" s="126">
        <f>+GETPIVOTDATA(" Old Prof avg",'Averages Pivot Table'!$A$3,"State","OK","Category2","Two-Year")</f>
        <v>0</v>
      </c>
      <c r="C322" s="118">
        <f t="shared" si="52"/>
        <v>0</v>
      </c>
      <c r="D322" s="126">
        <f>+GETPIVOTDATA(" Old Asc. avg",'Averages Pivot Table'!$A$3,"State","OK","Category2","Two-Year")</f>
        <v>0</v>
      </c>
      <c r="E322" s="118">
        <f t="shared" si="52"/>
        <v>0</v>
      </c>
      <c r="F322" s="126">
        <f>+GETPIVOTDATA(" Old Ast. avg",'Averages Pivot Table'!$A$3,"State","OK","Category2","Two-Year")</f>
        <v>0</v>
      </c>
      <c r="G322" s="118">
        <f t="shared" si="47"/>
        <v>0</v>
      </c>
      <c r="H322" s="126">
        <f>+GETPIVOTDATA(" Old Inst. avg",'Averages Pivot Table'!$A$3,"State","OK","Category2","Two-Year")</f>
        <v>0</v>
      </c>
      <c r="I322" s="118">
        <f t="shared" si="48"/>
        <v>0</v>
      </c>
      <c r="J322" s="126">
        <f>+GETPIVOTDATA(" Old Undesg. avg",'Averages Pivot Table'!$A$3,"State","OK","Category2","Two-Year")</f>
        <v>0</v>
      </c>
      <c r="K322" s="118">
        <f t="shared" si="49"/>
        <v>0</v>
      </c>
      <c r="L322" s="126">
        <f>+GETPIVOTDATA(" Old Single Rnk avg",'Averages Pivot Table'!$A$3,"State","OK","Category2","Two-Year")</f>
        <v>48473.878839482204</v>
      </c>
      <c r="M322" s="118">
        <f t="shared" si="50"/>
        <v>6</v>
      </c>
      <c r="N322" s="126">
        <f>+GETPIVOTDATA(" Old All Ranks avg",'Averages Pivot Table'!$A$3,"State","OK","Category2","Two-Year")</f>
        <v>48473.878839482204</v>
      </c>
      <c r="O322" s="118">
        <f t="shared" si="51"/>
        <v>10</v>
      </c>
    </row>
    <row r="323" spans="1:16" ht="12.95" customHeight="1" x14ac:dyDescent="0.25">
      <c r="A323" s="132" t="s">
        <v>215</v>
      </c>
      <c r="B323" s="126">
        <f>+GETPIVOTDATA(" Old Prof avg",'Averages Pivot Table'!$A$3,"State","SC","Category2","Two-Year")</f>
        <v>66644.438750000001</v>
      </c>
      <c r="C323" s="118">
        <f t="shared" si="52"/>
        <v>4</v>
      </c>
      <c r="D323" s="126">
        <f>+GETPIVOTDATA(" Old Asc. avg",'Averages Pivot Table'!$A$3,"State","SC","Category2","Two-Year")</f>
        <v>55216.265354545445</v>
      </c>
      <c r="E323" s="118">
        <f t="shared" si="52"/>
        <v>5</v>
      </c>
      <c r="F323" s="126">
        <f>+GETPIVOTDATA(" Old Ast. avg",'Averages Pivot Table'!$A$3,"State","SC","Category2","Two-Year")</f>
        <v>46725.638974358975</v>
      </c>
      <c r="G323" s="118">
        <f t="shared" si="47"/>
        <v>5</v>
      </c>
      <c r="H323" s="126">
        <f>+GETPIVOTDATA(" Old Inst. avg",'Averages Pivot Table'!$A$3,"State","SC","Category2","Two-Year")</f>
        <v>42026.624583333331</v>
      </c>
      <c r="I323" s="118">
        <f t="shared" si="48"/>
        <v>5</v>
      </c>
      <c r="J323" s="126">
        <f>+GETPIVOTDATA(" Old Undesg. avg",'Averages Pivot Table'!$A$3,"State","SC","Category2","Two-Year")</f>
        <v>46045.671120246661</v>
      </c>
      <c r="K323" s="118">
        <f t="shared" si="49"/>
        <v>2</v>
      </c>
      <c r="L323" s="126">
        <f>+GETPIVOTDATA(" Old Single Rnk avg",'Averages Pivot Table'!$A$3,"State","SC","Category2","Two-Year")</f>
        <v>0</v>
      </c>
      <c r="M323" s="118">
        <f t="shared" si="50"/>
        <v>0</v>
      </c>
      <c r="N323" s="126">
        <f>+GETPIVOTDATA(" Old All Ranks avg",'Averages Pivot Table'!$A$3,"State","SC","Category2","Two-Year")</f>
        <v>46221.884479864799</v>
      </c>
      <c r="O323" s="118">
        <f t="shared" si="51"/>
        <v>15</v>
      </c>
    </row>
    <row r="324" spans="1:16" ht="12.95" customHeight="1" x14ac:dyDescent="0.25">
      <c r="A324" s="132"/>
      <c r="B324" s="126"/>
      <c r="C324" s="118">
        <f t="shared" si="52"/>
        <v>0</v>
      </c>
      <c r="D324" s="126"/>
      <c r="E324" s="118">
        <f t="shared" si="52"/>
        <v>0</v>
      </c>
      <c r="F324" s="126"/>
      <c r="G324" s="118">
        <f t="shared" si="47"/>
        <v>0</v>
      </c>
      <c r="H324" s="126"/>
      <c r="I324" s="118">
        <f t="shared" si="48"/>
        <v>0</v>
      </c>
      <c r="J324" s="126"/>
      <c r="K324" s="118">
        <f t="shared" si="49"/>
        <v>0</v>
      </c>
      <c r="L324" s="126"/>
      <c r="M324" s="118">
        <f t="shared" si="50"/>
        <v>0</v>
      </c>
      <c r="N324" s="126"/>
      <c r="O324" s="118">
        <f t="shared" si="51"/>
        <v>0</v>
      </c>
    </row>
    <row r="325" spans="1:16" ht="12.95" customHeight="1" x14ac:dyDescent="0.25">
      <c r="A325" s="132" t="s">
        <v>216</v>
      </c>
      <c r="B325" s="563">
        <f>+GETPIVOTDATA(" Old Prof avg",'Averages Pivot Table'!$A$3,"State","TN","Category2","Two-Year")</f>
        <v>59105.386337444936</v>
      </c>
      <c r="C325" s="118">
        <f t="shared" si="52"/>
        <v>8</v>
      </c>
      <c r="D325" s="563">
        <f>+GETPIVOTDATA(" Old Asc. avg",'Averages Pivot Table'!$A$3,"State","TN","Category2","Two-Year")</f>
        <v>49976.28950997442</v>
      </c>
      <c r="E325" s="118">
        <f t="shared" si="52"/>
        <v>9</v>
      </c>
      <c r="F325" s="563">
        <f>+GETPIVOTDATA(" Old Ast. avg",'Averages Pivot Table'!$A$3,"State","TN","Category2","Two-Year")</f>
        <v>41821.303892307697</v>
      </c>
      <c r="G325" s="118">
        <f t="shared" si="47"/>
        <v>9</v>
      </c>
      <c r="H325" s="563">
        <f>+GETPIVOTDATA(" Old Inst. avg",'Averages Pivot Table'!$A$3,"State","TN","Category2","Two-Year")</f>
        <v>37602.22879813084</v>
      </c>
      <c r="I325" s="118">
        <f t="shared" si="48"/>
        <v>9</v>
      </c>
      <c r="J325" s="563">
        <f>+GETPIVOTDATA(" Old Undesg. avg",'Averages Pivot Table'!$A$3,"State","TN","Category2","Two-Year")</f>
        <v>38599.125</v>
      </c>
      <c r="K325" s="118">
        <f t="shared" si="49"/>
        <v>5</v>
      </c>
      <c r="L325" s="563">
        <f>+GETPIVOTDATA(" Old Single Rnk avg",'Averages Pivot Table'!$A$3,"State","TN","Category2","Two-Year")</f>
        <v>0</v>
      </c>
      <c r="M325" s="118">
        <f t="shared" si="50"/>
        <v>0</v>
      </c>
      <c r="N325" s="126">
        <f>+GETPIVOTDATA(" Old All Ranks avg",'Averages Pivot Table'!$A$3,"State","TN","Category2","Two-Year")</f>
        <v>46502.975476948595</v>
      </c>
      <c r="O325" s="118">
        <f t="shared" si="51"/>
        <v>14</v>
      </c>
    </row>
    <row r="326" spans="1:16" ht="12.95" customHeight="1" x14ac:dyDescent="0.25">
      <c r="A326" s="132" t="s">
        <v>217</v>
      </c>
      <c r="B326" s="563">
        <f>+GETPIVOTDATA(" Old Prof avg",'Averages Pivot Table'!$A$3,"State","TX","Category2","Two-Year")</f>
        <v>62509.439564001827</v>
      </c>
      <c r="C326" s="118">
        <f t="shared" si="52"/>
        <v>6</v>
      </c>
      <c r="D326" s="563">
        <f>+GETPIVOTDATA(" Old Asc. avg",'Averages Pivot Table'!$A$3,"State","TX","Category2","Two-Year")</f>
        <v>53477.415180434778</v>
      </c>
      <c r="E326" s="118">
        <f t="shared" si="52"/>
        <v>7</v>
      </c>
      <c r="F326" s="563">
        <f>+GETPIVOTDATA(" Old Ast. avg",'Averages Pivot Table'!$A$3,"State","TX","Category2","Two-Year")</f>
        <v>50757.842838187076</v>
      </c>
      <c r="G326" s="118">
        <f t="shared" si="47"/>
        <v>4</v>
      </c>
      <c r="H326" s="563">
        <f>+GETPIVOTDATA(" Old Inst. avg",'Averages Pivot Table'!$A$3,"State","TX","Category2","Two-Year")</f>
        <v>48623.811036454084</v>
      </c>
      <c r="I326" s="118">
        <f t="shared" si="48"/>
        <v>1</v>
      </c>
      <c r="J326" s="563">
        <f>+GETPIVOTDATA(" Old Undesg. avg",'Averages Pivot Table'!$A$3,"State","TX","Category2","Two-Year")</f>
        <v>37581.649122077921</v>
      </c>
      <c r="K326" s="118">
        <f t="shared" si="49"/>
        <v>8</v>
      </c>
      <c r="L326" s="563">
        <f>+GETPIVOTDATA(" Old Single Rnk avg",'Averages Pivot Table'!$A$3,"State","TX","Category2","Two-Year")</f>
        <v>54589.779470553418</v>
      </c>
      <c r="M326" s="118">
        <f t="shared" si="50"/>
        <v>2</v>
      </c>
      <c r="N326" s="126">
        <f>+GETPIVOTDATA(" Old All Ranks avg",'Averages Pivot Table'!$A$3,"State","TX","Category2","Two-Year")</f>
        <v>53316.681219609753</v>
      </c>
      <c r="O326" s="118">
        <f t="shared" si="51"/>
        <v>5</v>
      </c>
    </row>
    <row r="327" spans="1:16" ht="12.95" customHeight="1" x14ac:dyDescent="0.25">
      <c r="A327" s="132" t="s">
        <v>218</v>
      </c>
      <c r="B327" s="563">
        <f>+GETPIVOTDATA(" Old Prof avg",'Averages Pivot Table'!$A$3,"State","VA","Category2","Two-Year")</f>
        <v>66667.408095364241</v>
      </c>
      <c r="C327" s="118">
        <f t="shared" si="52"/>
        <v>3</v>
      </c>
      <c r="D327" s="563">
        <f>+GETPIVOTDATA(" Old Asc. avg",'Averages Pivot Table'!$A$3,"State","VA","Category2","Two-Year")</f>
        <v>59511.062108823528</v>
      </c>
      <c r="E327" s="118">
        <f t="shared" si="52"/>
        <v>2</v>
      </c>
      <c r="F327" s="563">
        <f>+GETPIVOTDATA(" Old Ast. avg",'Averages Pivot Table'!$A$3,"State","VA","Category2","Two-Year")</f>
        <v>53607.336890778097</v>
      </c>
      <c r="G327" s="118">
        <f t="shared" si="47"/>
        <v>2</v>
      </c>
      <c r="H327" s="563">
        <f>+GETPIVOTDATA(" Old Inst. avg",'Averages Pivot Table'!$A$3,"State","VA","Category2","Two-Year")</f>
        <v>48175.76580696056</v>
      </c>
      <c r="I327" s="118">
        <f t="shared" si="48"/>
        <v>2</v>
      </c>
      <c r="J327" s="563">
        <f>+GETPIVOTDATA(" Old Undesg. avg",'Averages Pivot Table'!$A$3,"State","VA","Category2","Two-Year")</f>
        <v>72022.055000000008</v>
      </c>
      <c r="K327" s="118">
        <f t="shared" si="49"/>
        <v>1</v>
      </c>
      <c r="L327" s="563">
        <f>+GETPIVOTDATA(" Old Single Rnk avg",'Averages Pivot Table'!$A$3,"State","VA","Category2","Two-Year")</f>
        <v>0</v>
      </c>
      <c r="M327" s="118">
        <f t="shared" si="50"/>
        <v>0</v>
      </c>
      <c r="N327" s="126">
        <f>+GETPIVOTDATA(" Old All Ranks avg",'Averages Pivot Table'!$A$3,"State","VA","Category2","Two-Year")</f>
        <v>56975.266498981851</v>
      </c>
      <c r="O327" s="118">
        <f t="shared" si="51"/>
        <v>3</v>
      </c>
    </row>
    <row r="328" spans="1:16" ht="12.95" customHeight="1" x14ac:dyDescent="0.25">
      <c r="A328" s="6" t="s">
        <v>219</v>
      </c>
      <c r="B328" s="566">
        <f>+GETPIVOTDATA(" Old Prof avg",'Averages Pivot Table'!$A$3,"State","WV","Category2","Two-Year")</f>
        <v>61544.259454545456</v>
      </c>
      <c r="C328" s="119">
        <f t="shared" si="52"/>
        <v>7</v>
      </c>
      <c r="D328" s="566">
        <f>+GETPIVOTDATA(" Old Asc. avg",'Averages Pivot Table'!$A$3,"State","WV","Category2","Two-Year")</f>
        <v>53273.229055882359</v>
      </c>
      <c r="E328" s="119">
        <f t="shared" si="52"/>
        <v>8</v>
      </c>
      <c r="F328" s="566">
        <f>+GETPIVOTDATA(" Old Ast. avg",'Averages Pivot Table'!$A$3,"State","WV","Category2","Two-Year")</f>
        <v>45466.749315942034</v>
      </c>
      <c r="G328" s="119">
        <f t="shared" si="47"/>
        <v>6</v>
      </c>
      <c r="H328" s="566">
        <f>+GETPIVOTDATA(" Old Inst. avg",'Averages Pivot Table'!$A$3,"State","WV","Category2","Two-Year")</f>
        <v>38405.285944041454</v>
      </c>
      <c r="I328" s="119">
        <f t="shared" si="48"/>
        <v>8</v>
      </c>
      <c r="J328" s="566">
        <f>+GETPIVOTDATA(" Old Undesg. avg",'Averages Pivot Table'!$A$3,"State","WV","Category2","Two-Year")</f>
        <v>38563.323034285713</v>
      </c>
      <c r="K328" s="119">
        <f t="shared" si="49"/>
        <v>6</v>
      </c>
      <c r="L328" s="566">
        <f>+GETPIVOTDATA(" Old Single Rnk avg",'Averages Pivot Table'!$A$3,"State","WV","Category2","Two-Year")</f>
        <v>0</v>
      </c>
      <c r="M328" s="119">
        <f t="shared" si="50"/>
        <v>0</v>
      </c>
      <c r="N328" s="566">
        <f>+GETPIVOTDATA(" Old All Ranks avg",'Averages Pivot Table'!$A$3,"State","WV","Category2","Two-Year")</f>
        <v>47037.446610450446</v>
      </c>
      <c r="O328" s="119">
        <f t="shared" si="51"/>
        <v>13</v>
      </c>
    </row>
    <row r="329" spans="1:16" ht="30" customHeight="1" x14ac:dyDescent="0.25">
      <c r="A329" s="679" t="s">
        <v>91</v>
      </c>
      <c r="B329" s="679"/>
      <c r="C329" s="679"/>
      <c r="D329" s="679"/>
      <c r="E329" s="679"/>
      <c r="F329" s="679"/>
      <c r="G329" s="679"/>
      <c r="H329" s="679"/>
      <c r="I329" s="679"/>
      <c r="J329" s="679"/>
      <c r="K329" s="679"/>
      <c r="L329" s="679"/>
      <c r="M329" s="679"/>
      <c r="N329" s="679"/>
      <c r="O329" s="679"/>
    </row>
    <row r="330" spans="1:16" x14ac:dyDescent="0.25">
      <c r="O330" s="157" t="s">
        <v>1083</v>
      </c>
    </row>
    <row r="331" spans="1:16" ht="18" x14ac:dyDescent="0.25">
      <c r="A331" s="544" t="s">
        <v>270</v>
      </c>
      <c r="B331" s="544"/>
      <c r="C331" s="544"/>
      <c r="D331" s="544"/>
      <c r="E331" s="544"/>
      <c r="F331" s="544"/>
      <c r="G331" s="544"/>
      <c r="H331" s="544"/>
      <c r="I331" s="544"/>
      <c r="J331" s="544"/>
      <c r="K331" s="544"/>
      <c r="L331" s="544"/>
      <c r="M331" s="544"/>
      <c r="N331" s="544"/>
      <c r="O331" s="544"/>
      <c r="P331" s="595" t="s">
        <v>223</v>
      </c>
    </row>
    <row r="332" spans="1:16" x14ac:dyDescent="0.25">
      <c r="A332" s="588"/>
      <c r="B332" s="93"/>
      <c r="C332" s="93"/>
      <c r="D332" s="93"/>
      <c r="E332" s="93"/>
      <c r="F332" s="93"/>
      <c r="G332" s="93"/>
      <c r="H332" s="93"/>
      <c r="I332" s="93"/>
      <c r="J332" s="93"/>
      <c r="K332" s="93"/>
      <c r="L332" s="93"/>
      <c r="M332" s="93"/>
      <c r="N332" s="93"/>
      <c r="O332" s="93"/>
    </row>
    <row r="333" spans="1:16" x14ac:dyDescent="0.25">
      <c r="A333" s="665" t="s">
        <v>220</v>
      </c>
      <c r="B333" s="665"/>
      <c r="C333" s="665"/>
      <c r="D333" s="665"/>
      <c r="E333" s="665"/>
      <c r="F333" s="665"/>
      <c r="G333" s="665"/>
      <c r="H333" s="665"/>
      <c r="I333" s="665"/>
      <c r="J333" s="665"/>
      <c r="K333" s="665"/>
      <c r="L333" s="665"/>
      <c r="M333" s="665"/>
      <c r="N333" s="665"/>
      <c r="O333" s="665"/>
    </row>
    <row r="334" spans="1:16" x14ac:dyDescent="0.25">
      <c r="A334" s="665" t="s">
        <v>310</v>
      </c>
      <c r="B334" s="665"/>
      <c r="C334" s="665"/>
      <c r="D334" s="665"/>
      <c r="E334" s="665"/>
      <c r="F334" s="665"/>
      <c r="G334" s="665"/>
      <c r="H334" s="665"/>
      <c r="I334" s="665"/>
      <c r="J334" s="665"/>
      <c r="K334" s="665"/>
      <c r="L334" s="665"/>
      <c r="M334" s="665"/>
      <c r="N334" s="665"/>
      <c r="O334" s="665"/>
    </row>
    <row r="335" spans="1:16" x14ac:dyDescent="0.25">
      <c r="A335" s="132"/>
      <c r="B335" s="132"/>
      <c r="C335" s="132"/>
      <c r="D335" s="132"/>
      <c r="E335" s="132"/>
      <c r="F335" s="132"/>
      <c r="G335" s="132"/>
      <c r="H335" s="132"/>
      <c r="I335" s="132"/>
      <c r="J335" s="132"/>
      <c r="K335" s="132"/>
      <c r="L335" s="132"/>
      <c r="M335" s="132"/>
      <c r="N335" s="132"/>
      <c r="O335" s="132"/>
    </row>
    <row r="336" spans="1:16" ht="33" customHeight="1" x14ac:dyDescent="0.25">
      <c r="A336" s="547"/>
      <c r="B336" s="589" t="s">
        <v>99</v>
      </c>
      <c r="C336" s="142"/>
      <c r="D336" s="590" t="s">
        <v>100</v>
      </c>
      <c r="E336" s="591"/>
      <c r="F336" s="590" t="s">
        <v>101</v>
      </c>
      <c r="G336" s="591"/>
      <c r="H336" s="589" t="s">
        <v>102</v>
      </c>
      <c r="I336" s="142"/>
      <c r="J336" s="590" t="s">
        <v>226</v>
      </c>
      <c r="K336" s="591"/>
      <c r="L336" s="142" t="s">
        <v>82</v>
      </c>
      <c r="M336" s="142"/>
      <c r="N336" s="142" t="s">
        <v>84</v>
      </c>
      <c r="O336" s="142"/>
    </row>
    <row r="337" spans="1:19" x14ac:dyDescent="0.25">
      <c r="A337" s="551"/>
      <c r="B337" s="115" t="s">
        <v>103</v>
      </c>
      <c r="C337" s="143" t="s">
        <v>193</v>
      </c>
      <c r="D337" s="115" t="s">
        <v>103</v>
      </c>
      <c r="E337" s="143" t="s">
        <v>193</v>
      </c>
      <c r="F337" s="115" t="s">
        <v>103</v>
      </c>
      <c r="G337" s="143" t="s">
        <v>193</v>
      </c>
      <c r="H337" s="115" t="s">
        <v>103</v>
      </c>
      <c r="I337" s="143" t="s">
        <v>193</v>
      </c>
      <c r="J337" s="115" t="s">
        <v>103</v>
      </c>
      <c r="K337" s="143" t="s">
        <v>193</v>
      </c>
      <c r="L337" s="115" t="s">
        <v>103</v>
      </c>
      <c r="M337" s="143" t="s">
        <v>193</v>
      </c>
      <c r="N337" s="115" t="s">
        <v>103</v>
      </c>
      <c r="O337" s="143" t="s">
        <v>193</v>
      </c>
    </row>
    <row r="338" spans="1:19" s="556" customFormat="1" ht="18" customHeight="1" x14ac:dyDescent="0.25">
      <c r="A338" s="554" t="s">
        <v>222</v>
      </c>
      <c r="B338" s="146">
        <f>+GETPIVOTDATA(" Old Prof avg",'Averages Pivot Table'!$A$3,"Category",7,"Category2","Two-Year")</f>
        <v>64645.144191397856</v>
      </c>
      <c r="C338" s="146"/>
      <c r="D338" s="146">
        <f>+GETPIVOTDATA(" Old Asc. avg",'Averages Pivot Table'!$A$3,"Category",7,"Category2","Two-Year")</f>
        <v>53514.489106796122</v>
      </c>
      <c r="E338" s="146"/>
      <c r="F338" s="146">
        <f>+GETPIVOTDATA(" Old Ast. avg",'Averages Pivot Table'!$A$3,"Category",7,"Category2","Two-Year")</f>
        <v>45935.378254482763</v>
      </c>
      <c r="G338" s="146"/>
      <c r="H338" s="146">
        <f>+GETPIVOTDATA(" Old Inst. avg",'Averages Pivot Table'!$A$3,"Category",7,"Category2","Two-Year")</f>
        <v>48844.768771884985</v>
      </c>
      <c r="I338" s="146"/>
      <c r="J338" s="146">
        <f>+GETPIVOTDATA(" Old Undesg. avg",'Averages Pivot Table'!$A$3,"Category",7,"Category2","Two-Year")</f>
        <v>36948.160200000006</v>
      </c>
      <c r="K338" s="146"/>
      <c r="L338" s="146">
        <f>+GETPIVOTDATA(" Old Single Rnk avg",'Averages Pivot Table'!$A$3,"Category",7,"Category2","Two-Year")</f>
        <v>56928.99717710894</v>
      </c>
      <c r="M338" s="146"/>
      <c r="N338" s="146">
        <f>+GETPIVOTDATA(" Old All Ranks avg",'Averages Pivot Table'!$A$3,"Category",7,"Category2","Two-Year")</f>
        <v>54704.754153011076</v>
      </c>
      <c r="O338" s="133"/>
      <c r="Q338" s="558"/>
      <c r="R338" s="558"/>
      <c r="S338" s="558"/>
    </row>
    <row r="339" spans="1:19" ht="12.95" customHeight="1" x14ac:dyDescent="0.25">
      <c r="A339" s="132"/>
      <c r="B339" s="123"/>
      <c r="C339" s="150"/>
      <c r="D339" s="123"/>
      <c r="E339" s="150"/>
      <c r="F339" s="123"/>
      <c r="G339" s="150"/>
      <c r="H339" s="123"/>
      <c r="I339" s="150"/>
      <c r="J339" s="123"/>
      <c r="K339" s="150"/>
      <c r="L339" s="123"/>
      <c r="M339" s="150"/>
      <c r="N339" s="123"/>
      <c r="O339" s="134"/>
    </row>
    <row r="340" spans="1:19" ht="12.95" customHeight="1" x14ac:dyDescent="0.25">
      <c r="A340" s="132" t="s">
        <v>205</v>
      </c>
      <c r="B340" s="126">
        <f>+GETPIVOTDATA(" Old Prof avg",'Averages Pivot Table'!$A$3,"State","AL","Category",7,"Category2","Two-Year")</f>
        <v>0</v>
      </c>
      <c r="C340" s="118">
        <f>IF(B340&gt;0,(RANK(B340,B$340:B$358)),0)</f>
        <v>0</v>
      </c>
      <c r="D340" s="126">
        <f>+GETPIVOTDATA(" Old Asc. avg",'Averages Pivot Table'!$A$3,"State","AL","Category",7,"Category2","Two-Year")</f>
        <v>0</v>
      </c>
      <c r="E340" s="118">
        <f>IF(D340&gt;0,(RANK(D340,D$340:D$358)),0)</f>
        <v>0</v>
      </c>
      <c r="F340" s="126">
        <f>+GETPIVOTDATA(" Old Ast. avg",'Averages Pivot Table'!$A$3,"State","AL","Category",7,"Category2","Two-Year")</f>
        <v>0</v>
      </c>
      <c r="G340" s="118">
        <f t="shared" ref="G340:G358" si="53">IF(F340&gt;0,(RANK(F340,F$340:F$358)),0)</f>
        <v>0</v>
      </c>
      <c r="H340" s="126">
        <f>+GETPIVOTDATA(" Old Inst. avg",'Averages Pivot Table'!$A$3,"State","AL","Category",7,"Category2","Two-Year")</f>
        <v>0</v>
      </c>
      <c r="I340" s="118">
        <f t="shared" ref="I340:I358" si="54">IF(H340&gt;0,(RANK(H340,H$340:H$358)),0)</f>
        <v>0</v>
      </c>
      <c r="J340" s="126">
        <f>+GETPIVOTDATA(" Old Undesg. avg",'Averages Pivot Table'!$A$3,"State","AL","Category",7,"Category2","Two-Year")</f>
        <v>0</v>
      </c>
      <c r="K340" s="118">
        <f t="shared" ref="K340:K358" si="55">IF(J340&gt;0,(RANK(J340,J$340:J$358)),0)</f>
        <v>0</v>
      </c>
      <c r="L340" s="126">
        <f>+GETPIVOTDATA(" Old Single Rnk avg",'Averages Pivot Table'!$A$3,"State","AL","Category",7,"Category2","Two-Year")</f>
        <v>0</v>
      </c>
      <c r="M340" s="118">
        <f t="shared" ref="M340:M358" si="56">IF(L340&gt;0,(RANK(L340,L$340:L$358)),0)</f>
        <v>0</v>
      </c>
      <c r="N340" s="126">
        <f>+GETPIVOTDATA(" Old All Ranks avg",'Averages Pivot Table'!$A$3,"State","AL","Category",7,"Category2","Two-Year")</f>
        <v>0</v>
      </c>
      <c r="O340" s="118">
        <f t="shared" ref="O340:O358" si="57">IF(N340&gt;0,(RANK(N340,N$340:N$358)),0)</f>
        <v>0</v>
      </c>
    </row>
    <row r="341" spans="1:19" ht="12.95" customHeight="1" x14ac:dyDescent="0.25">
      <c r="A341" s="132" t="s">
        <v>206</v>
      </c>
      <c r="B341" s="126">
        <f>+GETPIVOTDATA(" Old Prof avg",'Averages Pivot Table'!$A$3,"State","AR","Category",7,"Category2","Two-Year")</f>
        <v>0</v>
      </c>
      <c r="C341" s="118">
        <f t="shared" ref="C341:E358" si="58">IF(B341&gt;0,(RANK(B341,B$340:B$358)),0)</f>
        <v>0</v>
      </c>
      <c r="D341" s="126">
        <f>+GETPIVOTDATA(" Old Asc. avg",'Averages Pivot Table'!$A$3,"State","AR","Category",7,"Category2","Two-Year")</f>
        <v>0</v>
      </c>
      <c r="E341" s="118">
        <f t="shared" si="58"/>
        <v>0</v>
      </c>
      <c r="F341" s="126">
        <f>+GETPIVOTDATA(" Old Ast. avg",'Averages Pivot Table'!$A$3,"State","AR","Category",7,"Category2","Two-Year")</f>
        <v>0</v>
      </c>
      <c r="G341" s="118">
        <f t="shared" si="53"/>
        <v>0</v>
      </c>
      <c r="H341" s="126">
        <f>+GETPIVOTDATA(" Old Inst. avg",'Averages Pivot Table'!$A$3,"State","AR","Category",7,"Category2","Two-Year")</f>
        <v>0</v>
      </c>
      <c r="I341" s="118">
        <f t="shared" si="54"/>
        <v>0</v>
      </c>
      <c r="J341" s="126">
        <f>+GETPIVOTDATA(" Old Undesg. avg",'Averages Pivot Table'!$A$3,"State","AR","Category",7,"Category2","Two-Year")</f>
        <v>0</v>
      </c>
      <c r="K341" s="118">
        <f t="shared" si="55"/>
        <v>0</v>
      </c>
      <c r="L341" s="126">
        <f>+GETPIVOTDATA(" Old Single Rnk avg",'Averages Pivot Table'!$A$3,"State","AR","Category",7,"Category2","Two-Year")</f>
        <v>0</v>
      </c>
      <c r="M341" s="118">
        <f t="shared" si="56"/>
        <v>0</v>
      </c>
      <c r="N341" s="126">
        <f>+GETPIVOTDATA(" Old All Ranks avg",'Averages Pivot Table'!$A$3,"State","AR","Category",7,"Category2","Two-Year")</f>
        <v>0</v>
      </c>
      <c r="O341" s="118">
        <f t="shared" si="57"/>
        <v>0</v>
      </c>
    </row>
    <row r="342" spans="1:19" ht="12.95" customHeight="1" x14ac:dyDescent="0.25">
      <c r="A342" s="132" t="s">
        <v>221</v>
      </c>
      <c r="B342" s="126">
        <f>+GETPIVOTDATA(" Old Prof avg",'Averages Pivot Table'!$A$3,"State","DE","Category",7,"Category2","Two-Year")</f>
        <v>0</v>
      </c>
      <c r="C342" s="118">
        <f t="shared" si="58"/>
        <v>0</v>
      </c>
      <c r="D342" s="126">
        <f>+GETPIVOTDATA(" Old Asc. avg",'Averages Pivot Table'!$A$3,"State","DE","Category",7,"Category2","Two-Year")</f>
        <v>0</v>
      </c>
      <c r="E342" s="118">
        <f t="shared" si="58"/>
        <v>0</v>
      </c>
      <c r="F342" s="126">
        <f>+GETPIVOTDATA(" Old Ast. avg",'Averages Pivot Table'!$A$3,"State","DE","Category",7,"Category2","Two-Year")</f>
        <v>0</v>
      </c>
      <c r="G342" s="118">
        <f t="shared" si="53"/>
        <v>0</v>
      </c>
      <c r="H342" s="126">
        <f>+GETPIVOTDATA(" Old Inst. avg",'Averages Pivot Table'!$A$3,"State","DE","Category",7,"Category2","Two-Year")</f>
        <v>0</v>
      </c>
      <c r="I342" s="118">
        <f t="shared" si="54"/>
        <v>0</v>
      </c>
      <c r="J342" s="126">
        <f>+GETPIVOTDATA(" Old Undesg. avg",'Averages Pivot Table'!$A$3,"State","DE","Category",7,"Category2","Two-Year")</f>
        <v>0</v>
      </c>
      <c r="K342" s="118">
        <f t="shared" si="55"/>
        <v>0</v>
      </c>
      <c r="L342" s="126">
        <f>+GETPIVOTDATA(" Old Single Rnk avg",'Averages Pivot Table'!$A$3,"State","DE","Category",7,"Category2","Two-Year")</f>
        <v>0</v>
      </c>
      <c r="M342" s="118">
        <f t="shared" si="56"/>
        <v>0</v>
      </c>
      <c r="N342" s="126">
        <f>+GETPIVOTDATA(" Old All Ranks avg",'Averages Pivot Table'!$A$3,"State","DE","Category",7,"Category2","Two-Year")</f>
        <v>0</v>
      </c>
      <c r="O342" s="118">
        <f t="shared" si="57"/>
        <v>0</v>
      </c>
    </row>
    <row r="343" spans="1:19" ht="12.95" customHeight="1" x14ac:dyDescent="0.25">
      <c r="A343" s="132" t="s">
        <v>207</v>
      </c>
      <c r="B343" s="126">
        <f>+GETPIVOTDATA(" Old Prof avg",'Averages Pivot Table'!$A$3,"State","FL","Category",7,"Category2","Two-Year")</f>
        <v>0</v>
      </c>
      <c r="C343" s="118">
        <f t="shared" si="58"/>
        <v>0</v>
      </c>
      <c r="D343" s="126">
        <f>+GETPIVOTDATA(" Old Asc. avg",'Averages Pivot Table'!$A$3,"State","FL","Category",7,"Category2","Two-Year")</f>
        <v>0</v>
      </c>
      <c r="E343" s="118">
        <f t="shared" si="58"/>
        <v>0</v>
      </c>
      <c r="F343" s="126">
        <f>+GETPIVOTDATA(" Old Ast. avg",'Averages Pivot Table'!$A$3,"State","FL","Category",7,"Category2","Two-Year")</f>
        <v>0</v>
      </c>
      <c r="G343" s="118">
        <f t="shared" si="53"/>
        <v>0</v>
      </c>
      <c r="H343" s="126">
        <f>+GETPIVOTDATA(" Old Inst. avg",'Averages Pivot Table'!$A$3,"State","FL","Category",7,"Category2","Two-Year")</f>
        <v>0</v>
      </c>
      <c r="I343" s="118">
        <f t="shared" si="54"/>
        <v>0</v>
      </c>
      <c r="J343" s="126">
        <f>+GETPIVOTDATA(" Old Undesg. avg",'Averages Pivot Table'!$A$3,"State","FL","Category",7,"Category2","Two-Year")</f>
        <v>0</v>
      </c>
      <c r="K343" s="118">
        <f t="shared" si="55"/>
        <v>0</v>
      </c>
      <c r="L343" s="126">
        <f>+GETPIVOTDATA(" Old Single Rnk avg",'Averages Pivot Table'!$A$3,"State","FL","Category",7,"Category2","Two-Year")</f>
        <v>57557.836516068935</v>
      </c>
      <c r="M343" s="118">
        <f t="shared" si="56"/>
        <v>1</v>
      </c>
      <c r="N343" s="126">
        <f>+GETPIVOTDATA(" Old All Ranks avg",'Averages Pivot Table'!$A$3,"State","FL","Category",7,"Category2","Two-Year")</f>
        <v>57557.836516068935</v>
      </c>
      <c r="O343" s="118">
        <f t="shared" si="57"/>
        <v>1</v>
      </c>
    </row>
    <row r="344" spans="1:19" ht="12.95" customHeight="1" x14ac:dyDescent="0.25">
      <c r="A344" s="132"/>
      <c r="B344" s="126"/>
      <c r="C344" s="118">
        <f t="shared" si="58"/>
        <v>0</v>
      </c>
      <c r="D344" s="126"/>
      <c r="E344" s="118">
        <f t="shared" si="58"/>
        <v>0</v>
      </c>
      <c r="F344" s="126"/>
      <c r="G344" s="118">
        <f t="shared" si="53"/>
        <v>0</v>
      </c>
      <c r="H344" s="126"/>
      <c r="I344" s="118">
        <f t="shared" si="54"/>
        <v>0</v>
      </c>
      <c r="J344" s="126"/>
      <c r="K344" s="118">
        <f t="shared" si="55"/>
        <v>0</v>
      </c>
      <c r="L344" s="126"/>
      <c r="M344" s="118">
        <f t="shared" si="56"/>
        <v>0</v>
      </c>
      <c r="N344" s="126"/>
      <c r="O344" s="118">
        <f t="shared" si="57"/>
        <v>0</v>
      </c>
    </row>
    <row r="345" spans="1:19" ht="12.95" customHeight="1" x14ac:dyDescent="0.25">
      <c r="A345" s="132" t="s">
        <v>208</v>
      </c>
      <c r="B345" s="126">
        <f>+GETPIVOTDATA(" Old Prof avg",'Averages Pivot Table'!$A$3,"State","GA","Category",7,"Category2","Two-Year")</f>
        <v>66547.272438461529</v>
      </c>
      <c r="C345" s="118">
        <f t="shared" si="58"/>
        <v>1</v>
      </c>
      <c r="D345" s="126">
        <f>+GETPIVOTDATA(" Old Asc. avg",'Averages Pivot Table'!$A$3,"State","GA","Category",7,"Category2","Two-Year")</f>
        <v>53207.609969841273</v>
      </c>
      <c r="E345" s="118">
        <f t="shared" si="58"/>
        <v>2</v>
      </c>
      <c r="F345" s="126">
        <f>+GETPIVOTDATA(" Old Ast. avg",'Averages Pivot Table'!$A$3,"State","GA","Category",7,"Category2","Two-Year")</f>
        <v>44721.775437037039</v>
      </c>
      <c r="G345" s="118">
        <f t="shared" si="53"/>
        <v>2</v>
      </c>
      <c r="H345" s="126">
        <f>+GETPIVOTDATA(" Old Inst. avg",'Averages Pivot Table'!$A$3,"State","GA","Category",7,"Category2","Two-Year")</f>
        <v>40720.681578947369</v>
      </c>
      <c r="I345" s="118">
        <f t="shared" si="54"/>
        <v>2</v>
      </c>
      <c r="J345" s="126">
        <f>+GETPIVOTDATA(" Old Undesg. avg",'Averages Pivot Table'!$A$3,"State","GA","Category",7,"Category2","Two-Year")</f>
        <v>36945.783333333333</v>
      </c>
      <c r="K345" s="118">
        <f t="shared" si="55"/>
        <v>2</v>
      </c>
      <c r="L345" s="126">
        <f>+GETPIVOTDATA(" Old Single Rnk avg",'Averages Pivot Table'!$A$3,"State","GA","Category",7,"Category2","Two-Year")</f>
        <v>0</v>
      </c>
      <c r="M345" s="118">
        <f t="shared" si="56"/>
        <v>0</v>
      </c>
      <c r="N345" s="126">
        <f>+GETPIVOTDATA(" Old All Ranks avg",'Averages Pivot Table'!$A$3,"State","GA","Category",7,"Category2","Two-Year")</f>
        <v>49898.093414316711</v>
      </c>
      <c r="O345" s="118">
        <f t="shared" si="57"/>
        <v>4</v>
      </c>
    </row>
    <row r="346" spans="1:19" ht="12.95" customHeight="1" x14ac:dyDescent="0.25">
      <c r="A346" s="132" t="s">
        <v>209</v>
      </c>
      <c r="B346" s="126">
        <f>+GETPIVOTDATA(" Old Prof avg",'Averages Pivot Table'!$A$3,"State","KY","Category",7,"Category2","Two-Year")</f>
        <v>0</v>
      </c>
      <c r="C346" s="118">
        <f t="shared" si="58"/>
        <v>0</v>
      </c>
      <c r="D346" s="126">
        <f>+GETPIVOTDATA(" Old Asc. avg",'Averages Pivot Table'!$A$3,"State","KY","Category",7,"Category2","Two-Year")</f>
        <v>0</v>
      </c>
      <c r="E346" s="118">
        <f t="shared" si="58"/>
        <v>0</v>
      </c>
      <c r="F346" s="126">
        <f>+GETPIVOTDATA(" Old Ast. avg",'Averages Pivot Table'!$A$3,"State","KY","Category",7,"Category2","Two-Year")</f>
        <v>0</v>
      </c>
      <c r="G346" s="118">
        <f t="shared" si="53"/>
        <v>0</v>
      </c>
      <c r="H346" s="126">
        <f>+GETPIVOTDATA(" Old Inst. avg",'Averages Pivot Table'!$A$3,"State","KY","Category",7,"Category2","Two-Year")</f>
        <v>0</v>
      </c>
      <c r="I346" s="118">
        <f t="shared" si="54"/>
        <v>0</v>
      </c>
      <c r="J346" s="126">
        <f>+GETPIVOTDATA(" Old Undesg. avg",'Averages Pivot Table'!$A$3,"State","KY","Category",7,"Category2","Two-Year")</f>
        <v>0</v>
      </c>
      <c r="K346" s="118">
        <f t="shared" si="55"/>
        <v>0</v>
      </c>
      <c r="L346" s="126">
        <f>+GETPIVOTDATA(" Old Single Rnk avg",'Averages Pivot Table'!$A$3,"State","KY","Category",7,"Category2","Two-Year")</f>
        <v>0</v>
      </c>
      <c r="M346" s="118">
        <f t="shared" si="56"/>
        <v>0</v>
      </c>
      <c r="N346" s="126">
        <f>+GETPIVOTDATA(" Old All Ranks avg",'Averages Pivot Table'!$A$3,"State","KY","Category",7,"Category2","Two-Year")</f>
        <v>0</v>
      </c>
      <c r="O346" s="118">
        <f t="shared" si="57"/>
        <v>0</v>
      </c>
    </row>
    <row r="347" spans="1:19" ht="12.95" customHeight="1" x14ac:dyDescent="0.25">
      <c r="A347" s="132" t="s">
        <v>210</v>
      </c>
      <c r="B347" s="126">
        <f>+GETPIVOTDATA(" Old Prof avg",'Averages Pivot Table'!$A$3,"State","LA","Category",7,"Category2","Two-Year")</f>
        <v>0</v>
      </c>
      <c r="C347" s="118">
        <f t="shared" si="58"/>
        <v>0</v>
      </c>
      <c r="D347" s="126">
        <f>+GETPIVOTDATA(" Old Asc. avg",'Averages Pivot Table'!$A$3,"State","LA","Category",7,"Category2","Two-Year")</f>
        <v>0</v>
      </c>
      <c r="E347" s="118">
        <f t="shared" si="58"/>
        <v>0</v>
      </c>
      <c r="F347" s="126">
        <f>+GETPIVOTDATA(" Old Ast. avg",'Averages Pivot Table'!$A$3,"State","LA","Category",7,"Category2","Two-Year")</f>
        <v>0</v>
      </c>
      <c r="G347" s="118">
        <f t="shared" si="53"/>
        <v>0</v>
      </c>
      <c r="H347" s="126">
        <f>+GETPIVOTDATA(" Old Inst. avg",'Averages Pivot Table'!$A$3,"State","LA","Category",7,"Category2","Two-Year")</f>
        <v>0</v>
      </c>
      <c r="I347" s="118">
        <f t="shared" si="54"/>
        <v>0</v>
      </c>
      <c r="J347" s="126">
        <f>+GETPIVOTDATA(" Old Undesg. avg",'Averages Pivot Table'!$A$3,"State","LA","Category",7,"Category2","Two-Year")</f>
        <v>0</v>
      </c>
      <c r="K347" s="118">
        <f t="shared" si="55"/>
        <v>0</v>
      </c>
      <c r="L347" s="126">
        <f>+GETPIVOTDATA(" Old Single Rnk avg",'Averages Pivot Table'!$A$3,"State","LA","Category",7,"Category2","Two-Year")</f>
        <v>0</v>
      </c>
      <c r="M347" s="118">
        <f t="shared" si="56"/>
        <v>0</v>
      </c>
      <c r="N347" s="126">
        <f>+GETPIVOTDATA(" Old All Ranks avg",'Averages Pivot Table'!$A$3,"State","LA","Category",7,"Category2","Two-Year")</f>
        <v>0</v>
      </c>
      <c r="O347" s="118">
        <f t="shared" si="57"/>
        <v>0</v>
      </c>
    </row>
    <row r="348" spans="1:19" ht="12.95" customHeight="1" x14ac:dyDescent="0.25">
      <c r="A348" s="132" t="s">
        <v>211</v>
      </c>
      <c r="B348" s="126">
        <f>+GETPIVOTDATA(" Old Prof avg",'Averages Pivot Table'!$A$3,"State","MD","Category",7,"Category2","Two-Year")</f>
        <v>0</v>
      </c>
      <c r="C348" s="118">
        <f t="shared" si="58"/>
        <v>0</v>
      </c>
      <c r="D348" s="126">
        <f>+GETPIVOTDATA(" Old Asc. avg",'Averages Pivot Table'!$A$3,"State","MD","Category",7,"Category2","Two-Year")</f>
        <v>0</v>
      </c>
      <c r="E348" s="118">
        <f t="shared" si="58"/>
        <v>0</v>
      </c>
      <c r="F348" s="126">
        <f>+GETPIVOTDATA(" Old Ast. avg",'Averages Pivot Table'!$A$3,"State","MD","Category",7,"Category2","Two-Year")</f>
        <v>0</v>
      </c>
      <c r="G348" s="118">
        <f t="shared" si="53"/>
        <v>0</v>
      </c>
      <c r="H348" s="126">
        <f>+GETPIVOTDATA(" Old Inst. avg",'Averages Pivot Table'!$A$3,"State","MD","Category",7,"Category2","Two-Year")</f>
        <v>0</v>
      </c>
      <c r="I348" s="118">
        <f t="shared" si="54"/>
        <v>0</v>
      </c>
      <c r="J348" s="126">
        <f>+GETPIVOTDATA(" Old Undesg. avg",'Averages Pivot Table'!$A$3,"State","MD","Category",7,"Category2","Two-Year")</f>
        <v>0</v>
      </c>
      <c r="K348" s="118">
        <f t="shared" si="55"/>
        <v>0</v>
      </c>
      <c r="L348" s="126">
        <f>+GETPIVOTDATA(" Old Single Rnk avg",'Averages Pivot Table'!$A$3,"State","MD","Category",7,"Category2","Two-Year")</f>
        <v>0</v>
      </c>
      <c r="M348" s="118">
        <f t="shared" si="56"/>
        <v>0</v>
      </c>
      <c r="N348" s="126">
        <f>+GETPIVOTDATA(" Old All Ranks avg",'Averages Pivot Table'!$A$3,"State","MD","Category",7,"Category2","Two-Year")</f>
        <v>0</v>
      </c>
      <c r="O348" s="118">
        <f t="shared" si="57"/>
        <v>0</v>
      </c>
    </row>
    <row r="349" spans="1:19" ht="12.95" customHeight="1" x14ac:dyDescent="0.25">
      <c r="A349" s="132"/>
      <c r="B349" s="126"/>
      <c r="C349" s="118">
        <f t="shared" si="58"/>
        <v>0</v>
      </c>
      <c r="D349" s="126"/>
      <c r="E349" s="118">
        <f t="shared" si="58"/>
        <v>0</v>
      </c>
      <c r="F349" s="126"/>
      <c r="G349" s="118">
        <f t="shared" si="53"/>
        <v>0</v>
      </c>
      <c r="H349" s="126"/>
      <c r="I349" s="118">
        <f t="shared" si="54"/>
        <v>0</v>
      </c>
      <c r="J349" s="126"/>
      <c r="K349" s="118">
        <f t="shared" si="55"/>
        <v>0</v>
      </c>
      <c r="L349" s="126"/>
      <c r="M349" s="118">
        <f t="shared" si="56"/>
        <v>0</v>
      </c>
      <c r="N349" s="126"/>
      <c r="O349" s="118">
        <f t="shared" si="57"/>
        <v>0</v>
      </c>
    </row>
    <row r="350" spans="1:19" ht="12.95" customHeight="1" x14ac:dyDescent="0.25">
      <c r="A350" s="132" t="s">
        <v>212</v>
      </c>
      <c r="B350" s="126">
        <f>+GETPIVOTDATA(" Old Prof avg",'Averages Pivot Table'!$A$3,"State","MS","Category",7,"Category2","Two-Year")</f>
        <v>0</v>
      </c>
      <c r="C350" s="118">
        <f t="shared" si="58"/>
        <v>0</v>
      </c>
      <c r="D350" s="126">
        <f>+GETPIVOTDATA(" Old Asc. avg",'Averages Pivot Table'!$A$3,"State","MS","Category",7,"Category2","Two-Year")</f>
        <v>0</v>
      </c>
      <c r="E350" s="118">
        <f t="shared" si="58"/>
        <v>0</v>
      </c>
      <c r="F350" s="126">
        <f>+GETPIVOTDATA(" Old Ast. avg",'Averages Pivot Table'!$A$3,"State","MS","Category",7,"Category2","Two-Year")</f>
        <v>0</v>
      </c>
      <c r="G350" s="118">
        <f t="shared" si="53"/>
        <v>0</v>
      </c>
      <c r="H350" s="126">
        <f>+GETPIVOTDATA(" Old Inst. avg",'Averages Pivot Table'!$A$3,"State","MS","Category",7,"Category2","Two-Year")</f>
        <v>0</v>
      </c>
      <c r="I350" s="118">
        <f t="shared" si="54"/>
        <v>0</v>
      </c>
      <c r="J350" s="126">
        <f>+GETPIVOTDATA(" Old Undesg. avg",'Averages Pivot Table'!$A$3,"State","MS","Category",7,"Category2","Two-Year")</f>
        <v>0</v>
      </c>
      <c r="K350" s="118">
        <f t="shared" si="55"/>
        <v>0</v>
      </c>
      <c r="L350" s="126">
        <f>+GETPIVOTDATA(" Old Single Rnk avg",'Averages Pivot Table'!$A$3,"State","MS","Category",7,"Category2","Two-Year")</f>
        <v>0</v>
      </c>
      <c r="M350" s="118">
        <f t="shared" si="56"/>
        <v>0</v>
      </c>
      <c r="N350" s="126">
        <f>+GETPIVOTDATA(" Old All Ranks avg",'Averages Pivot Table'!$A$3,"State","MS","Category",7,"Category2","Two-Year")</f>
        <v>0</v>
      </c>
      <c r="O350" s="118">
        <f t="shared" si="57"/>
        <v>0</v>
      </c>
    </row>
    <row r="351" spans="1:19" ht="12.95" customHeight="1" x14ac:dyDescent="0.25">
      <c r="A351" s="132" t="s">
        <v>213</v>
      </c>
      <c r="B351" s="126">
        <f>+GETPIVOTDATA(" Old Prof avg",'Averages Pivot Table'!$A$3,"State","NC","Category",7,"Category2","Two-Year")</f>
        <v>0</v>
      </c>
      <c r="C351" s="118">
        <f t="shared" si="58"/>
        <v>0</v>
      </c>
      <c r="D351" s="126">
        <f>+GETPIVOTDATA(" Old Asc. avg",'Averages Pivot Table'!$A$3,"State","NC","Category",7,"Category2","Two-Year")</f>
        <v>0</v>
      </c>
      <c r="E351" s="118">
        <f t="shared" si="58"/>
        <v>0</v>
      </c>
      <c r="F351" s="126">
        <f>+GETPIVOTDATA(" Old Ast. avg",'Averages Pivot Table'!$A$3,"State","NC","Category",7,"Category2","Two-Year")</f>
        <v>0</v>
      </c>
      <c r="G351" s="118">
        <f t="shared" si="53"/>
        <v>0</v>
      </c>
      <c r="H351" s="126">
        <f>+GETPIVOTDATA(" Old Inst. avg",'Averages Pivot Table'!$A$3,"State","NC","Category",7,"Category2","Two-Year")</f>
        <v>0</v>
      </c>
      <c r="I351" s="118">
        <f t="shared" si="54"/>
        <v>0</v>
      </c>
      <c r="J351" s="126">
        <f>+GETPIVOTDATA(" Old Undesg. avg",'Averages Pivot Table'!$A$3,"State","NC","Category",7,"Category2","Two-Year")</f>
        <v>0</v>
      </c>
      <c r="K351" s="118">
        <f t="shared" si="55"/>
        <v>0</v>
      </c>
      <c r="L351" s="126">
        <f>+GETPIVOTDATA(" Old Single Rnk avg",'Averages Pivot Table'!$A$3,"State","NC","Category",7,"Category2","Two-Year")</f>
        <v>0</v>
      </c>
      <c r="M351" s="118">
        <f t="shared" si="56"/>
        <v>0</v>
      </c>
      <c r="N351" s="126">
        <f>+GETPIVOTDATA(" Old All Ranks avg",'Averages Pivot Table'!$A$3,"State","NC","Category",7,"Category2","Two-Year")</f>
        <v>0</v>
      </c>
      <c r="O351" s="118">
        <f t="shared" si="57"/>
        <v>0</v>
      </c>
    </row>
    <row r="352" spans="1:19" ht="12.95" customHeight="1" x14ac:dyDescent="0.25">
      <c r="A352" s="132" t="s">
        <v>214</v>
      </c>
      <c r="B352" s="126">
        <f>+GETPIVOTDATA(" Old Prof avg",'Averages Pivot Table'!$A$3,"State","OK","Category",7,"Category2","Two-Year")</f>
        <v>0</v>
      </c>
      <c r="C352" s="118">
        <f t="shared" si="58"/>
        <v>0</v>
      </c>
      <c r="D352" s="126">
        <f>+GETPIVOTDATA(" Old Asc. avg",'Averages Pivot Table'!$A$3,"State","OK","Category",7,"Category2","Two-Year")</f>
        <v>0</v>
      </c>
      <c r="E352" s="118">
        <f t="shared" si="58"/>
        <v>0</v>
      </c>
      <c r="F352" s="126">
        <f>+GETPIVOTDATA(" Old Ast. avg",'Averages Pivot Table'!$A$3,"State","OK","Category",7,"Category2","Two-Year")</f>
        <v>0</v>
      </c>
      <c r="G352" s="118">
        <f t="shared" si="53"/>
        <v>0</v>
      </c>
      <c r="H352" s="126">
        <f>+GETPIVOTDATA(" Old Inst. avg",'Averages Pivot Table'!$A$3,"State","OK","Category",7,"Category2","Two-Year")</f>
        <v>0</v>
      </c>
      <c r="I352" s="118">
        <f t="shared" si="54"/>
        <v>0</v>
      </c>
      <c r="J352" s="126">
        <f>+GETPIVOTDATA(" Old Undesg. avg",'Averages Pivot Table'!$A$3,"State","OK","Category",7,"Category2","Two-Year")</f>
        <v>0</v>
      </c>
      <c r="K352" s="118">
        <f t="shared" si="55"/>
        <v>0</v>
      </c>
      <c r="L352" s="126">
        <f>+GETPIVOTDATA(" Old Single Rnk avg",'Averages Pivot Table'!$A$3,"State","OK","Category",7,"Category2","Two-Year")</f>
        <v>50883.843137254902</v>
      </c>
      <c r="M352" s="118">
        <f t="shared" si="56"/>
        <v>2</v>
      </c>
      <c r="N352" s="126">
        <f>+GETPIVOTDATA(" Old All Ranks avg",'Averages Pivot Table'!$A$3,"State","OK","Category",7,"Category2","Two-Year")</f>
        <v>50883.843137254902</v>
      </c>
      <c r="O352" s="118">
        <f t="shared" si="57"/>
        <v>3</v>
      </c>
    </row>
    <row r="353" spans="1:19" ht="12.95" customHeight="1" x14ac:dyDescent="0.25">
      <c r="A353" s="132" t="s">
        <v>215</v>
      </c>
      <c r="B353" s="126">
        <f>+GETPIVOTDATA(" Old Prof avg",'Averages Pivot Table'!$A$3,"State","SC","Category",7,"Category2","Two-Year")</f>
        <v>0</v>
      </c>
      <c r="C353" s="118">
        <f t="shared" si="58"/>
        <v>0</v>
      </c>
      <c r="D353" s="126">
        <f>+GETPIVOTDATA(" Old Asc. avg",'Averages Pivot Table'!$A$3,"State","SC","Category",7,"Category2","Two-Year")</f>
        <v>0</v>
      </c>
      <c r="E353" s="118">
        <f t="shared" si="58"/>
        <v>0</v>
      </c>
      <c r="F353" s="126">
        <f>+GETPIVOTDATA(" Old Ast. avg",'Averages Pivot Table'!$A$3,"State","SC","Category",7,"Category2","Two-Year")</f>
        <v>0</v>
      </c>
      <c r="G353" s="118">
        <f t="shared" si="53"/>
        <v>0</v>
      </c>
      <c r="H353" s="126">
        <f>+GETPIVOTDATA(" Old Inst. avg",'Averages Pivot Table'!$A$3,"State","SC","Category",7,"Category2","Two-Year")</f>
        <v>0</v>
      </c>
      <c r="I353" s="118">
        <f t="shared" si="54"/>
        <v>0</v>
      </c>
      <c r="J353" s="126">
        <f>+GETPIVOTDATA(" Old Undesg. avg",'Averages Pivot Table'!$A$3,"State","SC","Category",7,"Category2","Two-Year")</f>
        <v>0</v>
      </c>
      <c r="K353" s="118">
        <f t="shared" si="55"/>
        <v>0</v>
      </c>
      <c r="L353" s="126">
        <f>+GETPIVOTDATA(" Old Single Rnk avg",'Averages Pivot Table'!$A$3,"State","SC","Category",7,"Category2","Two-Year")</f>
        <v>0</v>
      </c>
      <c r="M353" s="118">
        <f t="shared" si="56"/>
        <v>0</v>
      </c>
      <c r="N353" s="126">
        <f>+GETPIVOTDATA(" Old All Ranks avg",'Averages Pivot Table'!$A$3,"State","SC","Category",7,"Category2","Two-Year")</f>
        <v>0</v>
      </c>
      <c r="O353" s="118">
        <f t="shared" si="57"/>
        <v>0</v>
      </c>
    </row>
    <row r="354" spans="1:19" ht="12.95" customHeight="1" x14ac:dyDescent="0.25">
      <c r="A354" s="132"/>
      <c r="B354" s="126"/>
      <c r="C354" s="118">
        <f t="shared" si="58"/>
        <v>0</v>
      </c>
      <c r="D354" s="126"/>
      <c r="E354" s="118">
        <f t="shared" si="58"/>
        <v>0</v>
      </c>
      <c r="F354" s="126"/>
      <c r="G354" s="118">
        <f t="shared" si="53"/>
        <v>0</v>
      </c>
      <c r="H354" s="126"/>
      <c r="I354" s="118">
        <f t="shared" si="54"/>
        <v>0</v>
      </c>
      <c r="J354" s="126"/>
      <c r="K354" s="118">
        <f t="shared" si="55"/>
        <v>0</v>
      </c>
      <c r="L354" s="126"/>
      <c r="M354" s="118">
        <f t="shared" si="56"/>
        <v>0</v>
      </c>
      <c r="N354" s="126"/>
      <c r="O354" s="118">
        <f t="shared" si="57"/>
        <v>0</v>
      </c>
    </row>
    <row r="355" spans="1:19" ht="12.95" customHeight="1" x14ac:dyDescent="0.25">
      <c r="A355" s="132" t="s">
        <v>216</v>
      </c>
      <c r="B355" s="563">
        <f>+GETPIVOTDATA(" Old Prof avg",'Averages Pivot Table'!$A$3,"State","TN","Category",7,"Category2","Two-Year")</f>
        <v>0</v>
      </c>
      <c r="C355" s="118">
        <f t="shared" si="58"/>
        <v>0</v>
      </c>
      <c r="D355" s="563">
        <f>+GETPIVOTDATA(" Old Asc. avg",'Averages Pivot Table'!$A$3,"State","TN","Category",7,"Category2","Two-Year")</f>
        <v>0</v>
      </c>
      <c r="E355" s="118">
        <f t="shared" si="58"/>
        <v>0</v>
      </c>
      <c r="F355" s="563">
        <f>+GETPIVOTDATA(" Old Ast. avg",'Averages Pivot Table'!$A$3,"State","TN","Category",7,"Category2","Two-Year")</f>
        <v>0</v>
      </c>
      <c r="G355" s="118">
        <f t="shared" si="53"/>
        <v>0</v>
      </c>
      <c r="H355" s="563">
        <f>+GETPIVOTDATA(" Old Inst. avg",'Averages Pivot Table'!$A$3,"State","TN","Category",7,"Category2","Two-Year")</f>
        <v>0</v>
      </c>
      <c r="I355" s="118">
        <f t="shared" si="54"/>
        <v>0</v>
      </c>
      <c r="J355" s="563">
        <f>+GETPIVOTDATA(" Old Undesg. avg",'Averages Pivot Table'!$A$3,"State","TN","Category",7,"Category2","Two-Year")</f>
        <v>0</v>
      </c>
      <c r="K355" s="118">
        <f t="shared" si="55"/>
        <v>0</v>
      </c>
      <c r="L355" s="563">
        <f>+GETPIVOTDATA(" Old Single Rnk avg",'Averages Pivot Table'!$A$3,"State","TN","Category",7,"Category2","Two-Year")</f>
        <v>0</v>
      </c>
      <c r="M355" s="118">
        <f t="shared" si="56"/>
        <v>0</v>
      </c>
      <c r="N355" s="126">
        <f>+GETPIVOTDATA(" Old All Ranks avg",'Averages Pivot Table'!$A$3,"State","TN","Category",7,"Category2","Two-Year")</f>
        <v>0</v>
      </c>
      <c r="O355" s="118">
        <f t="shared" si="57"/>
        <v>0</v>
      </c>
    </row>
    <row r="356" spans="1:19" ht="12.95" customHeight="1" x14ac:dyDescent="0.25">
      <c r="A356" s="132" t="s">
        <v>217</v>
      </c>
      <c r="B356" s="563">
        <f>+GETPIVOTDATA(" Old Prof avg",'Averages Pivot Table'!$A$3,"State","TX","Category",7,"Category2","Two-Year")</f>
        <v>66147.287400000001</v>
      </c>
      <c r="C356" s="118">
        <f t="shared" si="58"/>
        <v>2</v>
      </c>
      <c r="D356" s="563">
        <f>+GETPIVOTDATA(" Old Asc. avg",'Averages Pivot Table'!$A$3,"State","TX","Category",7,"Category2","Two-Year")</f>
        <v>54473.567054545449</v>
      </c>
      <c r="E356" s="118">
        <f t="shared" si="58"/>
        <v>1</v>
      </c>
      <c r="F356" s="563">
        <f>+GETPIVOTDATA(" Old Ast. avg",'Averages Pivot Table'!$A$3,"State","TX","Category",7,"Category2","Two-Year")</f>
        <v>49649.129628571427</v>
      </c>
      <c r="G356" s="118">
        <f t="shared" si="53"/>
        <v>1</v>
      </c>
      <c r="H356" s="563">
        <f>+GETPIVOTDATA(" Old Inst. avg",'Averages Pivot Table'!$A$3,"State","TX","Category",7,"Category2","Two-Year")</f>
        <v>50403.653784501847</v>
      </c>
      <c r="I356" s="118">
        <f t="shared" si="54"/>
        <v>1</v>
      </c>
      <c r="J356" s="563">
        <f>+GETPIVOTDATA(" Old Undesg. avg",'Averages Pivot Table'!$A$3,"State","TX","Category",7,"Category2","Two-Year")</f>
        <v>0</v>
      </c>
      <c r="K356" s="118">
        <f t="shared" si="55"/>
        <v>0</v>
      </c>
      <c r="L356" s="563">
        <f>+GETPIVOTDATA(" Old Single Rnk avg",'Averages Pivot Table'!$A$3,"State","TX","Category",7,"Category2","Two-Year")</f>
        <v>42315.667600000008</v>
      </c>
      <c r="M356" s="118">
        <f t="shared" si="56"/>
        <v>3</v>
      </c>
      <c r="N356" s="126">
        <f>+GETPIVOTDATA(" Old All Ranks avg",'Averages Pivot Table'!$A$3,"State","TX","Category",7,"Category2","Two-Year")</f>
        <v>51946.065672823221</v>
      </c>
      <c r="O356" s="118">
        <f t="shared" si="57"/>
        <v>2</v>
      </c>
    </row>
    <row r="357" spans="1:19" ht="12.95" customHeight="1" x14ac:dyDescent="0.25">
      <c r="A357" s="132" t="s">
        <v>218</v>
      </c>
      <c r="B357" s="563">
        <f>+GETPIVOTDATA(" Old Prof avg",'Averages Pivot Table'!$A$3,"State","VA","Category",7,"Category2","Two-Year")</f>
        <v>0</v>
      </c>
      <c r="C357" s="118">
        <f t="shared" si="58"/>
        <v>0</v>
      </c>
      <c r="D357" s="563">
        <f>+GETPIVOTDATA(" Old Asc. avg",'Averages Pivot Table'!$A$3,"State","VA","Category",7,"Category2","Two-Year")</f>
        <v>0</v>
      </c>
      <c r="E357" s="118">
        <f t="shared" si="58"/>
        <v>0</v>
      </c>
      <c r="F357" s="563">
        <f>+GETPIVOTDATA(" Old Ast. avg",'Averages Pivot Table'!$A$3,"State","VA","Category",7,"Category2","Two-Year")</f>
        <v>0</v>
      </c>
      <c r="G357" s="118">
        <f t="shared" si="53"/>
        <v>0</v>
      </c>
      <c r="H357" s="563">
        <f>+GETPIVOTDATA(" Old Inst. avg",'Averages Pivot Table'!$A$3,"State","VA","Category",7,"Category2","Two-Year")</f>
        <v>0</v>
      </c>
      <c r="I357" s="118">
        <f t="shared" si="54"/>
        <v>0</v>
      </c>
      <c r="J357" s="563">
        <f>+GETPIVOTDATA(" Old Undesg. avg",'Averages Pivot Table'!$A$3,"State","VA","Category",7,"Category2","Two-Year")</f>
        <v>0</v>
      </c>
      <c r="K357" s="118">
        <f t="shared" si="55"/>
        <v>0</v>
      </c>
      <c r="L357" s="563">
        <f>+GETPIVOTDATA(" Old Single Rnk avg",'Averages Pivot Table'!$A$3,"State","VA","Category",7,"Category2","Two-Year")</f>
        <v>0</v>
      </c>
      <c r="M357" s="118">
        <f t="shared" si="56"/>
        <v>0</v>
      </c>
      <c r="N357" s="126">
        <f>+GETPIVOTDATA(" Old All Ranks avg",'Averages Pivot Table'!$A$3,"State","VA","Category",7,"Category2","Two-Year")</f>
        <v>0</v>
      </c>
      <c r="O357" s="118">
        <f t="shared" si="57"/>
        <v>0</v>
      </c>
    </row>
    <row r="358" spans="1:19" ht="12.95" customHeight="1" x14ac:dyDescent="0.25">
      <c r="A358" s="6" t="s">
        <v>219</v>
      </c>
      <c r="B358" s="566">
        <f>+GETPIVOTDATA(" Old Prof avg",'Averages Pivot Table'!$A$3,"State","WV","Category",7,"Category2","Two-Year")</f>
        <v>58924.09042790698</v>
      </c>
      <c r="C358" s="119">
        <f t="shared" si="58"/>
        <v>3</v>
      </c>
      <c r="D358" s="566">
        <f>+GETPIVOTDATA(" Old Asc. avg",'Averages Pivot Table'!$A$3,"State","WV","Category",7,"Category2","Two-Year")</f>
        <v>51755.033871428575</v>
      </c>
      <c r="E358" s="119">
        <f t="shared" si="58"/>
        <v>3</v>
      </c>
      <c r="F358" s="566">
        <f>+GETPIVOTDATA(" Old Ast. avg",'Averages Pivot Table'!$A$3,"State","WV","Category",7,"Category2","Two-Year")</f>
        <v>43577.548116666665</v>
      </c>
      <c r="G358" s="119">
        <f t="shared" si="53"/>
        <v>3</v>
      </c>
      <c r="H358" s="566">
        <f>+GETPIVOTDATA(" Old Inst. avg",'Averages Pivot Table'!$A$3,"State","WV","Category",7,"Category2","Two-Year")</f>
        <v>37188.239130434784</v>
      </c>
      <c r="I358" s="119">
        <f t="shared" si="54"/>
        <v>3</v>
      </c>
      <c r="J358" s="566">
        <f>+GETPIVOTDATA(" Old Undesg. avg",'Averages Pivot Table'!$A$3,"State","WV","Category",7,"Category2","Two-Year")</f>
        <v>36960.044533333334</v>
      </c>
      <c r="K358" s="119">
        <f t="shared" si="55"/>
        <v>1</v>
      </c>
      <c r="L358" s="566">
        <f>+GETPIVOTDATA(" Old Single Rnk avg",'Averages Pivot Table'!$A$3,"State","WV","Category",7,"Category2","Two-Year")</f>
        <v>0</v>
      </c>
      <c r="M358" s="119">
        <f t="shared" si="56"/>
        <v>0</v>
      </c>
      <c r="N358" s="566">
        <f>+GETPIVOTDATA(" Old All Ranks avg",'Averages Pivot Table'!$A$3,"State","WV","Category",7,"Category2","Two-Year")</f>
        <v>46891.629959398495</v>
      </c>
      <c r="O358" s="119">
        <f t="shared" si="57"/>
        <v>5</v>
      </c>
    </row>
    <row r="359" spans="1:19" ht="30" customHeight="1" x14ac:dyDescent="0.25">
      <c r="A359" s="679" t="s">
        <v>91</v>
      </c>
      <c r="B359" s="679"/>
      <c r="C359" s="679"/>
      <c r="D359" s="679"/>
      <c r="E359" s="679"/>
      <c r="F359" s="679"/>
      <c r="G359" s="679"/>
      <c r="H359" s="679"/>
      <c r="I359" s="679"/>
      <c r="J359" s="679"/>
      <c r="K359" s="679"/>
      <c r="L359" s="679"/>
      <c r="M359" s="679"/>
      <c r="N359" s="679"/>
      <c r="O359" s="679"/>
    </row>
    <row r="360" spans="1:19" x14ac:dyDescent="0.25">
      <c r="O360" s="157" t="s">
        <v>1083</v>
      </c>
    </row>
    <row r="361" spans="1:19" ht="18" x14ac:dyDescent="0.25">
      <c r="A361" s="544" t="s">
        <v>271</v>
      </c>
      <c r="B361" s="544"/>
      <c r="C361" s="544"/>
      <c r="D361" s="544"/>
      <c r="E361" s="544"/>
      <c r="F361" s="544"/>
      <c r="G361" s="544"/>
      <c r="H361" s="544"/>
      <c r="I361" s="544"/>
      <c r="J361" s="544"/>
      <c r="K361" s="544"/>
      <c r="L361" s="544"/>
      <c r="M361" s="544"/>
      <c r="N361" s="544"/>
      <c r="O361" s="544"/>
    </row>
    <row r="362" spans="1:19" x14ac:dyDescent="0.25">
      <c r="A362" s="588"/>
      <c r="B362" s="93"/>
      <c r="C362" s="93"/>
      <c r="D362" s="93"/>
      <c r="E362" s="93"/>
      <c r="F362" s="93"/>
      <c r="G362" s="93"/>
      <c r="H362" s="93"/>
      <c r="I362" s="93"/>
      <c r="J362" s="93"/>
      <c r="K362" s="93"/>
      <c r="L362" s="93"/>
      <c r="M362" s="93"/>
      <c r="N362" s="93"/>
      <c r="O362" s="93"/>
    </row>
    <row r="363" spans="1:19" x14ac:dyDescent="0.25">
      <c r="A363" s="665" t="s">
        <v>220</v>
      </c>
      <c r="B363" s="665"/>
      <c r="C363" s="665"/>
      <c r="D363" s="665"/>
      <c r="E363" s="665"/>
      <c r="F363" s="665"/>
      <c r="G363" s="665"/>
      <c r="H363" s="665"/>
      <c r="I363" s="665"/>
      <c r="J363" s="665"/>
      <c r="K363" s="665"/>
      <c r="L363" s="665"/>
      <c r="M363" s="665"/>
      <c r="N363" s="665"/>
      <c r="O363" s="665"/>
    </row>
    <row r="364" spans="1:19" x14ac:dyDescent="0.25">
      <c r="A364" s="665" t="s">
        <v>309</v>
      </c>
      <c r="B364" s="665"/>
      <c r="C364" s="665"/>
      <c r="D364" s="665"/>
      <c r="E364" s="665"/>
      <c r="F364" s="665"/>
      <c r="G364" s="665"/>
      <c r="H364" s="665"/>
      <c r="I364" s="665"/>
      <c r="J364" s="665"/>
      <c r="K364" s="665"/>
      <c r="L364" s="665"/>
      <c r="M364" s="665"/>
      <c r="N364" s="665"/>
      <c r="O364" s="665"/>
    </row>
    <row r="365" spans="1:19" x14ac:dyDescent="0.25">
      <c r="A365" s="132"/>
      <c r="B365" s="132"/>
      <c r="C365" s="132"/>
      <c r="D365" s="132"/>
      <c r="E365" s="132"/>
      <c r="F365" s="132"/>
      <c r="G365" s="132"/>
      <c r="H365" s="132"/>
      <c r="I365" s="132"/>
      <c r="J365" s="132"/>
      <c r="K365" s="132"/>
      <c r="L365" s="132"/>
      <c r="M365" s="132"/>
      <c r="N365" s="132"/>
      <c r="O365" s="132"/>
    </row>
    <row r="366" spans="1:19" ht="31.5" customHeight="1" x14ac:dyDescent="0.25">
      <c r="A366" s="547"/>
      <c r="B366" s="589" t="s">
        <v>99</v>
      </c>
      <c r="C366" s="142"/>
      <c r="D366" s="590" t="s">
        <v>100</v>
      </c>
      <c r="E366" s="591"/>
      <c r="F366" s="590" t="s">
        <v>101</v>
      </c>
      <c r="G366" s="591"/>
      <c r="H366" s="589" t="s">
        <v>102</v>
      </c>
      <c r="I366" s="142"/>
      <c r="J366" s="590" t="s">
        <v>226</v>
      </c>
      <c r="K366" s="591"/>
      <c r="L366" s="142" t="s">
        <v>82</v>
      </c>
      <c r="M366" s="142"/>
      <c r="N366" s="142" t="s">
        <v>84</v>
      </c>
      <c r="O366" s="142"/>
    </row>
    <row r="367" spans="1:19" x14ac:dyDescent="0.25">
      <c r="A367" s="551"/>
      <c r="B367" s="115" t="s">
        <v>103</v>
      </c>
      <c r="C367" s="143" t="s">
        <v>193</v>
      </c>
      <c r="D367" s="115" t="s">
        <v>103</v>
      </c>
      <c r="E367" s="143" t="s">
        <v>193</v>
      </c>
      <c r="F367" s="115" t="s">
        <v>103</v>
      </c>
      <c r="G367" s="143" t="s">
        <v>193</v>
      </c>
      <c r="H367" s="115" t="s">
        <v>103</v>
      </c>
      <c r="I367" s="143" t="s">
        <v>193</v>
      </c>
      <c r="J367" s="115" t="s">
        <v>103</v>
      </c>
      <c r="K367" s="143" t="s">
        <v>193</v>
      </c>
      <c r="L367" s="115" t="s">
        <v>103</v>
      </c>
      <c r="M367" s="143" t="s">
        <v>193</v>
      </c>
      <c r="N367" s="115" t="s">
        <v>103</v>
      </c>
      <c r="O367" s="143" t="s">
        <v>193</v>
      </c>
    </row>
    <row r="368" spans="1:19" s="556" customFormat="1" ht="18" customHeight="1" x14ac:dyDescent="0.25">
      <c r="A368" s="554" t="s">
        <v>222</v>
      </c>
      <c r="B368" s="146">
        <f>+GETPIVOTDATA(" Old Prof avg",'Averages Pivot Table'!$A$3,"Category",8,"Category2","Two-Year")</f>
        <v>69860.45039425604</v>
      </c>
      <c r="C368" s="146"/>
      <c r="D368" s="146">
        <f>+GETPIVOTDATA(" Old Asc. avg",'Averages Pivot Table'!$A$3,"Category",8,"Category2","Two-Year")</f>
        <v>55998.134838840095</v>
      </c>
      <c r="E368" s="146"/>
      <c r="F368" s="146">
        <f>+GETPIVOTDATA(" Old Ast. avg",'Averages Pivot Table'!$A$3,"Category",8,"Category2","Two-Year")</f>
        <v>52210.84537918344</v>
      </c>
      <c r="G368" s="146"/>
      <c r="H368" s="146">
        <f>+GETPIVOTDATA(" Old Inst. avg",'Averages Pivot Table'!$A$3,"Category",8,"Category2","Two-Year")</f>
        <v>48842.762754375006</v>
      </c>
      <c r="I368" s="146"/>
      <c r="J368" s="146">
        <f>+GETPIVOTDATA(" Old Undesg. avg",'Averages Pivot Table'!$A$3,"Category",8,"Category2","Two-Year")</f>
        <v>45604.981352767529</v>
      </c>
      <c r="K368" s="146"/>
      <c r="L368" s="146">
        <f>+GETPIVOTDATA(" Old Single Rnk avg",'Averages Pivot Table'!$A$3,"Category",8,"Category2","Two-Year")</f>
        <v>51770.526983135554</v>
      </c>
      <c r="M368" s="146"/>
      <c r="N368" s="146">
        <f>+GETPIVOTDATA(" Old All Ranks avg",'Averages Pivot Table'!$A$3,"Category",8,"Category2","Two-Year")</f>
        <v>53637.213173291741</v>
      </c>
      <c r="O368" s="133"/>
      <c r="Q368" s="558"/>
      <c r="R368" s="558"/>
      <c r="S368" s="558"/>
    </row>
    <row r="369" spans="1:15" ht="12.95" customHeight="1" x14ac:dyDescent="0.25">
      <c r="A369" s="132"/>
      <c r="B369" s="123"/>
      <c r="C369" s="150"/>
      <c r="D369" s="123"/>
      <c r="E369" s="150"/>
      <c r="F369" s="123"/>
      <c r="G369" s="150"/>
      <c r="H369" s="123"/>
      <c r="I369" s="150"/>
      <c r="J369" s="123"/>
      <c r="K369" s="150"/>
      <c r="L369" s="123"/>
      <c r="M369" s="150"/>
      <c r="N369" s="123"/>
      <c r="O369" s="134"/>
    </row>
    <row r="370" spans="1:15" ht="12.95" customHeight="1" x14ac:dyDescent="0.25">
      <c r="A370" s="132" t="s">
        <v>205</v>
      </c>
      <c r="B370" s="126">
        <f>+GETPIVOTDATA(" Old Prof avg",'Averages Pivot Table'!$A$3,"State","AL","Category",8,"Category2","Two-Year")</f>
        <v>0</v>
      </c>
      <c r="C370" s="118">
        <f>IF(B370&gt;0,(RANK(B370,B$370:B$388)),0)</f>
        <v>0</v>
      </c>
      <c r="D370" s="126">
        <f>+GETPIVOTDATA(" Old Asc. avg",'Averages Pivot Table'!$A$3,"State","AL","Category",8,"Category2","Two-Year")</f>
        <v>0</v>
      </c>
      <c r="E370" s="118">
        <f>IF(D370&gt;0,(RANK(D370,D$370:D$388)),0)</f>
        <v>0</v>
      </c>
      <c r="F370" s="126">
        <f>+GETPIVOTDATA(" Old Ast. avg",'Averages Pivot Table'!$A$3,"State","AL","Category",8,"Category2","Two-Year")</f>
        <v>0</v>
      </c>
      <c r="G370" s="118">
        <f t="shared" ref="G370:G388" si="59">IF(F370&gt;0,(RANK(F370,F$370:F$388)),0)</f>
        <v>0</v>
      </c>
      <c r="H370" s="126">
        <f>+GETPIVOTDATA(" Old Inst. avg",'Averages Pivot Table'!$A$3,"State","AL","Category",8,"Category2","Two-Year")</f>
        <v>0</v>
      </c>
      <c r="I370" s="118">
        <f t="shared" ref="I370:I388" si="60">IF(H370&gt;0,(RANK(H370,H$370:H$388)),0)</f>
        <v>0</v>
      </c>
      <c r="J370" s="126">
        <f>+GETPIVOTDATA(" Old Undesg. avg",'Averages Pivot Table'!$A$3,"State","AL","Category",8,"Category2","Two-Year")</f>
        <v>0</v>
      </c>
      <c r="K370" s="118">
        <f t="shared" ref="K370:K388" si="61">IF(J370&gt;0,(RANK(J370,J$370:J$388)),0)</f>
        <v>0</v>
      </c>
      <c r="L370" s="126">
        <f>+GETPIVOTDATA(" Old Single Rnk avg",'Averages Pivot Table'!$A$3,"State","AL","Category",8,"Category2","Two-Year")</f>
        <v>53107.406635650623</v>
      </c>
      <c r="M370" s="118">
        <f t="shared" ref="M370:M388" si="62">IF(L370&gt;0,(RANK(L370,L$370:L$388)),0)</f>
        <v>3</v>
      </c>
      <c r="N370" s="126">
        <f>+GETPIVOTDATA(" Old All Ranks avg",'Averages Pivot Table'!$A$3,"State","AL","Category",8,"Category2","Two-Year")</f>
        <v>53107.406635650623</v>
      </c>
      <c r="O370" s="118">
        <f t="shared" ref="O370:O388" si="63">IF(N370&gt;0,(RANK(N370,N$370:N$388)),0)</f>
        <v>5</v>
      </c>
    </row>
    <row r="371" spans="1:15" ht="12.95" customHeight="1" x14ac:dyDescent="0.25">
      <c r="A371" s="132" t="s">
        <v>206</v>
      </c>
      <c r="B371" s="126">
        <f>+GETPIVOTDATA(" Old Prof avg",'Averages Pivot Table'!$A$3,"State","AR","Category",8,"Category2","Two-Year")</f>
        <v>0</v>
      </c>
      <c r="C371" s="118">
        <f t="shared" ref="C371:E388" si="64">IF(B371&gt;0,(RANK(B371,B$370:B$388)),0)</f>
        <v>0</v>
      </c>
      <c r="D371" s="126">
        <f>+GETPIVOTDATA(" Old Asc. avg",'Averages Pivot Table'!$A$3,"State","AR","Category",8,"Category2","Two-Year")</f>
        <v>0</v>
      </c>
      <c r="E371" s="118">
        <f t="shared" si="64"/>
        <v>0</v>
      </c>
      <c r="F371" s="126">
        <f>+GETPIVOTDATA(" Old Ast. avg",'Averages Pivot Table'!$A$3,"State","AR","Category",8,"Category2","Two-Year")</f>
        <v>0</v>
      </c>
      <c r="G371" s="118">
        <f t="shared" si="59"/>
        <v>0</v>
      </c>
      <c r="H371" s="126">
        <f>+GETPIVOTDATA(" Old Inst. avg",'Averages Pivot Table'!$A$3,"State","AR","Category",8,"Category2","Two-Year")</f>
        <v>0</v>
      </c>
      <c r="I371" s="118">
        <f t="shared" si="60"/>
        <v>0</v>
      </c>
      <c r="J371" s="126">
        <f>+GETPIVOTDATA(" Old Undesg. avg",'Averages Pivot Table'!$A$3,"State","AR","Category",8,"Category2","Two-Year")</f>
        <v>0</v>
      </c>
      <c r="K371" s="118">
        <f t="shared" si="61"/>
        <v>0</v>
      </c>
      <c r="L371" s="126">
        <f>+GETPIVOTDATA(" Old Single Rnk avg",'Averages Pivot Table'!$A$3,"State","AR","Category",8,"Category2","Two-Year")</f>
        <v>48797.317589808918</v>
      </c>
      <c r="M371" s="118">
        <f t="shared" si="62"/>
        <v>6</v>
      </c>
      <c r="N371" s="126">
        <f>+GETPIVOTDATA(" Old All Ranks avg",'Averages Pivot Table'!$A$3,"State","AR","Category",8,"Category2","Two-Year")</f>
        <v>48797.317589808918</v>
      </c>
      <c r="O371" s="118">
        <f t="shared" si="63"/>
        <v>10</v>
      </c>
    </row>
    <row r="372" spans="1:15" ht="12.95" customHeight="1" x14ac:dyDescent="0.25">
      <c r="A372" s="132" t="s">
        <v>221</v>
      </c>
      <c r="B372" s="126">
        <f>+GETPIVOTDATA(" Old Prof avg",'Averages Pivot Table'!$A$3,"State","DE","Category",8,"Category2","Two-Year")</f>
        <v>0</v>
      </c>
      <c r="C372" s="118">
        <f t="shared" si="64"/>
        <v>0</v>
      </c>
      <c r="D372" s="126">
        <f>+GETPIVOTDATA(" Old Asc. avg",'Averages Pivot Table'!$A$3,"State","DE","Category",8,"Category2","Two-Year")</f>
        <v>0</v>
      </c>
      <c r="E372" s="118">
        <f t="shared" si="64"/>
        <v>0</v>
      </c>
      <c r="F372" s="126">
        <f>+GETPIVOTDATA(" Old Ast. avg",'Averages Pivot Table'!$A$3,"State","DE","Category",8,"Category2","Two-Year")</f>
        <v>0</v>
      </c>
      <c r="G372" s="118">
        <f t="shared" si="59"/>
        <v>0</v>
      </c>
      <c r="H372" s="126">
        <f>+GETPIVOTDATA(" Old Inst. avg",'Averages Pivot Table'!$A$3,"State","DE","Category",8,"Category2","Two-Year")</f>
        <v>0</v>
      </c>
      <c r="I372" s="118">
        <f t="shared" si="60"/>
        <v>0</v>
      </c>
      <c r="J372" s="126">
        <f>+GETPIVOTDATA(" Old Undesg. avg",'Averages Pivot Table'!$A$3,"State","DE","Category",8,"Category2","Two-Year")</f>
        <v>0</v>
      </c>
      <c r="K372" s="118">
        <f t="shared" si="61"/>
        <v>0</v>
      </c>
      <c r="L372" s="126">
        <f>+GETPIVOTDATA(" Old Single Rnk avg",'Averages Pivot Table'!$A$3,"State","DE","Category",8,"Category2","Two-Year")</f>
        <v>63950.964324022345</v>
      </c>
      <c r="M372" s="118">
        <f t="shared" si="62"/>
        <v>1</v>
      </c>
      <c r="N372" s="126">
        <f>+GETPIVOTDATA(" Old All Ranks avg",'Averages Pivot Table'!$A$3,"State","DE","Category",8,"Category2","Two-Year")</f>
        <v>63950.964324022345</v>
      </c>
      <c r="O372" s="118">
        <f t="shared" si="63"/>
        <v>2</v>
      </c>
    </row>
    <row r="373" spans="1:15" ht="12.95" customHeight="1" x14ac:dyDescent="0.25">
      <c r="A373" s="132" t="s">
        <v>207</v>
      </c>
      <c r="B373" s="126">
        <f>+GETPIVOTDATA(" Old Prof avg",'Averages Pivot Table'!$A$3,"State","FL","Category",8,"Category2","Two-Year")</f>
        <v>0</v>
      </c>
      <c r="C373" s="118">
        <f t="shared" si="64"/>
        <v>0</v>
      </c>
      <c r="D373" s="126">
        <f>+GETPIVOTDATA(" Old Asc. avg",'Averages Pivot Table'!$A$3,"State","FL","Category",8,"Category2","Two-Year")</f>
        <v>0</v>
      </c>
      <c r="E373" s="118">
        <f t="shared" si="64"/>
        <v>0</v>
      </c>
      <c r="F373" s="126">
        <f>+GETPIVOTDATA(" Old Ast. avg",'Averages Pivot Table'!$A$3,"State","FL","Category",8,"Category2","Two-Year")</f>
        <v>0</v>
      </c>
      <c r="G373" s="118">
        <f t="shared" si="59"/>
        <v>0</v>
      </c>
      <c r="H373" s="126">
        <f>+GETPIVOTDATA(" Old Inst. avg",'Averages Pivot Table'!$A$3,"State","FL","Category",8,"Category2","Two-Year")</f>
        <v>0</v>
      </c>
      <c r="I373" s="118">
        <f t="shared" si="60"/>
        <v>0</v>
      </c>
      <c r="J373" s="126">
        <f>+GETPIVOTDATA(" Old Undesg. avg",'Averages Pivot Table'!$A$3,"State","FL","Category",8,"Category2","Two-Year")</f>
        <v>0</v>
      </c>
      <c r="K373" s="118">
        <f t="shared" si="61"/>
        <v>0</v>
      </c>
      <c r="L373" s="126">
        <f>+GETPIVOTDATA(" Old Single Rnk avg",'Averages Pivot Table'!$A$3,"State","FL","Category",8,"Category2","Two-Year")</f>
        <v>53060.702731092439</v>
      </c>
      <c r="M373" s="118">
        <f t="shared" si="62"/>
        <v>4</v>
      </c>
      <c r="N373" s="126">
        <f>+GETPIVOTDATA(" Old All Ranks avg",'Averages Pivot Table'!$A$3,"State","FL","Category",8,"Category2","Two-Year")</f>
        <v>53060.702731092439</v>
      </c>
      <c r="O373" s="118">
        <f t="shared" si="63"/>
        <v>6</v>
      </c>
    </row>
    <row r="374" spans="1:15" ht="12.95" customHeight="1" x14ac:dyDescent="0.25">
      <c r="A374" s="132"/>
      <c r="B374" s="126"/>
      <c r="C374" s="118">
        <f t="shared" si="64"/>
        <v>0</v>
      </c>
      <c r="D374" s="126"/>
      <c r="E374" s="118">
        <f t="shared" si="64"/>
        <v>0</v>
      </c>
      <c r="F374" s="126"/>
      <c r="G374" s="118">
        <f t="shared" si="59"/>
        <v>0</v>
      </c>
      <c r="H374" s="126"/>
      <c r="I374" s="118">
        <f t="shared" si="60"/>
        <v>0</v>
      </c>
      <c r="J374" s="126"/>
      <c r="K374" s="118">
        <f t="shared" si="61"/>
        <v>0</v>
      </c>
      <c r="L374" s="126"/>
      <c r="M374" s="118">
        <f t="shared" si="62"/>
        <v>0</v>
      </c>
      <c r="N374" s="126"/>
      <c r="O374" s="118">
        <f t="shared" si="63"/>
        <v>0</v>
      </c>
    </row>
    <row r="375" spans="1:15" ht="12.95" customHeight="1" x14ac:dyDescent="0.25">
      <c r="A375" s="132" t="s">
        <v>208</v>
      </c>
      <c r="B375" s="126">
        <f>+GETPIVOTDATA(" Old Prof avg",'Averages Pivot Table'!$A$3,"State","GA","Category",8,"Category2","Two-Year")</f>
        <v>66354.798276521746</v>
      </c>
      <c r="C375" s="118">
        <f t="shared" si="64"/>
        <v>3</v>
      </c>
      <c r="D375" s="126">
        <f>+GETPIVOTDATA(" Old Asc. avg",'Averages Pivot Table'!$A$3,"State","GA","Category",8,"Category2","Two-Year")</f>
        <v>56869.633167160493</v>
      </c>
      <c r="E375" s="118">
        <f t="shared" si="64"/>
        <v>3</v>
      </c>
      <c r="F375" s="126">
        <f>+GETPIVOTDATA(" Old Ast. avg",'Averages Pivot Table'!$A$3,"State","GA","Category",8,"Category2","Two-Year")</f>
        <v>45844.630506896559</v>
      </c>
      <c r="G375" s="118">
        <f t="shared" si="59"/>
        <v>4</v>
      </c>
      <c r="H375" s="126">
        <f>+GETPIVOTDATA(" Old Inst. avg",'Averages Pivot Table'!$A$3,"State","GA","Category",8,"Category2","Two-Year")</f>
        <v>40216.907791858408</v>
      </c>
      <c r="I375" s="118">
        <f t="shared" si="60"/>
        <v>4</v>
      </c>
      <c r="J375" s="126">
        <f>+GETPIVOTDATA(" Old Undesg. avg",'Averages Pivot Table'!$A$3,"State","GA","Category",8,"Category2","Two-Year")</f>
        <v>45637.898786666665</v>
      </c>
      <c r="K375" s="118">
        <f t="shared" si="61"/>
        <v>3</v>
      </c>
      <c r="L375" s="126">
        <f>+GETPIVOTDATA(" Old Single Rnk avg",'Averages Pivot Table'!$A$3,"State","GA","Category",8,"Category2","Two-Year")</f>
        <v>0</v>
      </c>
      <c r="M375" s="118">
        <f t="shared" si="62"/>
        <v>0</v>
      </c>
      <c r="N375" s="126">
        <f>+GETPIVOTDATA(" Old All Ranks avg",'Averages Pivot Table'!$A$3,"State","GA","Category",8,"Category2","Two-Year")</f>
        <v>50469.596227610629</v>
      </c>
      <c r="O375" s="118">
        <f t="shared" si="63"/>
        <v>8</v>
      </c>
    </row>
    <row r="376" spans="1:15" ht="12.95" customHeight="1" x14ac:dyDescent="0.25">
      <c r="A376" s="132" t="s">
        <v>209</v>
      </c>
      <c r="B376" s="126">
        <f>+GETPIVOTDATA(" Old Prof avg",'Averages Pivot Table'!$A$3,"State","KY","Category",8,"Category2","Two-Year")</f>
        <v>58478.707629870129</v>
      </c>
      <c r="C376" s="118">
        <f t="shared" si="64"/>
        <v>5</v>
      </c>
      <c r="D376" s="126">
        <f>+GETPIVOTDATA(" Old Asc. avg",'Averages Pivot Table'!$A$3,"State","KY","Category",8,"Category2","Two-Year")</f>
        <v>49249.016180733946</v>
      </c>
      <c r="E376" s="118">
        <f t="shared" si="64"/>
        <v>6</v>
      </c>
      <c r="F376" s="126">
        <f>+GETPIVOTDATA(" Old Ast. avg",'Averages Pivot Table'!$A$3,"State","KY","Category",8,"Category2","Two-Year")</f>
        <v>42873.134978378381</v>
      </c>
      <c r="G376" s="118">
        <f t="shared" si="59"/>
        <v>5</v>
      </c>
      <c r="H376" s="126">
        <f>+GETPIVOTDATA(" Old Inst. avg",'Averages Pivot Table'!$A$3,"State","KY","Category",8,"Category2","Two-Year")</f>
        <v>39638.886736363638</v>
      </c>
      <c r="I376" s="118">
        <f t="shared" si="60"/>
        <v>5</v>
      </c>
      <c r="J376" s="126">
        <f>+GETPIVOTDATA(" Old Undesg. avg",'Averages Pivot Table'!$A$3,"State","KY","Category",8,"Category2","Two-Year")</f>
        <v>0</v>
      </c>
      <c r="K376" s="118">
        <f t="shared" si="61"/>
        <v>0</v>
      </c>
      <c r="L376" s="126">
        <f>+GETPIVOTDATA(" Old Single Rnk avg",'Averages Pivot Table'!$A$3,"State","KY","Category",8,"Category2","Two-Year")</f>
        <v>0</v>
      </c>
      <c r="M376" s="118">
        <f t="shared" si="62"/>
        <v>0</v>
      </c>
      <c r="N376" s="126">
        <f>+GETPIVOTDATA(" Old All Ranks avg",'Averages Pivot Table'!$A$3,"State","KY","Category",8,"Category2","Two-Year")</f>
        <v>49864.814483203125</v>
      </c>
      <c r="O376" s="118">
        <f t="shared" si="63"/>
        <v>9</v>
      </c>
    </row>
    <row r="377" spans="1:15" ht="12.95" customHeight="1" x14ac:dyDescent="0.25">
      <c r="A377" s="132" t="s">
        <v>210</v>
      </c>
      <c r="B377" s="126">
        <f>+GETPIVOTDATA(" Old Prof avg",'Averages Pivot Table'!$A$3,"State","LA","Category",8,"Category2","Two-Year")</f>
        <v>78594.205828947364</v>
      </c>
      <c r="C377" s="118">
        <f t="shared" si="64"/>
        <v>2</v>
      </c>
      <c r="D377" s="126">
        <f>+GETPIVOTDATA(" Old Asc. avg",'Averages Pivot Table'!$A$3,"State","LA","Category",8,"Category2","Two-Year")</f>
        <v>61144.436852631581</v>
      </c>
      <c r="E377" s="118">
        <f t="shared" si="64"/>
        <v>2</v>
      </c>
      <c r="F377" s="126">
        <f>+GETPIVOTDATA(" Old Ast. avg",'Averages Pivot Table'!$A$3,"State","LA","Category",8,"Category2","Two-Year")</f>
        <v>60773.265053521136</v>
      </c>
      <c r="G377" s="118">
        <f t="shared" si="59"/>
        <v>1</v>
      </c>
      <c r="H377" s="126">
        <f>+GETPIVOTDATA(" Old Inst. avg",'Averages Pivot Table'!$A$3,"State","LA","Category",8,"Category2","Two-Year")</f>
        <v>48035.276890322573</v>
      </c>
      <c r="I377" s="118">
        <f t="shared" si="60"/>
        <v>3</v>
      </c>
      <c r="J377" s="126">
        <f>+GETPIVOTDATA(" Old Undesg. avg",'Averages Pivot Table'!$A$3,"State","LA","Category",8,"Category2","Two-Year")</f>
        <v>38882</v>
      </c>
      <c r="K377" s="118">
        <f t="shared" si="61"/>
        <v>4</v>
      </c>
      <c r="L377" s="126">
        <f>+GETPIVOTDATA(" Old Single Rnk avg",'Averages Pivot Table'!$A$3,"State","LA","Category",8,"Category2","Two-Year")</f>
        <v>39308</v>
      </c>
      <c r="M377" s="118">
        <f t="shared" si="62"/>
        <v>9</v>
      </c>
      <c r="N377" s="126">
        <f>+GETPIVOTDATA(" Old All Ranks avg",'Averages Pivot Table'!$A$3,"State","LA","Category",8,"Category2","Two-Year")</f>
        <v>54621.772600000004</v>
      </c>
      <c r="O377" s="118">
        <f t="shared" si="63"/>
        <v>4</v>
      </c>
    </row>
    <row r="378" spans="1:15" ht="12.95" customHeight="1" x14ac:dyDescent="0.25">
      <c r="A378" s="132" t="s">
        <v>211</v>
      </c>
      <c r="B378" s="126">
        <f>+GETPIVOTDATA(" Old Prof avg",'Averages Pivot Table'!$A$3,"State","MD","Category",8,"Category2","Two-Year")</f>
        <v>83249.804099849178</v>
      </c>
      <c r="C378" s="118">
        <f t="shared" si="64"/>
        <v>1</v>
      </c>
      <c r="D378" s="126">
        <f>+GETPIVOTDATA(" Old Asc. avg",'Averages Pivot Table'!$A$3,"State","MD","Category",8,"Category2","Two-Year")</f>
        <v>65752.374839357435</v>
      </c>
      <c r="E378" s="118">
        <f t="shared" si="64"/>
        <v>1</v>
      </c>
      <c r="F378" s="126">
        <f>+GETPIVOTDATA(" Old Ast. avg",'Averages Pivot Table'!$A$3,"State","MD","Category",8,"Category2","Two-Year")</f>
        <v>57284.154180869562</v>
      </c>
      <c r="G378" s="118">
        <f t="shared" si="59"/>
        <v>2</v>
      </c>
      <c r="H378" s="126">
        <f>+GETPIVOTDATA(" Old Inst. avg",'Averages Pivot Table'!$A$3,"State","MD","Category",8,"Category2","Two-Year")</f>
        <v>50097.721591578942</v>
      </c>
      <c r="I378" s="118">
        <f t="shared" si="60"/>
        <v>2</v>
      </c>
      <c r="J378" s="126">
        <f>+GETPIVOTDATA(" Old Undesg. avg",'Averages Pivot Table'!$A$3,"State","MD","Category",8,"Category2","Two-Year")</f>
        <v>81643.268800000005</v>
      </c>
      <c r="K378" s="118">
        <f t="shared" si="61"/>
        <v>1</v>
      </c>
      <c r="L378" s="126">
        <f>+GETPIVOTDATA(" Old Single Rnk avg",'Averages Pivot Table'!$A$3,"State","MD","Category",8,"Category2","Two-Year")</f>
        <v>0</v>
      </c>
      <c r="M378" s="118">
        <f t="shared" si="62"/>
        <v>0</v>
      </c>
      <c r="N378" s="126">
        <f>+GETPIVOTDATA(" Old All Ranks avg",'Averages Pivot Table'!$A$3,"State","MD","Category",8,"Category2","Two-Year")</f>
        <v>69383.191922772268</v>
      </c>
      <c r="O378" s="118">
        <f t="shared" si="63"/>
        <v>1</v>
      </c>
    </row>
    <row r="379" spans="1:15" ht="12.95" customHeight="1" x14ac:dyDescent="0.25">
      <c r="A379" s="132"/>
      <c r="B379" s="126"/>
      <c r="C379" s="118">
        <f t="shared" si="64"/>
        <v>0</v>
      </c>
      <c r="D379" s="126"/>
      <c r="E379" s="118">
        <f t="shared" si="64"/>
        <v>0</v>
      </c>
      <c r="F379" s="126"/>
      <c r="G379" s="118">
        <f t="shared" si="59"/>
        <v>0</v>
      </c>
      <c r="H379" s="126"/>
      <c r="I379" s="118">
        <f t="shared" si="60"/>
        <v>0</v>
      </c>
      <c r="J379" s="126"/>
      <c r="K379" s="118">
        <f t="shared" si="61"/>
        <v>0</v>
      </c>
      <c r="L379" s="126"/>
      <c r="M379" s="118">
        <f t="shared" si="62"/>
        <v>0</v>
      </c>
      <c r="N379" s="126"/>
      <c r="O379" s="118">
        <f t="shared" si="63"/>
        <v>0</v>
      </c>
    </row>
    <row r="380" spans="1:15" ht="12.95" customHeight="1" x14ac:dyDescent="0.25">
      <c r="A380" s="132" t="s">
        <v>212</v>
      </c>
      <c r="B380" s="126">
        <f>+GETPIVOTDATA(" Old Prof avg",'Averages Pivot Table'!$A$3,"State","MS","Category",8,"Category2","Two-Year")</f>
        <v>0</v>
      </c>
      <c r="C380" s="118">
        <f t="shared" si="64"/>
        <v>0</v>
      </c>
      <c r="D380" s="126">
        <f>+GETPIVOTDATA(" Old Asc. avg",'Averages Pivot Table'!$A$3,"State","MS","Category",8,"Category2","Two-Year")</f>
        <v>0</v>
      </c>
      <c r="E380" s="118">
        <f t="shared" si="64"/>
        <v>0</v>
      </c>
      <c r="F380" s="126">
        <f>+GETPIVOTDATA(" Old Ast. avg",'Averages Pivot Table'!$A$3,"State","MS","Category",8,"Category2","Two-Year")</f>
        <v>0</v>
      </c>
      <c r="G380" s="118">
        <f t="shared" si="59"/>
        <v>0</v>
      </c>
      <c r="H380" s="126">
        <f>+GETPIVOTDATA(" Old Inst. avg",'Averages Pivot Table'!$A$3,"State","MS","Category",8,"Category2","Two-Year")</f>
        <v>0</v>
      </c>
      <c r="I380" s="118">
        <f t="shared" si="60"/>
        <v>0</v>
      </c>
      <c r="J380" s="126">
        <f>+GETPIVOTDATA(" Old Undesg. avg",'Averages Pivot Table'!$A$3,"State","MS","Category",8,"Category2","Two-Year")</f>
        <v>0</v>
      </c>
      <c r="K380" s="118">
        <f t="shared" si="61"/>
        <v>0</v>
      </c>
      <c r="L380" s="126">
        <f>+GETPIVOTDATA(" Old Single Rnk avg",'Averages Pivot Table'!$A$3,"State","MS","Category",8,"Category2","Two-Year")</f>
        <v>48532.744048788845</v>
      </c>
      <c r="M380" s="118">
        <f t="shared" si="62"/>
        <v>7</v>
      </c>
      <c r="N380" s="126">
        <f>+GETPIVOTDATA(" Old All Ranks avg",'Averages Pivot Table'!$A$3,"State","MS","Category",8,"Category2","Two-Year")</f>
        <v>48532.744048788845</v>
      </c>
      <c r="O380" s="118">
        <f t="shared" si="63"/>
        <v>11</v>
      </c>
    </row>
    <row r="381" spans="1:15" ht="12.95" customHeight="1" x14ac:dyDescent="0.25">
      <c r="A381" s="132" t="s">
        <v>213</v>
      </c>
      <c r="B381" s="126">
        <f>+GETPIVOTDATA(" Old Prof avg",'Averages Pivot Table'!$A$3,"State","NC","Category",8,"Category2","Two-Year")</f>
        <v>0</v>
      </c>
      <c r="C381" s="118">
        <f t="shared" si="64"/>
        <v>0</v>
      </c>
      <c r="D381" s="126">
        <f>+GETPIVOTDATA(" Old Asc. avg",'Averages Pivot Table'!$A$3,"State","NC","Category",8,"Category2","Two-Year")</f>
        <v>0</v>
      </c>
      <c r="E381" s="118">
        <f t="shared" si="64"/>
        <v>0</v>
      </c>
      <c r="F381" s="126">
        <f>+GETPIVOTDATA(" Old Ast. avg",'Averages Pivot Table'!$A$3,"State","NC","Category",8,"Category2","Two-Year")</f>
        <v>0</v>
      </c>
      <c r="G381" s="118">
        <f t="shared" si="59"/>
        <v>0</v>
      </c>
      <c r="H381" s="126">
        <f>+GETPIVOTDATA(" Old Inst. avg",'Averages Pivot Table'!$A$3,"State","NC","Category",8,"Category2","Two-Year")</f>
        <v>0</v>
      </c>
      <c r="I381" s="118">
        <f t="shared" si="60"/>
        <v>0</v>
      </c>
      <c r="J381" s="126">
        <f>+GETPIVOTDATA(" Old Undesg. avg",'Averages Pivot Table'!$A$3,"State","NC","Category",8,"Category2","Two-Year")</f>
        <v>0</v>
      </c>
      <c r="K381" s="118">
        <f t="shared" si="61"/>
        <v>0</v>
      </c>
      <c r="L381" s="126">
        <f>+GETPIVOTDATA(" Old Single Rnk avg",'Averages Pivot Table'!$A$3,"State","NC","Category",8,"Category2","Two-Year")</f>
        <v>47747.426765799253</v>
      </c>
      <c r="M381" s="118">
        <f t="shared" si="62"/>
        <v>8</v>
      </c>
      <c r="N381" s="126">
        <f>+GETPIVOTDATA(" Old All Ranks avg",'Averages Pivot Table'!$A$3,"State","NC","Category",8,"Category2","Two-Year")</f>
        <v>47747.426765799253</v>
      </c>
      <c r="O381" s="118">
        <f t="shared" si="63"/>
        <v>12</v>
      </c>
    </row>
    <row r="382" spans="1:15" ht="12.95" customHeight="1" x14ac:dyDescent="0.25">
      <c r="A382" s="132" t="s">
        <v>214</v>
      </c>
      <c r="B382" s="126">
        <f>+GETPIVOTDATA(" Old Prof avg",'Averages Pivot Table'!$A$3,"State","OK","Category",8,"Category2","Two-Year")</f>
        <v>0</v>
      </c>
      <c r="C382" s="118">
        <f t="shared" si="64"/>
        <v>0</v>
      </c>
      <c r="D382" s="126">
        <f>+GETPIVOTDATA(" Old Asc. avg",'Averages Pivot Table'!$A$3,"State","OK","Category",8,"Category2","Two-Year")</f>
        <v>0</v>
      </c>
      <c r="E382" s="118">
        <f t="shared" si="64"/>
        <v>0</v>
      </c>
      <c r="F382" s="126">
        <f>+GETPIVOTDATA(" Old Ast. avg",'Averages Pivot Table'!$A$3,"State","OK","Category",8,"Category2","Two-Year")</f>
        <v>0</v>
      </c>
      <c r="G382" s="118">
        <f t="shared" si="59"/>
        <v>0</v>
      </c>
      <c r="H382" s="126">
        <f>+GETPIVOTDATA(" Old Inst. avg",'Averages Pivot Table'!$A$3,"State","OK","Category",8,"Category2","Two-Year")</f>
        <v>0</v>
      </c>
      <c r="I382" s="118">
        <f t="shared" si="60"/>
        <v>0</v>
      </c>
      <c r="J382" s="126">
        <f>+GETPIVOTDATA(" Old Undesg. avg",'Averages Pivot Table'!$A$3,"State","OK","Category",8,"Category2","Two-Year")</f>
        <v>0</v>
      </c>
      <c r="K382" s="118">
        <f t="shared" si="61"/>
        <v>0</v>
      </c>
      <c r="L382" s="126">
        <f>+GETPIVOTDATA(" Old Single Rnk avg",'Averages Pivot Table'!$A$3,"State","OK","Category",8,"Category2","Two-Year")</f>
        <v>51633.238653475935</v>
      </c>
      <c r="M382" s="118">
        <f t="shared" si="62"/>
        <v>5</v>
      </c>
      <c r="N382" s="126">
        <f>+GETPIVOTDATA(" Old All Ranks avg",'Averages Pivot Table'!$A$3,"State","OK","Category",8,"Category2","Two-Year")</f>
        <v>51633.238653475935</v>
      </c>
      <c r="O382" s="118">
        <f t="shared" si="63"/>
        <v>7</v>
      </c>
    </row>
    <row r="383" spans="1:15" ht="12.95" customHeight="1" x14ac:dyDescent="0.25">
      <c r="A383" s="132" t="s">
        <v>215</v>
      </c>
      <c r="B383" s="126">
        <f>+GETPIVOTDATA(" Old Prof avg",'Averages Pivot Table'!$A$3,"State","SC","Category",8,"Category2","Two-Year")</f>
        <v>0</v>
      </c>
      <c r="C383" s="118">
        <f t="shared" si="64"/>
        <v>0</v>
      </c>
      <c r="D383" s="126">
        <f>+GETPIVOTDATA(" Old Asc. avg",'Averages Pivot Table'!$A$3,"State","SC","Category",8,"Category2","Two-Year")</f>
        <v>0</v>
      </c>
      <c r="E383" s="118">
        <f t="shared" si="64"/>
        <v>0</v>
      </c>
      <c r="F383" s="126">
        <f>+GETPIVOTDATA(" Old Ast. avg",'Averages Pivot Table'!$A$3,"State","SC","Category",8,"Category2","Two-Year")</f>
        <v>0</v>
      </c>
      <c r="G383" s="118">
        <f t="shared" si="59"/>
        <v>0</v>
      </c>
      <c r="H383" s="126">
        <f>+GETPIVOTDATA(" Old Inst. avg",'Averages Pivot Table'!$A$3,"State","SC","Category",8,"Category2","Two-Year")</f>
        <v>0</v>
      </c>
      <c r="I383" s="118">
        <f t="shared" si="60"/>
        <v>0</v>
      </c>
      <c r="J383" s="126">
        <f>+GETPIVOTDATA(" Old Undesg. avg",'Averages Pivot Table'!$A$3,"State","SC","Category",8,"Category2","Two-Year")</f>
        <v>46855.321899736147</v>
      </c>
      <c r="K383" s="118">
        <f t="shared" si="61"/>
        <v>2</v>
      </c>
      <c r="L383" s="126">
        <f>+GETPIVOTDATA(" Old Single Rnk avg",'Averages Pivot Table'!$A$3,"State","SC","Category",8,"Category2","Two-Year")</f>
        <v>0</v>
      </c>
      <c r="M383" s="118">
        <f t="shared" si="62"/>
        <v>0</v>
      </c>
      <c r="N383" s="126">
        <f>+GETPIVOTDATA(" Old All Ranks avg",'Averages Pivot Table'!$A$3,"State","SC","Category",8,"Category2","Two-Year")</f>
        <v>46855.321899736147</v>
      </c>
      <c r="O383" s="118">
        <f t="shared" si="63"/>
        <v>13</v>
      </c>
    </row>
    <row r="384" spans="1:15" ht="12.95" customHeight="1" x14ac:dyDescent="0.25">
      <c r="A384" s="132"/>
      <c r="B384" s="126"/>
      <c r="C384" s="118">
        <f t="shared" si="64"/>
        <v>0</v>
      </c>
      <c r="D384" s="126"/>
      <c r="E384" s="118">
        <f t="shared" si="64"/>
        <v>0</v>
      </c>
      <c r="F384" s="126"/>
      <c r="G384" s="118">
        <f t="shared" si="59"/>
        <v>0</v>
      </c>
      <c r="H384" s="126"/>
      <c r="I384" s="118">
        <f t="shared" si="60"/>
        <v>0</v>
      </c>
      <c r="J384" s="126"/>
      <c r="K384" s="118">
        <f t="shared" si="61"/>
        <v>0</v>
      </c>
      <c r="L384" s="126"/>
      <c r="M384" s="118">
        <f t="shared" si="62"/>
        <v>0</v>
      </c>
      <c r="N384" s="126"/>
      <c r="O384" s="118">
        <f t="shared" si="63"/>
        <v>0</v>
      </c>
    </row>
    <row r="385" spans="1:19" ht="12.95" customHeight="1" x14ac:dyDescent="0.25">
      <c r="A385" s="132" t="s">
        <v>216</v>
      </c>
      <c r="B385" s="563">
        <f>+GETPIVOTDATA(" Old Prof avg",'Averages Pivot Table'!$A$3,"State","TN","Category",8,"Category2","Two-Year")</f>
        <v>58259.672012727278</v>
      </c>
      <c r="C385" s="118">
        <f t="shared" si="64"/>
        <v>6</v>
      </c>
      <c r="D385" s="563">
        <f>+GETPIVOTDATA(" Old Asc. avg",'Averages Pivot Table'!$A$3,"State","TN","Category",8,"Category2","Two-Year")</f>
        <v>50134.663225419667</v>
      </c>
      <c r="E385" s="118">
        <f t="shared" si="64"/>
        <v>5</v>
      </c>
      <c r="F385" s="563">
        <f>+GETPIVOTDATA(" Old Ast. avg",'Averages Pivot Table'!$A$3,"State","TN","Category",8,"Category2","Two-Year")</f>
        <v>42388.606202272727</v>
      </c>
      <c r="G385" s="118">
        <f t="shared" si="59"/>
        <v>6</v>
      </c>
      <c r="H385" s="563">
        <f>+GETPIVOTDATA(" Old Inst. avg",'Averages Pivot Table'!$A$3,"State","TN","Category",8,"Category2","Two-Year")</f>
        <v>38072.114322656249</v>
      </c>
      <c r="I385" s="118">
        <f t="shared" si="60"/>
        <v>6</v>
      </c>
      <c r="J385" s="563">
        <f>+GETPIVOTDATA(" Old Undesg. avg",'Averages Pivot Table'!$A$3,"State","TN","Category",8,"Category2","Two-Year")</f>
        <v>0</v>
      </c>
      <c r="K385" s="118">
        <f t="shared" si="61"/>
        <v>0</v>
      </c>
      <c r="L385" s="563">
        <f>+GETPIVOTDATA(" Old Single Rnk avg",'Averages Pivot Table'!$A$3,"State","TN","Category",8,"Category2","Two-Year")</f>
        <v>0</v>
      </c>
      <c r="M385" s="118">
        <f t="shared" si="62"/>
        <v>0</v>
      </c>
      <c r="N385" s="126">
        <f>+GETPIVOTDATA(" Old All Ranks avg",'Averages Pivot Table'!$A$3,"State","TN","Category",8,"Category2","Two-Year")</f>
        <v>46424.999420855056</v>
      </c>
      <c r="O385" s="118">
        <f t="shared" si="63"/>
        <v>14</v>
      </c>
    </row>
    <row r="386" spans="1:19" ht="12.95" customHeight="1" x14ac:dyDescent="0.25">
      <c r="A386" s="132" t="s">
        <v>217</v>
      </c>
      <c r="B386" s="563">
        <f>+GETPIVOTDATA(" Old Prof avg",'Averages Pivot Table'!$A$3,"State","TX","Category",8,"Category2","Two-Year")</f>
        <v>66002.143641676783</v>
      </c>
      <c r="C386" s="118">
        <f t="shared" si="64"/>
        <v>4</v>
      </c>
      <c r="D386" s="563">
        <f>+GETPIVOTDATA(" Old Asc. avg",'Averages Pivot Table'!$A$3,"State","TX","Category",8,"Category2","Two-Year")</f>
        <v>54352.776293821989</v>
      </c>
      <c r="E386" s="118">
        <f t="shared" si="64"/>
        <v>4</v>
      </c>
      <c r="F386" s="563">
        <f>+GETPIVOTDATA(" Old Ast. avg",'Averages Pivot Table'!$A$3,"State","TX","Category",8,"Category2","Two-Year")</f>
        <v>51703.192911543447</v>
      </c>
      <c r="G386" s="118">
        <f t="shared" si="59"/>
        <v>3</v>
      </c>
      <c r="H386" s="563">
        <f>+GETPIVOTDATA(" Old Inst. avg",'Averages Pivot Table'!$A$3,"State","TX","Category",8,"Category2","Two-Year")</f>
        <v>50558.004005416013</v>
      </c>
      <c r="I386" s="118">
        <f t="shared" si="60"/>
        <v>1</v>
      </c>
      <c r="J386" s="563">
        <f>+GETPIVOTDATA(" Old Undesg. avg",'Averages Pivot Table'!$A$3,"State","TX","Category",8,"Category2","Two-Year")</f>
        <v>37581.649122077921</v>
      </c>
      <c r="K386" s="118">
        <f t="shared" si="61"/>
        <v>5</v>
      </c>
      <c r="L386" s="563">
        <f>+GETPIVOTDATA(" Old Single Rnk avg",'Averages Pivot Table'!$A$3,"State","TX","Category",8,"Category2","Two-Year")</f>
        <v>55398.963346730459</v>
      </c>
      <c r="M386" s="118">
        <f t="shared" si="62"/>
        <v>2</v>
      </c>
      <c r="N386" s="126">
        <f>+GETPIVOTDATA(" Old All Ranks avg",'Averages Pivot Table'!$A$3,"State","TX","Category",8,"Category2","Two-Year")</f>
        <v>55386.922138906521</v>
      </c>
      <c r="O386" s="118">
        <f t="shared" si="63"/>
        <v>3</v>
      </c>
    </row>
    <row r="387" spans="1:19" ht="12.95" customHeight="1" x14ac:dyDescent="0.25">
      <c r="A387" s="132" t="s">
        <v>218</v>
      </c>
      <c r="B387" s="563">
        <f>+GETPIVOTDATA(" Old Prof avg",'Averages Pivot Table'!$A$3,"State","VA","Category",8,"Category2","Two-Year")</f>
        <v>0</v>
      </c>
      <c r="C387" s="118">
        <f t="shared" si="64"/>
        <v>0</v>
      </c>
      <c r="D387" s="563">
        <f>+GETPIVOTDATA(" Old Asc. avg",'Averages Pivot Table'!$A$3,"State","VA","Category",8,"Category2","Two-Year")</f>
        <v>0</v>
      </c>
      <c r="E387" s="118">
        <f t="shared" si="64"/>
        <v>0</v>
      </c>
      <c r="F387" s="563">
        <f>+GETPIVOTDATA(" Old Ast. avg",'Averages Pivot Table'!$A$3,"State","VA","Category",8,"Category2","Two-Year")</f>
        <v>0</v>
      </c>
      <c r="G387" s="118">
        <f t="shared" si="59"/>
        <v>0</v>
      </c>
      <c r="H387" s="563">
        <f>+GETPIVOTDATA(" Old Inst. avg",'Averages Pivot Table'!$A$3,"State","VA","Category",8,"Category2","Two-Year")</f>
        <v>0</v>
      </c>
      <c r="I387" s="118">
        <f t="shared" si="60"/>
        <v>0</v>
      </c>
      <c r="J387" s="563">
        <f>+GETPIVOTDATA(" Old Undesg. avg",'Averages Pivot Table'!$A$3,"State","VA","Category",8,"Category2","Two-Year")</f>
        <v>0</v>
      </c>
      <c r="K387" s="118">
        <f t="shared" si="61"/>
        <v>0</v>
      </c>
      <c r="L387" s="563">
        <f>+GETPIVOTDATA(" Old Single Rnk avg",'Averages Pivot Table'!$A$3,"State","VA","Category",8,"Category2","Two-Year")</f>
        <v>0</v>
      </c>
      <c r="M387" s="118">
        <f t="shared" si="62"/>
        <v>0</v>
      </c>
      <c r="N387" s="126">
        <f>+GETPIVOTDATA(" Old All Ranks avg",'Averages Pivot Table'!$A$3,"State","VA","Category",8,"Category2","Two-Year")</f>
        <v>0</v>
      </c>
      <c r="O387" s="118">
        <f t="shared" si="63"/>
        <v>0</v>
      </c>
    </row>
    <row r="388" spans="1:19" ht="12.95" customHeight="1" x14ac:dyDescent="0.25">
      <c r="A388" s="6" t="s">
        <v>219</v>
      </c>
      <c r="B388" s="566">
        <f>+GETPIVOTDATA(" Old Prof avg",'Averages Pivot Table'!$A$3,"State","WV","Category",8,"Category2","Two-Year")</f>
        <v>0</v>
      </c>
      <c r="C388" s="119">
        <f t="shared" si="64"/>
        <v>0</v>
      </c>
      <c r="D388" s="566">
        <f>+GETPIVOTDATA(" Old Asc. avg",'Averages Pivot Table'!$A$3,"State","WV","Category",8,"Category2","Two-Year")</f>
        <v>0</v>
      </c>
      <c r="E388" s="119">
        <f t="shared" si="64"/>
        <v>0</v>
      </c>
      <c r="F388" s="566">
        <f>+GETPIVOTDATA(" Old Ast. avg",'Averages Pivot Table'!$A$3,"State","WV","Category",8,"Category2","Two-Year")</f>
        <v>0</v>
      </c>
      <c r="G388" s="119">
        <f t="shared" si="59"/>
        <v>0</v>
      </c>
      <c r="H388" s="566">
        <f>+GETPIVOTDATA(" Old Inst. avg",'Averages Pivot Table'!$A$3,"State","WV","Category",8,"Category2","Two-Year")</f>
        <v>0</v>
      </c>
      <c r="I388" s="119">
        <f t="shared" si="60"/>
        <v>0</v>
      </c>
      <c r="J388" s="566">
        <f>+GETPIVOTDATA(" Old Undesg. avg",'Averages Pivot Table'!$A$3,"State","WV","Category",8,"Category2","Two-Year")</f>
        <v>0</v>
      </c>
      <c r="K388" s="119">
        <f t="shared" si="61"/>
        <v>0</v>
      </c>
      <c r="L388" s="566">
        <f>+GETPIVOTDATA(" Old Single Rnk avg",'Averages Pivot Table'!$A$3,"State","WV","Category",8,"Category2","Two-Year")</f>
        <v>0</v>
      </c>
      <c r="M388" s="119">
        <f t="shared" si="62"/>
        <v>0</v>
      </c>
      <c r="N388" s="566">
        <f>+GETPIVOTDATA(" Old All Ranks avg",'Averages Pivot Table'!$A$3,"State","WV","Category",8,"Category2","Two-Year")</f>
        <v>0</v>
      </c>
      <c r="O388" s="119">
        <f t="shared" si="63"/>
        <v>0</v>
      </c>
    </row>
    <row r="389" spans="1:19" ht="30" customHeight="1" x14ac:dyDescent="0.25">
      <c r="A389" s="679" t="s">
        <v>91</v>
      </c>
      <c r="B389" s="679"/>
      <c r="C389" s="679"/>
      <c r="D389" s="679"/>
      <c r="E389" s="679"/>
      <c r="F389" s="679"/>
      <c r="G389" s="679"/>
      <c r="H389" s="679"/>
      <c r="I389" s="679"/>
      <c r="J389" s="679"/>
      <c r="K389" s="679"/>
      <c r="L389" s="679"/>
      <c r="M389" s="679"/>
      <c r="N389" s="679"/>
      <c r="O389" s="679"/>
    </row>
    <row r="390" spans="1:19" x14ac:dyDescent="0.25">
      <c r="O390" s="157" t="s">
        <v>1083</v>
      </c>
    </row>
    <row r="391" spans="1:19" ht="18" x14ac:dyDescent="0.25">
      <c r="A391" s="544" t="s">
        <v>272</v>
      </c>
      <c r="B391" s="544"/>
      <c r="C391" s="544"/>
      <c r="D391" s="544"/>
      <c r="E391" s="544"/>
      <c r="F391" s="544"/>
      <c r="G391" s="544"/>
      <c r="H391" s="544"/>
      <c r="I391" s="544"/>
      <c r="J391" s="544"/>
      <c r="K391" s="544"/>
      <c r="L391" s="544"/>
      <c r="M391" s="544"/>
      <c r="N391" s="544"/>
      <c r="O391" s="544"/>
    </row>
    <row r="392" spans="1:19" x14ac:dyDescent="0.25">
      <c r="A392" s="588"/>
      <c r="B392" s="93"/>
      <c r="C392" s="93"/>
      <c r="D392" s="93"/>
      <c r="E392" s="93"/>
      <c r="F392" s="93"/>
      <c r="G392" s="93"/>
      <c r="H392" s="93"/>
      <c r="I392" s="93"/>
      <c r="J392" s="93"/>
      <c r="K392" s="93"/>
      <c r="L392" s="93"/>
      <c r="M392" s="93"/>
      <c r="N392" s="93"/>
      <c r="O392" s="93"/>
    </row>
    <row r="393" spans="1:19" x14ac:dyDescent="0.25">
      <c r="A393" s="665" t="s">
        <v>220</v>
      </c>
      <c r="B393" s="665"/>
      <c r="C393" s="665"/>
      <c r="D393" s="665"/>
      <c r="E393" s="665"/>
      <c r="F393" s="665"/>
      <c r="G393" s="665"/>
      <c r="H393" s="665"/>
      <c r="I393" s="665"/>
      <c r="J393" s="665"/>
      <c r="K393" s="665"/>
      <c r="L393" s="665"/>
      <c r="M393" s="665"/>
      <c r="N393" s="665"/>
      <c r="O393" s="665"/>
    </row>
    <row r="394" spans="1:19" x14ac:dyDescent="0.25">
      <c r="A394" s="665" t="s">
        <v>308</v>
      </c>
      <c r="B394" s="665"/>
      <c r="C394" s="665"/>
      <c r="D394" s="665"/>
      <c r="E394" s="665"/>
      <c r="F394" s="665"/>
      <c r="G394" s="665"/>
      <c r="H394" s="665"/>
      <c r="I394" s="665"/>
      <c r="J394" s="665"/>
      <c r="K394" s="665"/>
      <c r="L394" s="665"/>
      <c r="M394" s="665"/>
      <c r="N394" s="665"/>
      <c r="O394" s="665"/>
    </row>
    <row r="395" spans="1:19" x14ac:dyDescent="0.25">
      <c r="A395" s="132"/>
      <c r="B395" s="132"/>
      <c r="C395" s="132"/>
      <c r="D395" s="132"/>
      <c r="E395" s="132"/>
      <c r="F395" s="132"/>
      <c r="G395" s="132"/>
      <c r="H395" s="132"/>
      <c r="I395" s="132"/>
      <c r="J395" s="132"/>
      <c r="K395" s="132"/>
      <c r="L395" s="132"/>
      <c r="M395" s="132"/>
      <c r="N395" s="132"/>
      <c r="O395" s="132"/>
    </row>
    <row r="396" spans="1:19" ht="33.75" customHeight="1" x14ac:dyDescent="0.25">
      <c r="A396" s="547"/>
      <c r="B396" s="589" t="s">
        <v>99</v>
      </c>
      <c r="C396" s="142"/>
      <c r="D396" s="590" t="s">
        <v>100</v>
      </c>
      <c r="E396" s="591"/>
      <c r="F396" s="590" t="s">
        <v>101</v>
      </c>
      <c r="G396" s="591"/>
      <c r="H396" s="589" t="s">
        <v>102</v>
      </c>
      <c r="I396" s="142"/>
      <c r="J396" s="590" t="s">
        <v>226</v>
      </c>
      <c r="K396" s="591"/>
      <c r="L396" s="142" t="s">
        <v>82</v>
      </c>
      <c r="M396" s="142"/>
      <c r="N396" s="142" t="s">
        <v>84</v>
      </c>
      <c r="O396" s="142"/>
    </row>
    <row r="397" spans="1:19" x14ac:dyDescent="0.25">
      <c r="A397" s="551"/>
      <c r="B397" s="115" t="s">
        <v>103</v>
      </c>
      <c r="C397" s="143" t="s">
        <v>193</v>
      </c>
      <c r="D397" s="115" t="s">
        <v>103</v>
      </c>
      <c r="E397" s="143" t="s">
        <v>193</v>
      </c>
      <c r="F397" s="115" t="s">
        <v>103</v>
      </c>
      <c r="G397" s="143" t="s">
        <v>193</v>
      </c>
      <c r="H397" s="115" t="s">
        <v>103</v>
      </c>
      <c r="I397" s="143" t="s">
        <v>193</v>
      </c>
      <c r="J397" s="115" t="s">
        <v>103</v>
      </c>
      <c r="K397" s="143" t="s">
        <v>193</v>
      </c>
      <c r="L397" s="115" t="s">
        <v>103</v>
      </c>
      <c r="M397" s="143" t="s">
        <v>193</v>
      </c>
      <c r="N397" s="115" t="s">
        <v>103</v>
      </c>
      <c r="O397" s="143" t="s">
        <v>193</v>
      </c>
    </row>
    <row r="398" spans="1:19" s="556" customFormat="1" ht="18" customHeight="1" x14ac:dyDescent="0.25">
      <c r="A398" s="554" t="s">
        <v>222</v>
      </c>
      <c r="B398" s="146">
        <f>+GETPIVOTDATA(" Old Prof avg",'Averages Pivot Table'!$A$3,"Category",9,"Category2","Two-Year")</f>
        <v>57026.127636472607</v>
      </c>
      <c r="C398" s="146"/>
      <c r="D398" s="146">
        <f>+GETPIVOTDATA(" Old Asc. avg",'Averages Pivot Table'!$A$3,"Category",9,"Category2","Two-Year")</f>
        <v>50290.64751234257</v>
      </c>
      <c r="E398" s="146"/>
      <c r="F398" s="146">
        <f>+GETPIVOTDATA(" Old Ast. avg",'Averages Pivot Table'!$A$3,"Category",9,"Category2","Two-Year")</f>
        <v>45991.150766402679</v>
      </c>
      <c r="G398" s="146"/>
      <c r="H398" s="146">
        <f>+GETPIVOTDATA(" Old Inst. avg",'Averages Pivot Table'!$A$3,"Category",9,"Category2","Two-Year")</f>
        <v>42338.589546545954</v>
      </c>
      <c r="I398" s="146"/>
      <c r="J398" s="146">
        <f>+GETPIVOTDATA(" Old Undesg. avg",'Averages Pivot Table'!$A$3,"Category",9,"Category2","Two-Year")</f>
        <v>44910.071103645831</v>
      </c>
      <c r="K398" s="146"/>
      <c r="L398" s="146">
        <f>+GETPIVOTDATA(" Old Single Rnk avg",'Averages Pivot Table'!$A$3,"Category",9,"Category2","Two-Year")</f>
        <v>49619.581149000922</v>
      </c>
      <c r="M398" s="146"/>
      <c r="N398" s="146">
        <f>+GETPIVOTDATA(" Old All Ranks avg",'Averages Pivot Table'!$A$3,"Category",9,"Category2","Two-Year")</f>
        <v>48691.620113288482</v>
      </c>
      <c r="O398" s="133"/>
      <c r="Q398" s="558"/>
      <c r="R398" s="558"/>
      <c r="S398" s="558"/>
    </row>
    <row r="399" spans="1:19" ht="12.95" customHeight="1" x14ac:dyDescent="0.25">
      <c r="A399" s="132"/>
      <c r="B399" s="123"/>
      <c r="C399" s="150"/>
      <c r="D399" s="123"/>
      <c r="E399" s="150"/>
      <c r="F399" s="123"/>
      <c r="G399" s="150"/>
      <c r="H399" s="123"/>
      <c r="I399" s="150"/>
      <c r="J399" s="123"/>
      <c r="K399" s="150"/>
      <c r="L399" s="123"/>
      <c r="M399" s="150"/>
      <c r="N399" s="123"/>
      <c r="O399" s="134"/>
    </row>
    <row r="400" spans="1:19" ht="12.95" customHeight="1" x14ac:dyDescent="0.25">
      <c r="A400" s="132" t="s">
        <v>205</v>
      </c>
      <c r="B400" s="126">
        <f>+GETPIVOTDATA(" Old Prof avg",'Averages Pivot Table'!$A$3,"State","AL","Category",9,"Category2","Two-Year")</f>
        <v>0</v>
      </c>
      <c r="C400" s="118">
        <f>IF(B400&gt;0,(RANK(B400,B$400:B$418)),0)</f>
        <v>0</v>
      </c>
      <c r="D400" s="126">
        <f>+GETPIVOTDATA(" Old Asc. avg",'Averages Pivot Table'!$A$3,"State","AL","Category",9,"Category2","Two-Year")</f>
        <v>0</v>
      </c>
      <c r="E400" s="118">
        <f>IF(D400&gt;0,(RANK(D400,D$400:D$418)),0)</f>
        <v>0</v>
      </c>
      <c r="F400" s="126">
        <f>+GETPIVOTDATA(" Old Ast. avg",'Averages Pivot Table'!$A$3,"State","AL","Category",9,"Category2","Two-Year")</f>
        <v>0</v>
      </c>
      <c r="G400" s="118">
        <f t="shared" ref="G400:G418" si="65">IF(F400&gt;0,(RANK(F400,F$400:F$418)),0)</f>
        <v>0</v>
      </c>
      <c r="H400" s="126">
        <f>+GETPIVOTDATA(" Old Inst. avg",'Averages Pivot Table'!$A$3,"State","AL","Category",9,"Category2","Two-Year")</f>
        <v>0</v>
      </c>
      <c r="I400" s="118">
        <f t="shared" ref="I400:I418" si="66">IF(H400&gt;0,(RANK(H400,H$400:H$418)),0)</f>
        <v>0</v>
      </c>
      <c r="J400" s="126">
        <f>+GETPIVOTDATA(" Old Undesg. avg",'Averages Pivot Table'!$A$3,"State","AL","Category",9,"Category2","Two-Year")</f>
        <v>0</v>
      </c>
      <c r="K400" s="118">
        <f t="shared" ref="K400:K418" si="67">IF(J400&gt;0,(RANK(J400,J$400:J$418)),0)</f>
        <v>0</v>
      </c>
      <c r="L400" s="126">
        <f>+GETPIVOTDATA(" Old Single Rnk avg",'Averages Pivot Table'!$A$3,"State","AL","Category",9,"Category2","Two-Year")</f>
        <v>53267.022607226354</v>
      </c>
      <c r="M400" s="118">
        <f t="shared" ref="M400:M418" si="68">IF(L400&gt;0,(RANK(L400,L$400:L$418)),0)</f>
        <v>2</v>
      </c>
      <c r="N400" s="126">
        <f>+GETPIVOTDATA(" Old All Ranks avg",'Averages Pivot Table'!$A$3,"State","AL","Category",9,"Category2","Two-Year")</f>
        <v>53267.022607226354</v>
      </c>
      <c r="O400" s="118">
        <f t="shared" ref="O400:O418" si="69">IF(N400&gt;0,(RANK(N400,N$400:N$418)),0)</f>
        <v>3</v>
      </c>
    </row>
    <row r="401" spans="1:15" ht="12.95" customHeight="1" x14ac:dyDescent="0.25">
      <c r="A401" s="132" t="s">
        <v>206</v>
      </c>
      <c r="B401" s="126">
        <f>+GETPIVOTDATA(" Old Prof avg",'Averages Pivot Table'!$A$3,"State","AR","Category",9,"Category2","Two-Year")</f>
        <v>57778.512439999999</v>
      </c>
      <c r="C401" s="118">
        <f t="shared" ref="C401:E418" si="70">IF(B401&gt;0,(RANK(B401,B$400:B$418)),0)</f>
        <v>5</v>
      </c>
      <c r="D401" s="126">
        <f>+GETPIVOTDATA(" Old Asc. avg",'Averages Pivot Table'!$A$3,"State","AR","Category",9,"Category2","Two-Year")</f>
        <v>56579.617133333333</v>
      </c>
      <c r="E401" s="118">
        <f t="shared" si="70"/>
        <v>2</v>
      </c>
      <c r="F401" s="126">
        <f>+GETPIVOTDATA(" Old Ast. avg",'Averages Pivot Table'!$A$3,"State","AR","Category",9,"Category2","Two-Year")</f>
        <v>46697.386723529409</v>
      </c>
      <c r="G401" s="118">
        <f t="shared" si="65"/>
        <v>3</v>
      </c>
      <c r="H401" s="126">
        <f>+GETPIVOTDATA(" Old Inst. avg",'Averages Pivot Table'!$A$3,"State","AR","Category",9,"Category2","Two-Year")</f>
        <v>39812.215172602737</v>
      </c>
      <c r="I401" s="118">
        <f t="shared" si="66"/>
        <v>4</v>
      </c>
      <c r="J401" s="126">
        <f>+GETPIVOTDATA(" Old Undesg. avg",'Averages Pivot Table'!$A$3,"State","AR","Category",9,"Category2","Two-Year")</f>
        <v>0</v>
      </c>
      <c r="K401" s="118">
        <f t="shared" si="67"/>
        <v>0</v>
      </c>
      <c r="L401" s="126">
        <f>+GETPIVOTDATA(" Old Single Rnk avg",'Averages Pivot Table'!$A$3,"State","AR","Category",9,"Category2","Two-Year")</f>
        <v>42397.47476043956</v>
      </c>
      <c r="M401" s="118">
        <f t="shared" si="68"/>
        <v>8</v>
      </c>
      <c r="N401" s="126">
        <f>+GETPIVOTDATA(" Old All Ranks avg",'Averages Pivot Table'!$A$3,"State","AR","Category",9,"Category2","Two-Year")</f>
        <v>43161.708376415088</v>
      </c>
      <c r="O401" s="118">
        <f t="shared" si="69"/>
        <v>15</v>
      </c>
    </row>
    <row r="402" spans="1:15" ht="12.95" customHeight="1" x14ac:dyDescent="0.25">
      <c r="A402" s="132" t="s">
        <v>221</v>
      </c>
      <c r="B402" s="126">
        <f>+GETPIVOTDATA(" Old Prof avg",'Averages Pivot Table'!$A$3,"State","DE","Category",9,"Category2","Two-Year")</f>
        <v>0</v>
      </c>
      <c r="C402" s="118">
        <f t="shared" si="70"/>
        <v>0</v>
      </c>
      <c r="D402" s="126">
        <f>+GETPIVOTDATA(" Old Asc. avg",'Averages Pivot Table'!$A$3,"State","DE","Category",9,"Category2","Two-Year")</f>
        <v>0</v>
      </c>
      <c r="E402" s="118">
        <f t="shared" si="70"/>
        <v>0</v>
      </c>
      <c r="F402" s="126">
        <f>+GETPIVOTDATA(" Old Ast. avg",'Averages Pivot Table'!$A$3,"State","DE","Category",9,"Category2","Two-Year")</f>
        <v>0</v>
      </c>
      <c r="G402" s="118">
        <f t="shared" si="65"/>
        <v>0</v>
      </c>
      <c r="H402" s="126">
        <f>+GETPIVOTDATA(" Old Inst. avg",'Averages Pivot Table'!$A$3,"State","DE","Category",9,"Category2","Two-Year")</f>
        <v>0</v>
      </c>
      <c r="I402" s="118">
        <f t="shared" si="66"/>
        <v>0</v>
      </c>
      <c r="J402" s="126">
        <f>+GETPIVOTDATA(" Old Undesg. avg",'Averages Pivot Table'!$A$3,"State","DE","Category",9,"Category2","Two-Year")</f>
        <v>0</v>
      </c>
      <c r="K402" s="118">
        <f t="shared" si="67"/>
        <v>0</v>
      </c>
      <c r="L402" s="126">
        <f>+GETPIVOTDATA(" Old Single Rnk avg",'Averages Pivot Table'!$A$3,"State","DE","Category",9,"Category2","Two-Year")</f>
        <v>63649.230462809915</v>
      </c>
      <c r="M402" s="118">
        <f t="shared" si="68"/>
        <v>1</v>
      </c>
      <c r="N402" s="126">
        <f>+GETPIVOTDATA(" Old All Ranks avg",'Averages Pivot Table'!$A$3,"State","DE","Category",9,"Category2","Two-Year")</f>
        <v>63649.230462809915</v>
      </c>
      <c r="O402" s="118">
        <f t="shared" si="69"/>
        <v>1</v>
      </c>
    </row>
    <row r="403" spans="1:15" ht="12.95" customHeight="1" x14ac:dyDescent="0.25">
      <c r="A403" s="132" t="s">
        <v>207</v>
      </c>
      <c r="B403" s="126">
        <f>+GETPIVOTDATA(" Old Prof avg",'Averages Pivot Table'!$A$3,"State","FL","Category",9,"Category2","Two-Year")</f>
        <v>0</v>
      </c>
      <c r="C403" s="118">
        <f t="shared" si="70"/>
        <v>0</v>
      </c>
      <c r="D403" s="126">
        <f>+GETPIVOTDATA(" Old Asc. avg",'Averages Pivot Table'!$A$3,"State","FL","Category",9,"Category2","Two-Year")</f>
        <v>0</v>
      </c>
      <c r="E403" s="118">
        <f t="shared" si="70"/>
        <v>0</v>
      </c>
      <c r="F403" s="126">
        <f>+GETPIVOTDATA(" Old Ast. avg",'Averages Pivot Table'!$A$3,"State","FL","Category",9,"Category2","Two-Year")</f>
        <v>0</v>
      </c>
      <c r="G403" s="118">
        <f t="shared" si="65"/>
        <v>0</v>
      </c>
      <c r="H403" s="126">
        <f>+GETPIVOTDATA(" Old Inst. avg",'Averages Pivot Table'!$A$3,"State","FL","Category",9,"Category2","Two-Year")</f>
        <v>0</v>
      </c>
      <c r="I403" s="118">
        <f t="shared" si="66"/>
        <v>0</v>
      </c>
      <c r="J403" s="126">
        <f>+GETPIVOTDATA(" Old Undesg. avg",'Averages Pivot Table'!$A$3,"State","FL","Category",9,"Category2","Two-Year")</f>
        <v>0</v>
      </c>
      <c r="K403" s="118">
        <f t="shared" si="67"/>
        <v>0</v>
      </c>
      <c r="L403" s="126">
        <f>+GETPIVOTDATA(" Old Single Rnk avg",'Averages Pivot Table'!$A$3,"State","FL","Category",9,"Category2","Two-Year")</f>
        <v>46161.699769053121</v>
      </c>
      <c r="M403" s="118">
        <f t="shared" si="68"/>
        <v>7</v>
      </c>
      <c r="N403" s="126">
        <f>+GETPIVOTDATA(" Old All Ranks avg",'Averages Pivot Table'!$A$3,"State","FL","Category",9,"Category2","Two-Year")</f>
        <v>46161.699769053121</v>
      </c>
      <c r="O403" s="118">
        <f t="shared" si="69"/>
        <v>10</v>
      </c>
    </row>
    <row r="404" spans="1:15" ht="12.95" customHeight="1" x14ac:dyDescent="0.25">
      <c r="A404" s="132"/>
      <c r="B404" s="126"/>
      <c r="C404" s="118">
        <f t="shared" si="70"/>
        <v>0</v>
      </c>
      <c r="D404" s="126"/>
      <c r="E404" s="118">
        <f t="shared" si="70"/>
        <v>0</v>
      </c>
      <c r="F404" s="126"/>
      <c r="G404" s="118">
        <f t="shared" si="65"/>
        <v>0</v>
      </c>
      <c r="H404" s="126"/>
      <c r="I404" s="118">
        <f t="shared" si="66"/>
        <v>0</v>
      </c>
      <c r="J404" s="126"/>
      <c r="K404" s="118">
        <f t="shared" si="67"/>
        <v>0</v>
      </c>
      <c r="L404" s="126"/>
      <c r="M404" s="118">
        <f t="shared" si="68"/>
        <v>0</v>
      </c>
      <c r="N404" s="126"/>
      <c r="O404" s="118">
        <f t="shared" si="69"/>
        <v>0</v>
      </c>
    </row>
    <row r="405" spans="1:15" ht="12.95" customHeight="1" x14ac:dyDescent="0.25">
      <c r="A405" s="132" t="s">
        <v>208</v>
      </c>
      <c r="B405" s="126">
        <f>+GETPIVOTDATA(" Old Prof avg",'Averages Pivot Table'!$A$3,"State","GA","Category",9,"Category2","Two-Year")</f>
        <v>59640.973458064524</v>
      </c>
      <c r="C405" s="118">
        <f t="shared" si="70"/>
        <v>3</v>
      </c>
      <c r="D405" s="126">
        <f>+GETPIVOTDATA(" Old Asc. avg",'Averages Pivot Table'!$A$3,"State","GA","Category",9,"Category2","Two-Year")</f>
        <v>51394.79934057971</v>
      </c>
      <c r="E405" s="118">
        <f t="shared" si="70"/>
        <v>3</v>
      </c>
      <c r="F405" s="126">
        <f>+GETPIVOTDATA(" Old Ast. avg",'Averages Pivot Table'!$A$3,"State","GA","Category",9,"Category2","Two-Year")</f>
        <v>45355.043060758617</v>
      </c>
      <c r="G405" s="118">
        <f t="shared" si="65"/>
        <v>4</v>
      </c>
      <c r="H405" s="126">
        <f>+GETPIVOTDATA(" Old Inst. avg",'Averages Pivot Table'!$A$3,"State","GA","Category",9,"Category2","Two-Year")</f>
        <v>40226.843277826083</v>
      </c>
      <c r="I405" s="118">
        <f t="shared" si="66"/>
        <v>3</v>
      </c>
      <c r="J405" s="126">
        <f>+GETPIVOTDATA(" Old Undesg. avg",'Averages Pivot Table'!$A$3,"State","GA","Category",9,"Category2","Two-Year")</f>
        <v>36465.237386046516</v>
      </c>
      <c r="K405" s="118">
        <f t="shared" si="67"/>
        <v>4</v>
      </c>
      <c r="L405" s="126">
        <f>+GETPIVOTDATA(" Old Single Rnk avg",'Averages Pivot Table'!$A$3,"State","GA","Category",9,"Category2","Two-Year")</f>
        <v>0</v>
      </c>
      <c r="M405" s="118">
        <f t="shared" si="68"/>
        <v>0</v>
      </c>
      <c r="N405" s="126">
        <f>+GETPIVOTDATA(" Old All Ranks avg",'Averages Pivot Table'!$A$3,"State","GA","Category",9,"Category2","Two-Year")</f>
        <v>45727.225563689193</v>
      </c>
      <c r="O405" s="118">
        <f t="shared" si="69"/>
        <v>11</v>
      </c>
    </row>
    <row r="406" spans="1:15" ht="12.95" customHeight="1" x14ac:dyDescent="0.25">
      <c r="A406" s="132" t="s">
        <v>209</v>
      </c>
      <c r="B406" s="126">
        <f>+GETPIVOTDATA(" Old Prof avg",'Averages Pivot Table'!$A$3,"State","KY","Category",9,"Category2","Two-Year")</f>
        <v>58411.062288471854</v>
      </c>
      <c r="C406" s="118">
        <f t="shared" si="70"/>
        <v>4</v>
      </c>
      <c r="D406" s="126">
        <f>+GETPIVOTDATA(" Old Asc. avg",'Averages Pivot Table'!$A$3,"State","KY","Category",9,"Category2","Two-Year")</f>
        <v>47019.341111436952</v>
      </c>
      <c r="E406" s="118">
        <f t="shared" si="70"/>
        <v>7</v>
      </c>
      <c r="F406" s="126">
        <f>+GETPIVOTDATA(" Old Ast. avg",'Averages Pivot Table'!$A$3,"State","KY","Category",9,"Category2","Two-Year")</f>
        <v>40289.991255033558</v>
      </c>
      <c r="G406" s="118">
        <f t="shared" si="65"/>
        <v>7</v>
      </c>
      <c r="H406" s="126">
        <f>+GETPIVOTDATA(" Old Inst. avg",'Averages Pivot Table'!$A$3,"State","KY","Category",9,"Category2","Two-Year")</f>
        <v>36785.494027983535</v>
      </c>
      <c r="I406" s="118">
        <f t="shared" si="66"/>
        <v>7</v>
      </c>
      <c r="J406" s="126">
        <f>+GETPIVOTDATA(" Old Undesg. avg",'Averages Pivot Table'!$A$3,"State","KY","Category",9,"Category2","Two-Year")</f>
        <v>0</v>
      </c>
      <c r="K406" s="118">
        <f t="shared" si="67"/>
        <v>0</v>
      </c>
      <c r="L406" s="126">
        <f>+GETPIVOTDATA(" Old Single Rnk avg",'Averages Pivot Table'!$A$3,"State","KY","Category",9,"Category2","Two-Year")</f>
        <v>0</v>
      </c>
      <c r="M406" s="118">
        <f t="shared" si="68"/>
        <v>0</v>
      </c>
      <c r="N406" s="126">
        <f>+GETPIVOTDATA(" Old All Ranks avg",'Averages Pivot Table'!$A$3,"State","KY","Category",9,"Category2","Two-Year")</f>
        <v>47706.153072694397</v>
      </c>
      <c r="O406" s="118">
        <f t="shared" si="69"/>
        <v>6</v>
      </c>
    </row>
    <row r="407" spans="1:15" ht="12.95" customHeight="1" x14ac:dyDescent="0.25">
      <c r="A407" s="132" t="s">
        <v>210</v>
      </c>
      <c r="B407" s="126">
        <f>+GETPIVOTDATA(" Old Prof avg",'Averages Pivot Table'!$A$3,"State","LA","Category",9,"Category2","Two-Year")</f>
        <v>55962.317900000002</v>
      </c>
      <c r="C407" s="118">
        <f t="shared" si="70"/>
        <v>7</v>
      </c>
      <c r="D407" s="126">
        <f>+GETPIVOTDATA(" Old Asc. avg",'Averages Pivot Table'!$A$3,"State","LA","Category",9,"Category2","Two-Year")</f>
        <v>50105.781994444449</v>
      </c>
      <c r="E407" s="118">
        <f t="shared" si="70"/>
        <v>4</v>
      </c>
      <c r="F407" s="126">
        <f>+GETPIVOTDATA(" Old Ast. avg",'Averages Pivot Table'!$A$3,"State","LA","Category",9,"Category2","Two-Year")</f>
        <v>42199.823363636366</v>
      </c>
      <c r="G407" s="118">
        <f t="shared" si="65"/>
        <v>5</v>
      </c>
      <c r="H407" s="126">
        <f>+GETPIVOTDATA(" Old Inst. avg",'Averages Pivot Table'!$A$3,"State","LA","Category",9,"Category2","Two-Year")</f>
        <v>38866.671387719303</v>
      </c>
      <c r="I407" s="118">
        <f t="shared" si="66"/>
        <v>5</v>
      </c>
      <c r="J407" s="126">
        <f>+GETPIVOTDATA(" Old Undesg. avg",'Averages Pivot Table'!$A$3,"State","LA","Category",9,"Category2","Two-Year")</f>
        <v>0</v>
      </c>
      <c r="K407" s="118">
        <f t="shared" si="67"/>
        <v>0</v>
      </c>
      <c r="L407" s="126">
        <f>+GETPIVOTDATA(" Old Single Rnk avg",'Averages Pivot Table'!$A$3,"State","LA","Category",9,"Category2","Two-Year")</f>
        <v>0</v>
      </c>
      <c r="M407" s="118">
        <f t="shared" si="68"/>
        <v>0</v>
      </c>
      <c r="N407" s="126">
        <f>+GETPIVOTDATA(" Old All Ranks avg",'Averages Pivot Table'!$A$3,"State","LA","Category",9,"Category2","Two-Year")</f>
        <v>43833.85845</v>
      </c>
      <c r="O407" s="118">
        <f t="shared" si="69"/>
        <v>14</v>
      </c>
    </row>
    <row r="408" spans="1:15" ht="12.95" customHeight="1" x14ac:dyDescent="0.25">
      <c r="A408" s="132" t="s">
        <v>211</v>
      </c>
      <c r="B408" s="126">
        <f>+GETPIVOTDATA(" Old Prof avg",'Averages Pivot Table'!$A$3,"State","MD","Category",9,"Category2","Two-Year")</f>
        <v>73463.597089552233</v>
      </c>
      <c r="C408" s="118">
        <f t="shared" si="70"/>
        <v>1</v>
      </c>
      <c r="D408" s="126">
        <f>+GETPIVOTDATA(" Old Asc. avg",'Averages Pivot Table'!$A$3,"State","MD","Category",9,"Category2","Two-Year")</f>
        <v>60542.034524822702</v>
      </c>
      <c r="E408" s="118">
        <f t="shared" si="70"/>
        <v>1</v>
      </c>
      <c r="F408" s="126">
        <f>+GETPIVOTDATA(" Old Ast. avg",'Averages Pivot Table'!$A$3,"State","MD","Category",9,"Category2","Two-Year")</f>
        <v>53215.534363842264</v>
      </c>
      <c r="G408" s="118">
        <f t="shared" si="65"/>
        <v>1</v>
      </c>
      <c r="H408" s="126">
        <f>+GETPIVOTDATA(" Old Inst. avg",'Averages Pivot Table'!$A$3,"State","MD","Category",9,"Category2","Two-Year")</f>
        <v>42208.599005333337</v>
      </c>
      <c r="I408" s="118">
        <f t="shared" si="66"/>
        <v>2</v>
      </c>
      <c r="J408" s="126">
        <f>+GETPIVOTDATA(" Old Undesg. avg",'Averages Pivot Table'!$A$3,"State","MD","Category",9,"Category2","Two-Year")</f>
        <v>44093.037837837837</v>
      </c>
      <c r="K408" s="118">
        <f t="shared" si="67"/>
        <v>2</v>
      </c>
      <c r="L408" s="126">
        <f>+GETPIVOTDATA(" Old Single Rnk avg",'Averages Pivot Table'!$A$3,"State","MD","Category",9,"Category2","Two-Year")</f>
        <v>0</v>
      </c>
      <c r="M408" s="118">
        <f t="shared" si="68"/>
        <v>0</v>
      </c>
      <c r="N408" s="126">
        <f>+GETPIVOTDATA(" Old All Ranks avg",'Averages Pivot Table'!$A$3,"State","MD","Category",9,"Category2","Two-Year")</f>
        <v>57177.534984383747</v>
      </c>
      <c r="O408" s="118">
        <f t="shared" si="69"/>
        <v>2</v>
      </c>
    </row>
    <row r="409" spans="1:15" ht="12.95" customHeight="1" x14ac:dyDescent="0.25">
      <c r="A409" s="132"/>
      <c r="B409" s="126"/>
      <c r="C409" s="118">
        <f t="shared" si="70"/>
        <v>0</v>
      </c>
      <c r="D409" s="126"/>
      <c r="E409" s="118">
        <f t="shared" si="70"/>
        <v>0</v>
      </c>
      <c r="F409" s="126"/>
      <c r="G409" s="118">
        <f t="shared" si="65"/>
        <v>0</v>
      </c>
      <c r="H409" s="126"/>
      <c r="I409" s="118">
        <f t="shared" si="66"/>
        <v>0</v>
      </c>
      <c r="J409" s="126"/>
      <c r="K409" s="118">
        <f t="shared" si="67"/>
        <v>0</v>
      </c>
      <c r="L409" s="126"/>
      <c r="M409" s="118">
        <f t="shared" si="68"/>
        <v>0</v>
      </c>
      <c r="N409" s="126"/>
      <c r="O409" s="118">
        <f t="shared" si="69"/>
        <v>0</v>
      </c>
    </row>
    <row r="410" spans="1:15" ht="12.95" customHeight="1" x14ac:dyDescent="0.25">
      <c r="A410" s="132" t="s">
        <v>212</v>
      </c>
      <c r="B410" s="126">
        <f>+GETPIVOTDATA(" Old Prof avg",'Averages Pivot Table'!$A$3,"State","MS","Category",9,"Category2","Two-Year")</f>
        <v>0</v>
      </c>
      <c r="C410" s="118">
        <f t="shared" si="70"/>
        <v>0</v>
      </c>
      <c r="D410" s="126">
        <f>+GETPIVOTDATA(" Old Asc. avg",'Averages Pivot Table'!$A$3,"State","MS","Category",9,"Category2","Two-Year")</f>
        <v>0</v>
      </c>
      <c r="E410" s="118">
        <f t="shared" si="70"/>
        <v>0</v>
      </c>
      <c r="F410" s="126">
        <f>+GETPIVOTDATA(" Old Ast. avg",'Averages Pivot Table'!$A$3,"State","MS","Category",9,"Category2","Two-Year")</f>
        <v>0</v>
      </c>
      <c r="G410" s="118">
        <f t="shared" si="65"/>
        <v>0</v>
      </c>
      <c r="H410" s="126">
        <f>+GETPIVOTDATA(" Old Inst. avg",'Averages Pivot Table'!$A$3,"State","MS","Category",9,"Category2","Two-Year")</f>
        <v>0</v>
      </c>
      <c r="I410" s="118">
        <f t="shared" si="66"/>
        <v>0</v>
      </c>
      <c r="J410" s="126">
        <f>+GETPIVOTDATA(" Old Undesg. avg",'Averages Pivot Table'!$A$3,"State","MS","Category",9,"Category2","Two-Year")</f>
        <v>0</v>
      </c>
      <c r="K410" s="118">
        <f t="shared" si="67"/>
        <v>0</v>
      </c>
      <c r="L410" s="126">
        <f>+GETPIVOTDATA(" Old Single Rnk avg",'Averages Pivot Table'!$A$3,"State","MS","Category",9,"Category2","Two-Year")</f>
        <v>50427.004317114108</v>
      </c>
      <c r="M410" s="118">
        <f t="shared" si="68"/>
        <v>4</v>
      </c>
      <c r="N410" s="126">
        <f>+GETPIVOTDATA(" Old All Ranks avg",'Averages Pivot Table'!$A$3,"State","MS","Category",9,"Category2","Two-Year")</f>
        <v>50427.004317114108</v>
      </c>
      <c r="O410" s="118">
        <f t="shared" si="69"/>
        <v>4</v>
      </c>
    </row>
    <row r="411" spans="1:15" ht="12.95" customHeight="1" x14ac:dyDescent="0.25">
      <c r="A411" s="132" t="s">
        <v>213</v>
      </c>
      <c r="B411" s="126">
        <f>+GETPIVOTDATA(" Old Prof avg",'Averages Pivot Table'!$A$3,"State","NC","Category",9,"Category2","Two-Year")</f>
        <v>0</v>
      </c>
      <c r="C411" s="118">
        <f t="shared" si="70"/>
        <v>0</v>
      </c>
      <c r="D411" s="126">
        <f>+GETPIVOTDATA(" Old Asc. avg",'Averages Pivot Table'!$A$3,"State","NC","Category",9,"Category2","Two-Year")</f>
        <v>0</v>
      </c>
      <c r="E411" s="118">
        <f t="shared" si="70"/>
        <v>0</v>
      </c>
      <c r="F411" s="126">
        <f>+GETPIVOTDATA(" Old Ast. avg",'Averages Pivot Table'!$A$3,"State","NC","Category",9,"Category2","Two-Year")</f>
        <v>0</v>
      </c>
      <c r="G411" s="118">
        <f t="shared" si="65"/>
        <v>0</v>
      </c>
      <c r="H411" s="126">
        <f>+GETPIVOTDATA(" Old Inst. avg",'Averages Pivot Table'!$A$3,"State","NC","Category",9,"Category2","Two-Year")</f>
        <v>0</v>
      </c>
      <c r="I411" s="118">
        <f t="shared" si="66"/>
        <v>0</v>
      </c>
      <c r="J411" s="126">
        <f>+GETPIVOTDATA(" Old Undesg. avg",'Averages Pivot Table'!$A$3,"State","NC","Category",9,"Category2","Two-Year")</f>
        <v>0</v>
      </c>
      <c r="K411" s="118">
        <f t="shared" si="67"/>
        <v>0</v>
      </c>
      <c r="L411" s="126">
        <f>+GETPIVOTDATA(" Old Single Rnk avg",'Averages Pivot Table'!$A$3,"State","NC","Category",9,"Category2","Two-Year")</f>
        <v>47465.146570397112</v>
      </c>
      <c r="M411" s="118">
        <f t="shared" si="68"/>
        <v>5</v>
      </c>
      <c r="N411" s="126">
        <f>+GETPIVOTDATA(" Old All Ranks avg",'Averages Pivot Table'!$A$3,"State","NC","Category",9,"Category2","Two-Year")</f>
        <v>47465.146570397112</v>
      </c>
      <c r="O411" s="118">
        <f t="shared" si="69"/>
        <v>7</v>
      </c>
    </row>
    <row r="412" spans="1:15" ht="12.95" customHeight="1" x14ac:dyDescent="0.25">
      <c r="A412" s="132" t="s">
        <v>214</v>
      </c>
      <c r="B412" s="126">
        <f>+GETPIVOTDATA(" Old Prof avg",'Averages Pivot Table'!$A$3,"State","OK","Category",9,"Category2","Two-Year")</f>
        <v>0</v>
      </c>
      <c r="C412" s="118">
        <f t="shared" si="70"/>
        <v>0</v>
      </c>
      <c r="D412" s="126">
        <f>+GETPIVOTDATA(" Old Asc. avg",'Averages Pivot Table'!$A$3,"State","OK","Category",9,"Category2","Two-Year")</f>
        <v>0</v>
      </c>
      <c r="E412" s="118">
        <f t="shared" si="70"/>
        <v>0</v>
      </c>
      <c r="F412" s="126">
        <f>+GETPIVOTDATA(" Old Ast. avg",'Averages Pivot Table'!$A$3,"State","OK","Category",9,"Category2","Two-Year")</f>
        <v>0</v>
      </c>
      <c r="G412" s="118">
        <f t="shared" si="65"/>
        <v>0</v>
      </c>
      <c r="H412" s="126">
        <f>+GETPIVOTDATA(" Old Inst. avg",'Averages Pivot Table'!$A$3,"State","OK","Category",9,"Category2","Two-Year")</f>
        <v>0</v>
      </c>
      <c r="I412" s="118">
        <f t="shared" si="66"/>
        <v>0</v>
      </c>
      <c r="J412" s="126">
        <f>+GETPIVOTDATA(" Old Undesg. avg",'Averages Pivot Table'!$A$3,"State","OK","Category",9,"Category2","Two-Year")</f>
        <v>0</v>
      </c>
      <c r="K412" s="118">
        <f t="shared" si="67"/>
        <v>0</v>
      </c>
      <c r="L412" s="126">
        <f>+GETPIVOTDATA(" Old Single Rnk avg",'Averages Pivot Table'!$A$3,"State","OK","Category",9,"Category2","Two-Year")</f>
        <v>46166.305581052628</v>
      </c>
      <c r="M412" s="118">
        <f t="shared" si="68"/>
        <v>6</v>
      </c>
      <c r="N412" s="126">
        <f>+GETPIVOTDATA(" Old All Ranks avg",'Averages Pivot Table'!$A$3,"State","OK","Category",9,"Category2","Two-Year")</f>
        <v>46166.305581052628</v>
      </c>
      <c r="O412" s="118">
        <f t="shared" si="69"/>
        <v>9</v>
      </c>
    </row>
    <row r="413" spans="1:15" ht="12.95" customHeight="1" x14ac:dyDescent="0.25">
      <c r="A413" s="132" t="s">
        <v>215</v>
      </c>
      <c r="B413" s="126">
        <f>+GETPIVOTDATA(" Old Prof avg",'Averages Pivot Table'!$A$3,"State","SC","Category",9,"Category2","Two-Year")</f>
        <v>0</v>
      </c>
      <c r="C413" s="118">
        <f t="shared" si="70"/>
        <v>0</v>
      </c>
      <c r="D413" s="126">
        <f>+GETPIVOTDATA(" Old Asc. avg",'Averages Pivot Table'!$A$3,"State","SC","Category",9,"Category2","Two-Year")</f>
        <v>0</v>
      </c>
      <c r="E413" s="118">
        <f t="shared" si="70"/>
        <v>0</v>
      </c>
      <c r="F413" s="126">
        <f>+GETPIVOTDATA(" Old Ast. avg",'Averages Pivot Table'!$A$3,"State","SC","Category",9,"Category2","Two-Year")</f>
        <v>0</v>
      </c>
      <c r="G413" s="118">
        <f t="shared" si="65"/>
        <v>0</v>
      </c>
      <c r="H413" s="126">
        <f>+GETPIVOTDATA(" Old Inst. avg",'Averages Pivot Table'!$A$3,"State","SC","Category",9,"Category2","Two-Year")</f>
        <v>0</v>
      </c>
      <c r="I413" s="118">
        <f t="shared" si="66"/>
        <v>0</v>
      </c>
      <c r="J413" s="126">
        <f>+GETPIVOTDATA(" Old Undesg. avg",'Averages Pivot Table'!$A$3,"State","SC","Category",9,"Category2","Two-Year")</f>
        <v>45562.785294117646</v>
      </c>
      <c r="K413" s="118">
        <f t="shared" si="67"/>
        <v>1</v>
      </c>
      <c r="L413" s="126">
        <f>+GETPIVOTDATA(" Old Single Rnk avg",'Averages Pivot Table'!$A$3,"State","SC","Category",9,"Category2","Two-Year")</f>
        <v>0</v>
      </c>
      <c r="M413" s="118">
        <f t="shared" si="68"/>
        <v>0</v>
      </c>
      <c r="N413" s="126">
        <f>+GETPIVOTDATA(" Old All Ranks avg",'Averages Pivot Table'!$A$3,"State","SC","Category",9,"Category2","Two-Year")</f>
        <v>45562.785294117646</v>
      </c>
      <c r="O413" s="118">
        <f t="shared" si="69"/>
        <v>12</v>
      </c>
    </row>
    <row r="414" spans="1:15" ht="12.95" customHeight="1" x14ac:dyDescent="0.25">
      <c r="A414" s="132"/>
      <c r="B414" s="126"/>
      <c r="C414" s="118">
        <f t="shared" si="70"/>
        <v>0</v>
      </c>
      <c r="D414" s="126"/>
      <c r="E414" s="118">
        <f t="shared" si="70"/>
        <v>0</v>
      </c>
      <c r="F414" s="126"/>
      <c r="G414" s="118">
        <f t="shared" si="65"/>
        <v>0</v>
      </c>
      <c r="H414" s="126"/>
      <c r="I414" s="118">
        <f t="shared" si="66"/>
        <v>0</v>
      </c>
      <c r="J414" s="126"/>
      <c r="K414" s="118">
        <f t="shared" si="67"/>
        <v>0</v>
      </c>
      <c r="L414" s="126"/>
      <c r="M414" s="118">
        <f t="shared" si="68"/>
        <v>0</v>
      </c>
      <c r="N414" s="126"/>
      <c r="O414" s="118">
        <f t="shared" si="69"/>
        <v>0</v>
      </c>
    </row>
    <row r="415" spans="1:15" ht="12.95" customHeight="1" x14ac:dyDescent="0.25">
      <c r="A415" s="132" t="s">
        <v>216</v>
      </c>
      <c r="B415" s="563">
        <f>+GETPIVOTDATA(" Old Prof avg",'Averages Pivot Table'!$A$3,"State","TN","Category",9,"Category2","Two-Year")</f>
        <v>59900.502369230773</v>
      </c>
      <c r="C415" s="118">
        <f t="shared" si="70"/>
        <v>2</v>
      </c>
      <c r="D415" s="563">
        <f>+GETPIVOTDATA(" Old Asc. avg",'Averages Pivot Table'!$A$3,"State","TN","Category",9,"Category2","Two-Year")</f>
        <v>49795.352963835612</v>
      </c>
      <c r="E415" s="118">
        <f t="shared" si="70"/>
        <v>5</v>
      </c>
      <c r="F415" s="563">
        <f>+GETPIVOTDATA(" Old Ast. avg",'Averages Pivot Table'!$A$3,"State","TN","Category",9,"Category2","Two-Year")</f>
        <v>41290.212368085107</v>
      </c>
      <c r="G415" s="118">
        <f t="shared" si="65"/>
        <v>6</v>
      </c>
      <c r="H415" s="563">
        <f>+GETPIVOTDATA(" Old Inst. avg",'Averages Pivot Table'!$A$3,"State","TN","Category",9,"Category2","Two-Year")</f>
        <v>36902.864296511631</v>
      </c>
      <c r="I415" s="118">
        <f t="shared" si="66"/>
        <v>6</v>
      </c>
      <c r="J415" s="563">
        <f>+GETPIVOTDATA(" Old Undesg. avg",'Averages Pivot Table'!$A$3,"State","TN","Category",9,"Category2","Two-Year")</f>
        <v>38599.125</v>
      </c>
      <c r="K415" s="118">
        <f t="shared" si="67"/>
        <v>3</v>
      </c>
      <c r="L415" s="563">
        <f>+GETPIVOTDATA(" Old Single Rnk avg",'Averages Pivot Table'!$A$3,"State","TN","Category",9,"Category2","Two-Year")</f>
        <v>0</v>
      </c>
      <c r="M415" s="118">
        <f t="shared" si="68"/>
        <v>0</v>
      </c>
      <c r="N415" s="126">
        <f>+GETPIVOTDATA(" Old All Ranks avg",'Averages Pivot Table'!$A$3,"State","TN","Category",9,"Category2","Two-Year")</f>
        <v>46590.95081552941</v>
      </c>
      <c r="O415" s="118">
        <f t="shared" si="69"/>
        <v>8</v>
      </c>
    </row>
    <row r="416" spans="1:15" ht="12.95" customHeight="1" x14ac:dyDescent="0.25">
      <c r="A416" s="132" t="s">
        <v>217</v>
      </c>
      <c r="B416" s="563">
        <f>+GETPIVOTDATA(" Old Prof avg",'Averages Pivot Table'!$A$3,"State","TX","Category",9,"Category2","Two-Year")</f>
        <v>49445.57222238095</v>
      </c>
      <c r="C416" s="118">
        <f t="shared" si="70"/>
        <v>8</v>
      </c>
      <c r="D416" s="563">
        <f>+GETPIVOTDATA(" Old Asc. avg",'Averages Pivot Table'!$A$3,"State","TX","Category",9,"Category2","Two-Year")</f>
        <v>48272.305651655632</v>
      </c>
      <c r="E416" s="118">
        <f t="shared" si="70"/>
        <v>6</v>
      </c>
      <c r="F416" s="563">
        <f>+GETPIVOTDATA(" Old Ast. avg",'Averages Pivot Table'!$A$3,"State","TX","Category",9,"Category2","Two-Year")</f>
        <v>47407.396171428569</v>
      </c>
      <c r="G416" s="118">
        <f t="shared" si="65"/>
        <v>2</v>
      </c>
      <c r="H416" s="563">
        <f>+GETPIVOTDATA(" Old Inst. avg",'Averages Pivot Table'!$A$3,"State","TX","Category",9,"Category2","Two-Year")</f>
        <v>46051.21261756614</v>
      </c>
      <c r="I416" s="118">
        <f t="shared" si="66"/>
        <v>1</v>
      </c>
      <c r="J416" s="563">
        <f>+GETPIVOTDATA(" Old Undesg. avg",'Averages Pivot Table'!$A$3,"State","TX","Category",9,"Category2","Two-Year")</f>
        <v>0</v>
      </c>
      <c r="K416" s="118">
        <f t="shared" si="67"/>
        <v>0</v>
      </c>
      <c r="L416" s="563">
        <f>+GETPIVOTDATA(" Old Single Rnk avg",'Averages Pivot Table'!$A$3,"State","TX","Category",9,"Category2","Two-Year")</f>
        <v>52351.95760903824</v>
      </c>
      <c r="M416" s="118">
        <f t="shared" si="68"/>
        <v>3</v>
      </c>
      <c r="N416" s="126">
        <f>+GETPIVOTDATA(" Old All Ranks avg",'Averages Pivot Table'!$A$3,"State","TX","Category",9,"Category2","Two-Year")</f>
        <v>48984.291104009528</v>
      </c>
      <c r="O416" s="118">
        <f t="shared" si="69"/>
        <v>5</v>
      </c>
    </row>
    <row r="417" spans="1:19" ht="12.95" customHeight="1" x14ac:dyDescent="0.25">
      <c r="A417" s="132" t="s">
        <v>218</v>
      </c>
      <c r="B417" s="563">
        <f>+GETPIVOTDATA(" Old Prof avg",'Averages Pivot Table'!$A$3,"State","VA","Category",9,"Category2","Two-Year")</f>
        <v>0</v>
      </c>
      <c r="C417" s="118">
        <f t="shared" si="70"/>
        <v>0</v>
      </c>
      <c r="D417" s="563">
        <f>+GETPIVOTDATA(" Old Asc. avg",'Averages Pivot Table'!$A$3,"State","VA","Category",9,"Category2","Two-Year")</f>
        <v>0</v>
      </c>
      <c r="E417" s="118">
        <f t="shared" si="70"/>
        <v>0</v>
      </c>
      <c r="F417" s="563">
        <f>+GETPIVOTDATA(" Old Ast. avg",'Averages Pivot Table'!$A$3,"State","VA","Category",9,"Category2","Two-Year")</f>
        <v>0</v>
      </c>
      <c r="G417" s="118">
        <f t="shared" si="65"/>
        <v>0</v>
      </c>
      <c r="H417" s="563">
        <f>+GETPIVOTDATA(" Old Inst. avg",'Averages Pivot Table'!$A$3,"State","VA","Category",9,"Category2","Two-Year")</f>
        <v>0</v>
      </c>
      <c r="I417" s="118">
        <f t="shared" si="66"/>
        <v>0</v>
      </c>
      <c r="J417" s="563">
        <f>+GETPIVOTDATA(" Old Undesg. avg",'Averages Pivot Table'!$A$3,"State","VA","Category",9,"Category2","Two-Year")</f>
        <v>0</v>
      </c>
      <c r="K417" s="118">
        <f t="shared" si="67"/>
        <v>0</v>
      </c>
      <c r="L417" s="563">
        <f>+GETPIVOTDATA(" Old Single Rnk avg",'Averages Pivot Table'!$A$3,"State","VA","Category",9,"Category2","Two-Year")</f>
        <v>0</v>
      </c>
      <c r="M417" s="118">
        <f t="shared" si="68"/>
        <v>0</v>
      </c>
      <c r="N417" s="126">
        <f>+GETPIVOTDATA(" Old All Ranks avg",'Averages Pivot Table'!$A$3,"State","VA","Category",9,"Category2","Two-Year")</f>
        <v>0</v>
      </c>
      <c r="O417" s="118">
        <f t="shared" si="69"/>
        <v>0</v>
      </c>
    </row>
    <row r="418" spans="1:19" ht="12.95" customHeight="1" x14ac:dyDescent="0.25">
      <c r="A418" s="6" t="s">
        <v>219</v>
      </c>
      <c r="B418" s="566">
        <f>+GETPIVOTDATA(" Old Prof avg",'Averages Pivot Table'!$A$3,"State","WV","Category",9,"Category2","Two-Year")</f>
        <v>56966</v>
      </c>
      <c r="C418" s="119">
        <f t="shared" si="70"/>
        <v>6</v>
      </c>
      <c r="D418" s="566">
        <f>+GETPIVOTDATA(" Old Asc. avg",'Averages Pivot Table'!$A$3,"State","WV","Category",9,"Category2","Two-Year")</f>
        <v>45621</v>
      </c>
      <c r="E418" s="119">
        <f t="shared" si="70"/>
        <v>8</v>
      </c>
      <c r="F418" s="566">
        <f>+GETPIVOTDATA(" Old Ast. avg",'Averages Pivot Table'!$A$3,"State","WV","Category",9,"Category2","Two-Year")</f>
        <v>39465</v>
      </c>
      <c r="G418" s="119">
        <f t="shared" si="65"/>
        <v>8</v>
      </c>
      <c r="H418" s="566">
        <f>+GETPIVOTDATA(" Old Inst. avg",'Averages Pivot Table'!$A$3,"State","WV","Category",9,"Category2","Two-Year")</f>
        <v>32958.728571428575</v>
      </c>
      <c r="I418" s="119">
        <f t="shared" si="66"/>
        <v>8</v>
      </c>
      <c r="J418" s="566">
        <f>+GETPIVOTDATA(" Old Undesg. avg",'Averages Pivot Table'!$A$3,"State","WV","Category",9,"Category2","Two-Year")</f>
        <v>0</v>
      </c>
      <c r="K418" s="119">
        <f t="shared" si="67"/>
        <v>0</v>
      </c>
      <c r="L418" s="566">
        <f>+GETPIVOTDATA(" Old Single Rnk avg",'Averages Pivot Table'!$A$3,"State","WV","Category",9,"Category2","Two-Year")</f>
        <v>0</v>
      </c>
      <c r="M418" s="119">
        <f t="shared" si="68"/>
        <v>0</v>
      </c>
      <c r="N418" s="566">
        <f>+GETPIVOTDATA(" Old All Ranks avg",'Averages Pivot Table'!$A$3,"State","WV","Category",9,"Category2","Two-Year")</f>
        <v>44746.472580645161</v>
      </c>
      <c r="O418" s="119">
        <f t="shared" si="69"/>
        <v>13</v>
      </c>
    </row>
    <row r="419" spans="1:19" ht="30" customHeight="1" x14ac:dyDescent="0.25">
      <c r="A419" s="679" t="s">
        <v>91</v>
      </c>
      <c r="B419" s="679"/>
      <c r="C419" s="679"/>
      <c r="D419" s="679"/>
      <c r="E419" s="679"/>
      <c r="F419" s="679"/>
      <c r="G419" s="679"/>
      <c r="H419" s="679"/>
      <c r="I419" s="679"/>
      <c r="J419" s="679"/>
      <c r="K419" s="679"/>
      <c r="L419" s="679"/>
      <c r="M419" s="679"/>
      <c r="N419" s="679"/>
      <c r="O419" s="679"/>
    </row>
    <row r="420" spans="1:19" x14ac:dyDescent="0.25">
      <c r="O420" s="157" t="s">
        <v>1083</v>
      </c>
    </row>
    <row r="421" spans="1:19" ht="18" x14ac:dyDescent="0.25">
      <c r="A421" s="544" t="s">
        <v>273</v>
      </c>
      <c r="B421" s="544"/>
      <c r="C421" s="544"/>
      <c r="D421" s="544"/>
      <c r="E421" s="544"/>
      <c r="F421" s="544"/>
      <c r="G421" s="544"/>
      <c r="H421" s="544"/>
      <c r="I421" s="544"/>
      <c r="J421" s="544"/>
      <c r="K421" s="544"/>
      <c r="L421" s="544"/>
      <c r="M421" s="544"/>
      <c r="N421" s="544"/>
      <c r="O421" s="544"/>
    </row>
    <row r="422" spans="1:19" x14ac:dyDescent="0.25">
      <c r="A422" s="588"/>
      <c r="B422" s="93"/>
      <c r="C422" s="93"/>
      <c r="D422" s="93"/>
      <c r="E422" s="93"/>
      <c r="F422" s="93"/>
      <c r="G422" s="93"/>
      <c r="H422" s="93"/>
      <c r="I422" s="93"/>
      <c r="J422" s="93"/>
      <c r="K422" s="93"/>
      <c r="L422" s="93"/>
      <c r="M422" s="93"/>
      <c r="N422" s="93"/>
      <c r="O422" s="93"/>
    </row>
    <row r="423" spans="1:19" x14ac:dyDescent="0.25">
      <c r="A423" s="665" t="s">
        <v>220</v>
      </c>
      <c r="B423" s="665"/>
      <c r="C423" s="665"/>
      <c r="D423" s="665"/>
      <c r="E423" s="665"/>
      <c r="F423" s="665"/>
      <c r="G423" s="665"/>
      <c r="H423" s="665"/>
      <c r="I423" s="665"/>
      <c r="J423" s="665"/>
      <c r="K423" s="665"/>
      <c r="L423" s="665"/>
      <c r="M423" s="665"/>
      <c r="N423" s="665"/>
      <c r="O423" s="665"/>
    </row>
    <row r="424" spans="1:19" x14ac:dyDescent="0.25">
      <c r="A424" s="665" t="s">
        <v>307</v>
      </c>
      <c r="B424" s="665"/>
      <c r="C424" s="665"/>
      <c r="D424" s="665"/>
      <c r="E424" s="665"/>
      <c r="F424" s="665"/>
      <c r="G424" s="665"/>
      <c r="H424" s="665"/>
      <c r="I424" s="665"/>
      <c r="J424" s="665"/>
      <c r="K424" s="665"/>
      <c r="L424" s="665"/>
      <c r="M424" s="665"/>
      <c r="N424" s="665"/>
      <c r="O424" s="665"/>
    </row>
    <row r="425" spans="1:19" x14ac:dyDescent="0.25">
      <c r="A425" s="132"/>
      <c r="B425" s="132"/>
      <c r="C425" s="132"/>
      <c r="D425" s="132"/>
      <c r="E425" s="132"/>
      <c r="F425" s="132"/>
      <c r="G425" s="132"/>
      <c r="H425" s="132"/>
      <c r="I425" s="132"/>
      <c r="J425" s="132"/>
      <c r="K425" s="132"/>
      <c r="L425" s="132"/>
      <c r="M425" s="132"/>
      <c r="N425" s="132"/>
      <c r="O425" s="132"/>
    </row>
    <row r="426" spans="1:19" ht="33" customHeight="1" x14ac:dyDescent="0.25">
      <c r="A426" s="547"/>
      <c r="B426" s="589" t="s">
        <v>99</v>
      </c>
      <c r="C426" s="142"/>
      <c r="D426" s="590" t="s">
        <v>100</v>
      </c>
      <c r="E426" s="591"/>
      <c r="F426" s="590" t="s">
        <v>101</v>
      </c>
      <c r="G426" s="591"/>
      <c r="H426" s="589" t="s">
        <v>102</v>
      </c>
      <c r="I426" s="142"/>
      <c r="J426" s="590" t="s">
        <v>226</v>
      </c>
      <c r="K426" s="591"/>
      <c r="L426" s="142" t="s">
        <v>82</v>
      </c>
      <c r="M426" s="142"/>
      <c r="N426" s="142" t="s">
        <v>84</v>
      </c>
      <c r="O426" s="142"/>
    </row>
    <row r="427" spans="1:19" x14ac:dyDescent="0.25">
      <c r="A427" s="551"/>
      <c r="B427" s="115" t="s">
        <v>103</v>
      </c>
      <c r="C427" s="143" t="s">
        <v>193</v>
      </c>
      <c r="D427" s="115" t="s">
        <v>103</v>
      </c>
      <c r="E427" s="143" t="s">
        <v>193</v>
      </c>
      <c r="F427" s="115" t="s">
        <v>103</v>
      </c>
      <c r="G427" s="143" t="s">
        <v>193</v>
      </c>
      <c r="H427" s="115" t="s">
        <v>103</v>
      </c>
      <c r="I427" s="143" t="s">
        <v>193</v>
      </c>
      <c r="J427" s="115" t="s">
        <v>103</v>
      </c>
      <c r="K427" s="143" t="s">
        <v>193</v>
      </c>
      <c r="L427" s="115" t="s">
        <v>103</v>
      </c>
      <c r="M427" s="143" t="s">
        <v>193</v>
      </c>
      <c r="N427" s="115" t="s">
        <v>103</v>
      </c>
      <c r="O427" s="143" t="s">
        <v>193</v>
      </c>
    </row>
    <row r="428" spans="1:19" s="556" customFormat="1" ht="18" customHeight="1" x14ac:dyDescent="0.25">
      <c r="A428" s="554" t="s">
        <v>222</v>
      </c>
      <c r="B428" s="146">
        <f>+GETPIVOTDATA(" Old Prof avg",'Averages Pivot Table'!$A$3,"Category",10,"Category2","Two-Year")</f>
        <v>60938.417352554745</v>
      </c>
      <c r="C428" s="146"/>
      <c r="D428" s="146">
        <f>+GETPIVOTDATA(" Old Asc. avg",'Averages Pivot Table'!$A$3,"Category",10,"Category2","Two-Year")</f>
        <v>52875.701065517242</v>
      </c>
      <c r="E428" s="146"/>
      <c r="F428" s="146">
        <f>+GETPIVOTDATA(" Old Ast. avg",'Averages Pivot Table'!$A$3,"Category",10,"Category2","Two-Year")</f>
        <v>45820.355703589739</v>
      </c>
      <c r="G428" s="146"/>
      <c r="H428" s="146">
        <f>+GETPIVOTDATA(" Old Inst. avg",'Averages Pivot Table'!$A$3,"Category",10,"Category2","Two-Year")</f>
        <v>39540.829211267606</v>
      </c>
      <c r="I428" s="146"/>
      <c r="J428" s="146">
        <f>+GETPIVOTDATA(" Old Undesg. avg",'Averages Pivot Table'!$A$3,"Category",10,"Category2","Two-Year")</f>
        <v>40916.999621118011</v>
      </c>
      <c r="K428" s="146"/>
      <c r="L428" s="146">
        <f>+GETPIVOTDATA(" Old Single Rnk avg",'Averages Pivot Table'!$A$3,"Category",10,"Category2","Two-Year")</f>
        <v>45717.060158957654</v>
      </c>
      <c r="M428" s="146"/>
      <c r="N428" s="146">
        <f>+GETPIVOTDATA(" Old All Ranks avg",'Averages Pivot Table'!$A$3,"Category",10,"Category2","Two-Year")</f>
        <v>45773.151378810107</v>
      </c>
      <c r="O428" s="133"/>
      <c r="Q428" s="558"/>
      <c r="R428" s="558"/>
      <c r="S428" s="558"/>
    </row>
    <row r="429" spans="1:19" ht="12.95" customHeight="1" x14ac:dyDescent="0.25">
      <c r="A429" s="132"/>
      <c r="B429" s="123"/>
      <c r="C429" s="150"/>
      <c r="D429" s="123"/>
      <c r="E429" s="150"/>
      <c r="F429" s="123"/>
      <c r="G429" s="150"/>
      <c r="H429" s="123"/>
      <c r="I429" s="150"/>
      <c r="J429" s="123"/>
      <c r="K429" s="150"/>
      <c r="L429" s="123"/>
      <c r="M429" s="150"/>
      <c r="N429" s="123"/>
      <c r="O429" s="134"/>
    </row>
    <row r="430" spans="1:19" ht="12.95" customHeight="1" x14ac:dyDescent="0.25">
      <c r="A430" s="132" t="s">
        <v>205</v>
      </c>
      <c r="B430" s="126">
        <f>+GETPIVOTDATA(" Old Prof avg",'Averages Pivot Table'!$A$3,"State","AL","Category",10,"Category2","Two-Year")</f>
        <v>0</v>
      </c>
      <c r="C430" s="118">
        <f>IF(B430&gt;0,(RANK(B430,B$430:B$448)),0)</f>
        <v>0</v>
      </c>
      <c r="D430" s="126">
        <f>+GETPIVOTDATA(" Old Asc. avg",'Averages Pivot Table'!$A$3,"State","AL","Category",10,"Category2","Two-Year")</f>
        <v>0</v>
      </c>
      <c r="E430" s="118">
        <f>IF(D430&gt;0,(RANK(D430,D$430:D$448)),0)</f>
        <v>0</v>
      </c>
      <c r="F430" s="126">
        <f>+GETPIVOTDATA(" Old Ast. avg",'Averages Pivot Table'!$A$3,"State","AL","Category",10,"Category2","Two-Year")</f>
        <v>0</v>
      </c>
      <c r="G430" s="118">
        <f t="shared" ref="G430:G448" si="71">IF(F430&gt;0,(RANK(F430,F$430:F$448)),0)</f>
        <v>0</v>
      </c>
      <c r="H430" s="126">
        <f>+GETPIVOTDATA(" Old Inst. avg",'Averages Pivot Table'!$A$3,"State","AL","Category",10,"Category2","Two-Year")</f>
        <v>0</v>
      </c>
      <c r="I430" s="118">
        <f t="shared" ref="I430:I448" si="72">IF(H430&gt;0,(RANK(H430,H$430:H$448)),0)</f>
        <v>0</v>
      </c>
      <c r="J430" s="126">
        <f>+GETPIVOTDATA(" Old Undesg. avg",'Averages Pivot Table'!$A$3,"State","AL","Category",10,"Category2","Two-Year")</f>
        <v>0</v>
      </c>
      <c r="K430" s="118">
        <f t="shared" ref="K430:K448" si="73">IF(J430&gt;0,(RANK(J430,J$430:J$448)),0)</f>
        <v>0</v>
      </c>
      <c r="L430" s="126">
        <f>+GETPIVOTDATA(" Old Single Rnk avg",'Averages Pivot Table'!$A$3,"State","AL","Category",10,"Category2","Two-Year")</f>
        <v>51974.395768265684</v>
      </c>
      <c r="M430" s="118">
        <f t="shared" ref="M430:M448" si="74">IF(L430&gt;0,(RANK(L430,L$430:L$448)),0)</f>
        <v>2</v>
      </c>
      <c r="N430" s="126">
        <f>+GETPIVOTDATA(" Old All Ranks avg",'Averages Pivot Table'!$A$3,"State","AL","Category",10,"Category2","Two-Year")</f>
        <v>51974.395768265684</v>
      </c>
      <c r="O430" s="118">
        <f t="shared" ref="O430:O448" si="75">IF(N430&gt;0,(RANK(N430,N$430:N$448)),0)</f>
        <v>4</v>
      </c>
    </row>
    <row r="431" spans="1:19" ht="12.95" customHeight="1" x14ac:dyDescent="0.25">
      <c r="A431" s="132" t="s">
        <v>206</v>
      </c>
      <c r="B431" s="126">
        <f>+GETPIVOTDATA(" Old Prof avg",'Averages Pivot Table'!$A$3,"State","AR","Category",10,"Category2","Two-Year")</f>
        <v>0</v>
      </c>
      <c r="C431" s="118">
        <f t="shared" ref="C431:E448" si="76">IF(B431&gt;0,(RANK(B431,B$430:B$448)),0)</f>
        <v>0</v>
      </c>
      <c r="D431" s="126">
        <f>+GETPIVOTDATA(" Old Asc. avg",'Averages Pivot Table'!$A$3,"State","AR","Category",10,"Category2","Two-Year")</f>
        <v>0</v>
      </c>
      <c r="E431" s="118">
        <f t="shared" si="76"/>
        <v>0</v>
      </c>
      <c r="F431" s="126">
        <f>+GETPIVOTDATA(" Old Ast. avg",'Averages Pivot Table'!$A$3,"State","AR","Category",10,"Category2","Two-Year")</f>
        <v>42794.331193749997</v>
      </c>
      <c r="G431" s="118">
        <f t="shared" si="71"/>
        <v>8</v>
      </c>
      <c r="H431" s="126">
        <f>+GETPIVOTDATA(" Old Inst. avg",'Averages Pivot Table'!$A$3,"State","AR","Category",10,"Category2","Two-Year")</f>
        <v>39614.895417948719</v>
      </c>
      <c r="I431" s="118">
        <f t="shared" si="72"/>
        <v>5</v>
      </c>
      <c r="J431" s="126">
        <f>+GETPIVOTDATA(" Old Undesg. avg",'Averages Pivot Table'!$A$3,"State","AR","Category",10,"Category2","Two-Year")</f>
        <v>0</v>
      </c>
      <c r="K431" s="118">
        <f t="shared" si="73"/>
        <v>0</v>
      </c>
      <c r="L431" s="126">
        <f>+GETPIVOTDATA(" Old Single Rnk avg",'Averages Pivot Table'!$A$3,"State","AR","Category",10,"Category2","Two-Year")</f>
        <v>42034.877662025319</v>
      </c>
      <c r="M431" s="118">
        <f t="shared" si="74"/>
        <v>7</v>
      </c>
      <c r="N431" s="126">
        <f>+GETPIVOTDATA(" Old All Ranks avg",'Averages Pivot Table'!$A$3,"State","AR","Category",10,"Category2","Two-Year")</f>
        <v>41852.148659777784</v>
      </c>
      <c r="O431" s="118">
        <f t="shared" si="75"/>
        <v>15</v>
      </c>
    </row>
    <row r="432" spans="1:19" ht="12.95" customHeight="1" x14ac:dyDescent="0.25">
      <c r="A432" s="132" t="s">
        <v>221</v>
      </c>
      <c r="B432" s="126">
        <f>+GETPIVOTDATA(" Old Prof avg",'Averages Pivot Table'!$A$3,"State","DE","Category",10,"Category2","Two-Year")</f>
        <v>0</v>
      </c>
      <c r="C432" s="118">
        <f t="shared" si="76"/>
        <v>0</v>
      </c>
      <c r="D432" s="126">
        <f>+GETPIVOTDATA(" Old Asc. avg",'Averages Pivot Table'!$A$3,"State","DE","Category",10,"Category2","Two-Year")</f>
        <v>0</v>
      </c>
      <c r="E432" s="118">
        <f t="shared" si="76"/>
        <v>0</v>
      </c>
      <c r="F432" s="126">
        <f>+GETPIVOTDATA(" Old Ast. avg",'Averages Pivot Table'!$A$3,"State","DE","Category",10,"Category2","Two-Year")</f>
        <v>0</v>
      </c>
      <c r="G432" s="118">
        <f t="shared" si="71"/>
        <v>0</v>
      </c>
      <c r="H432" s="126">
        <f>+GETPIVOTDATA(" Old Inst. avg",'Averages Pivot Table'!$A$3,"State","DE","Category",10,"Category2","Two-Year")</f>
        <v>0</v>
      </c>
      <c r="I432" s="118">
        <f t="shared" si="72"/>
        <v>0</v>
      </c>
      <c r="J432" s="126">
        <f>+GETPIVOTDATA(" Old Undesg. avg",'Averages Pivot Table'!$A$3,"State","DE","Category",10,"Category2","Two-Year")</f>
        <v>0</v>
      </c>
      <c r="K432" s="118">
        <f t="shared" si="73"/>
        <v>0</v>
      </c>
      <c r="L432" s="126">
        <f>+GETPIVOTDATA(" Old Single Rnk avg",'Averages Pivot Table'!$A$3,"State","DE","Category",10,"Category2","Two-Year")</f>
        <v>63715.690800000004</v>
      </c>
      <c r="M432" s="118">
        <f t="shared" si="74"/>
        <v>1</v>
      </c>
      <c r="N432" s="126">
        <f>+GETPIVOTDATA(" Old All Ranks avg",'Averages Pivot Table'!$A$3,"State","DE","Category",10,"Category2","Two-Year")</f>
        <v>63715.690800000004</v>
      </c>
      <c r="O432" s="118">
        <f t="shared" si="75"/>
        <v>1</v>
      </c>
    </row>
    <row r="433" spans="1:15" ht="12.95" customHeight="1" x14ac:dyDescent="0.25">
      <c r="A433" s="132" t="s">
        <v>207</v>
      </c>
      <c r="B433" s="126">
        <f>+GETPIVOTDATA(" Old Prof avg",'Averages Pivot Table'!$A$3,"State","FL","Category",10,"Category2","Two-Year")</f>
        <v>0</v>
      </c>
      <c r="C433" s="118">
        <f t="shared" si="76"/>
        <v>0</v>
      </c>
      <c r="D433" s="126">
        <f>+GETPIVOTDATA(" Old Asc. avg",'Averages Pivot Table'!$A$3,"State","FL","Category",10,"Category2","Two-Year")</f>
        <v>0</v>
      </c>
      <c r="E433" s="118">
        <f t="shared" si="76"/>
        <v>0</v>
      </c>
      <c r="F433" s="126">
        <f>+GETPIVOTDATA(" Old Ast. avg",'Averages Pivot Table'!$A$3,"State","FL","Category",10,"Category2","Two-Year")</f>
        <v>0</v>
      </c>
      <c r="G433" s="118">
        <f t="shared" si="71"/>
        <v>0</v>
      </c>
      <c r="H433" s="126">
        <f>+GETPIVOTDATA(" Old Inst. avg",'Averages Pivot Table'!$A$3,"State","FL","Category",10,"Category2","Two-Year")</f>
        <v>0</v>
      </c>
      <c r="I433" s="118">
        <f t="shared" si="72"/>
        <v>0</v>
      </c>
      <c r="J433" s="126">
        <f>+GETPIVOTDATA(" Old Undesg. avg",'Averages Pivot Table'!$A$3,"State","FL","Category",10,"Category2","Two-Year")</f>
        <v>0</v>
      </c>
      <c r="K433" s="118">
        <f t="shared" si="73"/>
        <v>0</v>
      </c>
      <c r="L433" s="126">
        <f>+GETPIVOTDATA(" Old Single Rnk avg",'Averages Pivot Table'!$A$3,"State","FL","Category",10,"Category2","Two-Year")</f>
        <v>50101.859649122809</v>
      </c>
      <c r="M433" s="118">
        <f t="shared" si="74"/>
        <v>3</v>
      </c>
      <c r="N433" s="126">
        <f>+GETPIVOTDATA(" Old All Ranks avg",'Averages Pivot Table'!$A$3,"State","FL","Category",10,"Category2","Two-Year")</f>
        <v>50101.859649122809</v>
      </c>
      <c r="O433" s="118">
        <f t="shared" si="75"/>
        <v>6</v>
      </c>
    </row>
    <row r="434" spans="1:15" ht="12.95" customHeight="1" x14ac:dyDescent="0.25">
      <c r="A434" s="132"/>
      <c r="B434" s="126"/>
      <c r="C434" s="118">
        <f t="shared" si="76"/>
        <v>0</v>
      </c>
      <c r="D434" s="126"/>
      <c r="E434" s="118">
        <f t="shared" si="76"/>
        <v>0</v>
      </c>
      <c r="F434" s="126"/>
      <c r="G434" s="118">
        <f t="shared" si="71"/>
        <v>0</v>
      </c>
      <c r="H434" s="126"/>
      <c r="I434" s="118">
        <f t="shared" si="72"/>
        <v>0</v>
      </c>
      <c r="J434" s="126"/>
      <c r="K434" s="118">
        <f t="shared" si="73"/>
        <v>0</v>
      </c>
      <c r="L434" s="126"/>
      <c r="M434" s="118">
        <f t="shared" si="74"/>
        <v>0</v>
      </c>
      <c r="N434" s="126"/>
      <c r="O434" s="118">
        <f t="shared" si="75"/>
        <v>0</v>
      </c>
    </row>
    <row r="435" spans="1:15" ht="12.95" customHeight="1" x14ac:dyDescent="0.25">
      <c r="A435" s="132" t="s">
        <v>208</v>
      </c>
      <c r="B435" s="126">
        <f>+GETPIVOTDATA(" Old Prof avg",'Averages Pivot Table'!$A$3,"State","GA","Category",10,"Category2","Two-Year")</f>
        <v>57061.599999999999</v>
      </c>
      <c r="C435" s="118">
        <f t="shared" si="76"/>
        <v>6</v>
      </c>
      <c r="D435" s="126">
        <f>+GETPIVOTDATA(" Old Asc. avg",'Averages Pivot Table'!$A$3,"State","GA","Category",10,"Category2","Two-Year")</f>
        <v>48030.399999999994</v>
      </c>
      <c r="E435" s="118">
        <f t="shared" si="76"/>
        <v>7</v>
      </c>
      <c r="F435" s="126">
        <f>+GETPIVOTDATA(" Old Ast. avg",'Averages Pivot Table'!$A$3,"State","GA","Category",10,"Category2","Two-Year")</f>
        <v>43409.428571428572</v>
      </c>
      <c r="G435" s="118">
        <f t="shared" si="71"/>
        <v>6</v>
      </c>
      <c r="H435" s="126">
        <f>+GETPIVOTDATA(" Old Inst. avg",'Averages Pivot Table'!$A$3,"State","GA","Category",10,"Category2","Two-Year")</f>
        <v>36416.199999999997</v>
      </c>
      <c r="I435" s="118">
        <f t="shared" si="72"/>
        <v>8</v>
      </c>
      <c r="J435" s="126">
        <f>+GETPIVOTDATA(" Old Undesg. avg",'Averages Pivot Table'!$A$3,"State","GA","Category",10,"Category2","Two-Year")</f>
        <v>37333.300000000003</v>
      </c>
      <c r="K435" s="118">
        <f t="shared" si="73"/>
        <v>3</v>
      </c>
      <c r="L435" s="126">
        <f>+GETPIVOTDATA(" Old Single Rnk avg",'Averages Pivot Table'!$A$3,"State","GA","Category",10,"Category2","Two-Year")</f>
        <v>0</v>
      </c>
      <c r="M435" s="118">
        <f t="shared" si="74"/>
        <v>0</v>
      </c>
      <c r="N435" s="126">
        <f>+GETPIVOTDATA(" Old All Ranks avg",'Averages Pivot Table'!$A$3,"State","GA","Category",10,"Category2","Two-Year")</f>
        <v>42884.390000000007</v>
      </c>
      <c r="O435" s="118">
        <f t="shared" si="75"/>
        <v>12</v>
      </c>
    </row>
    <row r="436" spans="1:15" ht="12.95" customHeight="1" x14ac:dyDescent="0.25">
      <c r="A436" s="132" t="s">
        <v>209</v>
      </c>
      <c r="B436" s="126">
        <f>+GETPIVOTDATA(" Old Prof avg",'Averages Pivot Table'!$A$3,"State","KY","Category",10,"Category2","Two-Year")</f>
        <v>57940.472627848103</v>
      </c>
      <c r="C436" s="118">
        <f t="shared" si="76"/>
        <v>5</v>
      </c>
      <c r="D436" s="126">
        <f>+GETPIVOTDATA(" Old Asc. avg",'Averages Pivot Table'!$A$3,"State","KY","Category",10,"Category2","Two-Year")</f>
        <v>47935.08638378379</v>
      </c>
      <c r="E436" s="118">
        <f t="shared" si="76"/>
        <v>8</v>
      </c>
      <c r="F436" s="126">
        <f>+GETPIVOTDATA(" Old Ast. avg",'Averages Pivot Table'!$A$3,"State","KY","Category",10,"Category2","Two-Year")</f>
        <v>40942.131662500004</v>
      </c>
      <c r="G436" s="118">
        <f t="shared" si="71"/>
        <v>9</v>
      </c>
      <c r="H436" s="126">
        <f>+GETPIVOTDATA(" Old Inst. avg",'Averages Pivot Table'!$A$3,"State","KY","Category",10,"Category2","Two-Year")</f>
        <v>38857.099935999999</v>
      </c>
      <c r="I436" s="118">
        <f t="shared" si="72"/>
        <v>6</v>
      </c>
      <c r="J436" s="126">
        <f>+GETPIVOTDATA(" Old Undesg. avg",'Averages Pivot Table'!$A$3,"State","KY","Category",10,"Category2","Two-Year")</f>
        <v>0</v>
      </c>
      <c r="K436" s="118">
        <f t="shared" si="73"/>
        <v>0</v>
      </c>
      <c r="L436" s="126">
        <f>+GETPIVOTDATA(" Old Single Rnk avg",'Averages Pivot Table'!$A$3,"State","KY","Category",10,"Category2","Two-Year")</f>
        <v>0</v>
      </c>
      <c r="M436" s="118">
        <f t="shared" si="74"/>
        <v>0</v>
      </c>
      <c r="N436" s="126">
        <f>+GETPIVOTDATA(" Old All Ranks avg",'Averages Pivot Table'!$A$3,"State","KY","Category",10,"Category2","Two-Year")</f>
        <v>50811.44674394904</v>
      </c>
      <c r="O436" s="118">
        <f t="shared" si="75"/>
        <v>5</v>
      </c>
    </row>
    <row r="437" spans="1:15" ht="12.95" customHeight="1" x14ac:dyDescent="0.25">
      <c r="A437" s="132" t="s">
        <v>210</v>
      </c>
      <c r="B437" s="126">
        <f>+GETPIVOTDATA(" Old Prof avg",'Averages Pivot Table'!$A$3,"State","LA","Category",10,"Category2","Two-Year")</f>
        <v>53192.893199999999</v>
      </c>
      <c r="C437" s="118">
        <f t="shared" si="76"/>
        <v>8</v>
      </c>
      <c r="D437" s="126">
        <f>+GETPIVOTDATA(" Old Asc. avg",'Averages Pivot Table'!$A$3,"State","LA","Category",10,"Category2","Two-Year")</f>
        <v>49059.907590697672</v>
      </c>
      <c r="E437" s="118">
        <f t="shared" si="76"/>
        <v>5</v>
      </c>
      <c r="F437" s="126">
        <f>+GETPIVOTDATA(" Old Ast. avg",'Averages Pivot Table'!$A$3,"State","LA","Category",10,"Category2","Two-Year")</f>
        <v>43269.9058358209</v>
      </c>
      <c r="G437" s="118">
        <f t="shared" si="71"/>
        <v>7</v>
      </c>
      <c r="H437" s="126">
        <f>+GETPIVOTDATA(" Old Inst. avg",'Averages Pivot Table'!$A$3,"State","LA","Category",10,"Category2","Two-Year")</f>
        <v>36994.990340229881</v>
      </c>
      <c r="I437" s="118">
        <f t="shared" si="72"/>
        <v>7</v>
      </c>
      <c r="J437" s="126">
        <f>+GETPIVOTDATA(" Old Undesg. avg",'Averages Pivot Table'!$A$3,"State","LA","Category",10,"Category2","Two-Year")</f>
        <v>0</v>
      </c>
      <c r="K437" s="118">
        <f t="shared" si="73"/>
        <v>0</v>
      </c>
      <c r="L437" s="126">
        <f>+GETPIVOTDATA(" Old Single Rnk avg",'Averages Pivot Table'!$A$3,"State","LA","Category",10,"Category2","Two-Year")</f>
        <v>0</v>
      </c>
      <c r="M437" s="118">
        <f t="shared" si="74"/>
        <v>0</v>
      </c>
      <c r="N437" s="126">
        <f>+GETPIVOTDATA(" Old All Ranks avg",'Averages Pivot Table'!$A$3,"State","LA","Category",10,"Category2","Two-Year")</f>
        <v>42470.149945714293</v>
      </c>
      <c r="O437" s="118">
        <f t="shared" si="75"/>
        <v>13</v>
      </c>
    </row>
    <row r="438" spans="1:15" ht="12.95" customHeight="1" x14ac:dyDescent="0.25">
      <c r="A438" s="132" t="s">
        <v>211</v>
      </c>
      <c r="B438" s="126">
        <f>+GETPIVOTDATA(" Old Prof avg",'Averages Pivot Table'!$A$3,"State","MD","Category",10,"Category2","Two-Year")</f>
        <v>69976.515969230764</v>
      </c>
      <c r="C438" s="118">
        <f t="shared" si="76"/>
        <v>1</v>
      </c>
      <c r="D438" s="126">
        <f>+GETPIVOTDATA(" Old Asc. avg",'Averages Pivot Table'!$A$3,"State","MD","Category",10,"Category2","Two-Year")</f>
        <v>62538.324138888885</v>
      </c>
      <c r="E438" s="118">
        <f t="shared" si="76"/>
        <v>1</v>
      </c>
      <c r="F438" s="126">
        <f>+GETPIVOTDATA(" Old Ast. avg",'Averages Pivot Table'!$A$3,"State","MD","Category",10,"Category2","Two-Year")</f>
        <v>52106.221780952379</v>
      </c>
      <c r="G438" s="118">
        <f t="shared" si="71"/>
        <v>1</v>
      </c>
      <c r="H438" s="126">
        <f>+GETPIVOTDATA(" Old Inst. avg",'Averages Pivot Table'!$A$3,"State","MD","Category",10,"Category2","Two-Year")</f>
        <v>50496.235955555552</v>
      </c>
      <c r="I438" s="118">
        <f t="shared" si="72"/>
        <v>1</v>
      </c>
      <c r="J438" s="126">
        <f>+GETPIVOTDATA(" Old Undesg. avg",'Averages Pivot Table'!$A$3,"State","MD","Category",10,"Category2","Two-Year")</f>
        <v>0</v>
      </c>
      <c r="K438" s="118">
        <f t="shared" si="73"/>
        <v>0</v>
      </c>
      <c r="L438" s="126">
        <f>+GETPIVOTDATA(" Old Single Rnk avg",'Averages Pivot Table'!$A$3,"State","MD","Category",10,"Category2","Two-Year")</f>
        <v>0</v>
      </c>
      <c r="M438" s="118">
        <f t="shared" si="74"/>
        <v>0</v>
      </c>
      <c r="N438" s="126">
        <f>+GETPIVOTDATA(" Old All Ranks avg",'Averages Pivot Table'!$A$3,"State","MD","Category",10,"Category2","Two-Year")</f>
        <v>60503.105001587304</v>
      </c>
      <c r="O438" s="118">
        <f t="shared" si="75"/>
        <v>2</v>
      </c>
    </row>
    <row r="439" spans="1:15" ht="12.95" customHeight="1" x14ac:dyDescent="0.25">
      <c r="A439" s="132"/>
      <c r="B439" s="126"/>
      <c r="C439" s="118">
        <f t="shared" si="76"/>
        <v>0</v>
      </c>
      <c r="D439" s="126"/>
      <c r="E439" s="118">
        <f t="shared" si="76"/>
        <v>0</v>
      </c>
      <c r="F439" s="126"/>
      <c r="G439" s="118">
        <f t="shared" si="71"/>
        <v>0</v>
      </c>
      <c r="H439" s="126"/>
      <c r="I439" s="118">
        <f t="shared" si="72"/>
        <v>0</v>
      </c>
      <c r="J439" s="126"/>
      <c r="K439" s="118">
        <f t="shared" si="73"/>
        <v>0</v>
      </c>
      <c r="L439" s="126"/>
      <c r="M439" s="118">
        <f t="shared" si="74"/>
        <v>0</v>
      </c>
      <c r="N439" s="126"/>
      <c r="O439" s="118">
        <f t="shared" si="75"/>
        <v>0</v>
      </c>
    </row>
    <row r="440" spans="1:15" ht="12.95" customHeight="1" x14ac:dyDescent="0.25">
      <c r="A440" s="132" t="s">
        <v>212</v>
      </c>
      <c r="B440" s="126">
        <f>+GETPIVOTDATA(" Old Prof avg",'Averages Pivot Table'!$A$3,"State","MS","Category",10,"Category2","Two-Year")</f>
        <v>0</v>
      </c>
      <c r="C440" s="118">
        <f t="shared" si="76"/>
        <v>0</v>
      </c>
      <c r="D440" s="126">
        <f>+GETPIVOTDATA(" Old Asc. avg",'Averages Pivot Table'!$A$3,"State","MS","Category",10,"Category2","Two-Year")</f>
        <v>0</v>
      </c>
      <c r="E440" s="118">
        <f t="shared" si="76"/>
        <v>0</v>
      </c>
      <c r="F440" s="126">
        <f>+GETPIVOTDATA(" Old Ast. avg",'Averages Pivot Table'!$A$3,"State","MS","Category",10,"Category2","Two-Year")</f>
        <v>0</v>
      </c>
      <c r="G440" s="118">
        <f t="shared" si="71"/>
        <v>0</v>
      </c>
      <c r="H440" s="126">
        <f>+GETPIVOTDATA(" Old Inst. avg",'Averages Pivot Table'!$A$3,"State","MS","Category",10,"Category2","Two-Year")</f>
        <v>0</v>
      </c>
      <c r="I440" s="118">
        <f t="shared" si="72"/>
        <v>0</v>
      </c>
      <c r="J440" s="126">
        <f>+GETPIVOTDATA(" Old Undesg. avg",'Averages Pivot Table'!$A$3,"State","MS","Category",10,"Category2","Two-Year")</f>
        <v>0</v>
      </c>
      <c r="K440" s="118">
        <f t="shared" si="73"/>
        <v>0</v>
      </c>
      <c r="L440" s="126">
        <f>+GETPIVOTDATA(" Old Single Rnk avg",'Averages Pivot Table'!$A$3,"State","MS","Category",10,"Category2","Two-Year")</f>
        <v>46379.342922758617</v>
      </c>
      <c r="M440" s="118">
        <f t="shared" si="74"/>
        <v>4</v>
      </c>
      <c r="N440" s="126">
        <f>+GETPIVOTDATA(" Old All Ranks avg",'Averages Pivot Table'!$A$3,"State","MS","Category",10,"Category2","Two-Year")</f>
        <v>46379.342922758617</v>
      </c>
      <c r="O440" s="118">
        <f t="shared" si="75"/>
        <v>8</v>
      </c>
    </row>
    <row r="441" spans="1:15" ht="12.95" customHeight="1" x14ac:dyDescent="0.25">
      <c r="A441" s="132" t="s">
        <v>213</v>
      </c>
      <c r="B441" s="126">
        <f>+GETPIVOTDATA(" Old Prof avg",'Averages Pivot Table'!$A$3,"State","NC","Category",10,"Category2","Two-Year")</f>
        <v>0</v>
      </c>
      <c r="C441" s="118">
        <f t="shared" si="76"/>
        <v>0</v>
      </c>
      <c r="D441" s="126">
        <f>+GETPIVOTDATA(" Old Asc. avg",'Averages Pivot Table'!$A$3,"State","NC","Category",10,"Category2","Two-Year")</f>
        <v>0</v>
      </c>
      <c r="E441" s="118">
        <f t="shared" si="76"/>
        <v>0</v>
      </c>
      <c r="F441" s="126">
        <f>+GETPIVOTDATA(" Old Ast. avg",'Averages Pivot Table'!$A$3,"State","NC","Category",10,"Category2","Two-Year")</f>
        <v>0</v>
      </c>
      <c r="G441" s="118">
        <f t="shared" si="71"/>
        <v>0</v>
      </c>
      <c r="H441" s="126">
        <f>+GETPIVOTDATA(" Old Inst. avg",'Averages Pivot Table'!$A$3,"State","NC","Category",10,"Category2","Two-Year")</f>
        <v>0</v>
      </c>
      <c r="I441" s="118">
        <f t="shared" si="72"/>
        <v>0</v>
      </c>
      <c r="J441" s="126">
        <f>+GETPIVOTDATA(" Old Undesg. avg",'Averages Pivot Table'!$A$3,"State","NC","Category",10,"Category2","Two-Year")</f>
        <v>0</v>
      </c>
      <c r="K441" s="118">
        <f t="shared" si="73"/>
        <v>0</v>
      </c>
      <c r="L441" s="126">
        <f>+GETPIVOTDATA(" Old Single Rnk avg",'Averages Pivot Table'!$A$3,"State","NC","Category",10,"Category2","Two-Year")</f>
        <v>45986.983667409055</v>
      </c>
      <c r="M441" s="118">
        <f t="shared" si="74"/>
        <v>5</v>
      </c>
      <c r="N441" s="126">
        <f>+GETPIVOTDATA(" Old All Ranks avg",'Averages Pivot Table'!$A$3,"State","NC","Category",10,"Category2","Two-Year")</f>
        <v>45986.983667409055</v>
      </c>
      <c r="O441" s="118">
        <f t="shared" si="75"/>
        <v>9</v>
      </c>
    </row>
    <row r="442" spans="1:15" ht="12.95" customHeight="1" x14ac:dyDescent="0.25">
      <c r="A442" s="132" t="s">
        <v>214</v>
      </c>
      <c r="B442" s="126">
        <f>+GETPIVOTDATA(" Old Prof avg",'Averages Pivot Table'!$A$3,"State","OK","Category",10,"Category2","Two-Year")</f>
        <v>0</v>
      </c>
      <c r="C442" s="118">
        <f t="shared" si="76"/>
        <v>0</v>
      </c>
      <c r="D442" s="126">
        <f>+GETPIVOTDATA(" Old Asc. avg",'Averages Pivot Table'!$A$3,"State","OK","Category",10,"Category2","Two-Year")</f>
        <v>0</v>
      </c>
      <c r="E442" s="118">
        <f t="shared" si="76"/>
        <v>0</v>
      </c>
      <c r="F442" s="126">
        <f>+GETPIVOTDATA(" Old Ast. avg",'Averages Pivot Table'!$A$3,"State","OK","Category",10,"Category2","Two-Year")</f>
        <v>0</v>
      </c>
      <c r="G442" s="118">
        <f t="shared" si="71"/>
        <v>0</v>
      </c>
      <c r="H442" s="126">
        <f>+GETPIVOTDATA(" Old Inst. avg",'Averages Pivot Table'!$A$3,"State","OK","Category",10,"Category2","Two-Year")</f>
        <v>0</v>
      </c>
      <c r="I442" s="118">
        <f t="shared" si="72"/>
        <v>0</v>
      </c>
      <c r="J442" s="126">
        <f>+GETPIVOTDATA(" Old Undesg. avg",'Averages Pivot Table'!$A$3,"State","OK","Category",10,"Category2","Two-Year")</f>
        <v>0</v>
      </c>
      <c r="K442" s="118">
        <f t="shared" si="73"/>
        <v>0</v>
      </c>
      <c r="L442" s="126">
        <f>+GETPIVOTDATA(" Old Single Rnk avg",'Averages Pivot Table'!$A$3,"State","OK","Category",10,"Category2","Two-Year")</f>
        <v>43035.543432978724</v>
      </c>
      <c r="M442" s="118">
        <f t="shared" si="74"/>
        <v>6</v>
      </c>
      <c r="N442" s="126">
        <f>+GETPIVOTDATA(" Old All Ranks avg",'Averages Pivot Table'!$A$3,"State","OK","Category",10,"Category2","Two-Year")</f>
        <v>43035.543432978724</v>
      </c>
      <c r="O442" s="118">
        <f t="shared" si="75"/>
        <v>11</v>
      </c>
    </row>
    <row r="443" spans="1:15" ht="12.95" customHeight="1" x14ac:dyDescent="0.25">
      <c r="A443" s="132" t="s">
        <v>215</v>
      </c>
      <c r="B443" s="126">
        <f>+GETPIVOTDATA(" Old Prof avg",'Averages Pivot Table'!$A$3,"State","SC","Category",10,"Category2","Two-Year")</f>
        <v>66644.438750000001</v>
      </c>
      <c r="C443" s="118">
        <f t="shared" si="76"/>
        <v>3</v>
      </c>
      <c r="D443" s="126">
        <f>+GETPIVOTDATA(" Old Asc. avg",'Averages Pivot Table'!$A$3,"State","SC","Category",10,"Category2","Two-Year")</f>
        <v>55216.265354545445</v>
      </c>
      <c r="E443" s="118">
        <f t="shared" si="76"/>
        <v>3</v>
      </c>
      <c r="F443" s="126">
        <f>+GETPIVOTDATA(" Old Ast. avg",'Averages Pivot Table'!$A$3,"State","SC","Category",10,"Category2","Two-Year")</f>
        <v>46725.638974358975</v>
      </c>
      <c r="G443" s="118">
        <f t="shared" si="71"/>
        <v>3</v>
      </c>
      <c r="H443" s="126">
        <f>+GETPIVOTDATA(" Old Inst. avg",'Averages Pivot Table'!$A$3,"State","SC","Category",10,"Category2","Two-Year")</f>
        <v>42026.624583333331</v>
      </c>
      <c r="I443" s="118">
        <f t="shared" si="72"/>
        <v>2</v>
      </c>
      <c r="J443" s="126">
        <f>+GETPIVOTDATA(" Old Undesg. avg",'Averages Pivot Table'!$A$3,"State","SC","Category",10,"Category2","Two-Year")</f>
        <v>41454.891472868214</v>
      </c>
      <c r="K443" s="118">
        <f t="shared" si="73"/>
        <v>1</v>
      </c>
      <c r="L443" s="126">
        <f>+GETPIVOTDATA(" Old Single Rnk avg",'Averages Pivot Table'!$A$3,"State","SC","Category",10,"Category2","Two-Year")</f>
        <v>0</v>
      </c>
      <c r="M443" s="118">
        <f t="shared" si="74"/>
        <v>0</v>
      </c>
      <c r="N443" s="126">
        <f>+GETPIVOTDATA(" Old All Ranks avg",'Averages Pivot Table'!$A$3,"State","SC","Category",10,"Category2","Two-Year")</f>
        <v>45150.896684251966</v>
      </c>
      <c r="O443" s="118">
        <f t="shared" si="75"/>
        <v>10</v>
      </c>
    </row>
    <row r="444" spans="1:15" ht="12.95" customHeight="1" x14ac:dyDescent="0.25">
      <c r="A444" s="132"/>
      <c r="B444" s="126"/>
      <c r="C444" s="118">
        <f t="shared" si="76"/>
        <v>0</v>
      </c>
      <c r="D444" s="126"/>
      <c r="E444" s="118">
        <f t="shared" si="76"/>
        <v>0</v>
      </c>
      <c r="F444" s="126"/>
      <c r="G444" s="118">
        <f t="shared" si="71"/>
        <v>0</v>
      </c>
      <c r="H444" s="126"/>
      <c r="I444" s="118">
        <f t="shared" si="72"/>
        <v>0</v>
      </c>
      <c r="J444" s="126"/>
      <c r="K444" s="118">
        <f t="shared" si="73"/>
        <v>0</v>
      </c>
      <c r="L444" s="126"/>
      <c r="M444" s="118">
        <f t="shared" si="74"/>
        <v>0</v>
      </c>
      <c r="N444" s="126"/>
      <c r="O444" s="118">
        <f t="shared" si="75"/>
        <v>0</v>
      </c>
    </row>
    <row r="445" spans="1:15" ht="12.95" customHeight="1" x14ac:dyDescent="0.25">
      <c r="A445" s="132" t="s">
        <v>216</v>
      </c>
      <c r="B445" s="563">
        <f>+GETPIVOTDATA(" Old Prof avg",'Averages Pivot Table'!$A$3,"State","TN","Category",10,"Category2","Two-Year")</f>
        <v>0</v>
      </c>
      <c r="C445" s="118">
        <f t="shared" si="76"/>
        <v>0</v>
      </c>
      <c r="D445" s="563">
        <f>+GETPIVOTDATA(" Old Asc. avg",'Averages Pivot Table'!$A$3,"State","TN","Category",10,"Category2","Two-Year")</f>
        <v>0</v>
      </c>
      <c r="E445" s="118">
        <f t="shared" si="76"/>
        <v>0</v>
      </c>
      <c r="F445" s="563">
        <f>+GETPIVOTDATA(" Old Ast. avg",'Averages Pivot Table'!$A$3,"State","TN","Category",10,"Category2","Two-Year")</f>
        <v>0</v>
      </c>
      <c r="G445" s="118">
        <f t="shared" si="71"/>
        <v>0</v>
      </c>
      <c r="H445" s="563">
        <f>+GETPIVOTDATA(" Old Inst. avg",'Averages Pivot Table'!$A$3,"State","TN","Category",10,"Category2","Two-Year")</f>
        <v>0</v>
      </c>
      <c r="I445" s="118">
        <f t="shared" si="72"/>
        <v>0</v>
      </c>
      <c r="J445" s="563">
        <f>+GETPIVOTDATA(" Old Undesg. avg",'Averages Pivot Table'!$A$3,"State","TN","Category",10,"Category2","Two-Year")</f>
        <v>0</v>
      </c>
      <c r="K445" s="118">
        <f t="shared" si="73"/>
        <v>0</v>
      </c>
      <c r="L445" s="563">
        <f>+GETPIVOTDATA(" Old Single Rnk avg",'Averages Pivot Table'!$A$3,"State","TN","Category",10,"Category2","Two-Year")</f>
        <v>0</v>
      </c>
      <c r="M445" s="118">
        <f t="shared" si="74"/>
        <v>0</v>
      </c>
      <c r="N445" s="126">
        <f>+GETPIVOTDATA(" Old All Ranks avg",'Averages Pivot Table'!$A$3,"State","TN","Category",10,"Category2","Two-Year")</f>
        <v>0</v>
      </c>
      <c r="O445" s="118">
        <f t="shared" si="75"/>
        <v>0</v>
      </c>
    </row>
    <row r="446" spans="1:15" ht="12.95" customHeight="1" x14ac:dyDescent="0.25">
      <c r="A446" s="132" t="s">
        <v>217</v>
      </c>
      <c r="B446" s="563">
        <f>+GETPIVOTDATA(" Old Prof avg",'Averages Pivot Table'!$A$3,"State","TX","Category",10,"Category2","Two-Year")</f>
        <v>53912.426844827591</v>
      </c>
      <c r="C446" s="118">
        <f t="shared" si="76"/>
        <v>7</v>
      </c>
      <c r="D446" s="563">
        <f>+GETPIVOTDATA(" Old Asc. avg",'Averages Pivot Table'!$A$3,"State","TX","Category",10,"Category2","Two-Year")</f>
        <v>48654.734008333333</v>
      </c>
      <c r="E446" s="118">
        <f t="shared" si="76"/>
        <v>6</v>
      </c>
      <c r="F446" s="563">
        <f>+GETPIVOTDATA(" Old Ast. avg",'Averages Pivot Table'!$A$3,"State","TX","Category",10,"Category2","Two-Year")</f>
        <v>47198.017204081632</v>
      </c>
      <c r="G446" s="118">
        <f t="shared" si="71"/>
        <v>2</v>
      </c>
      <c r="H446" s="563">
        <f>+GETPIVOTDATA(" Old Inst. avg",'Averages Pivot Table'!$A$3,"State","TX","Category",10,"Category2","Two-Year")</f>
        <v>39678.351221188634</v>
      </c>
      <c r="I446" s="118">
        <f t="shared" si="72"/>
        <v>4</v>
      </c>
      <c r="J446" s="563">
        <f>+GETPIVOTDATA(" Old Undesg. avg",'Averages Pivot Table'!$A$3,"State","TX","Category",10,"Category2","Two-Year")</f>
        <v>0</v>
      </c>
      <c r="K446" s="118">
        <f t="shared" si="73"/>
        <v>0</v>
      </c>
      <c r="L446" s="563">
        <f>+GETPIVOTDATA(" Old Single Rnk avg",'Averages Pivot Table'!$A$3,"State","TX","Category",10,"Category2","Two-Year")</f>
        <v>0</v>
      </c>
      <c r="M446" s="118">
        <f t="shared" si="74"/>
        <v>0</v>
      </c>
      <c r="N446" s="126">
        <f>+GETPIVOTDATA(" Old All Ranks avg",'Averages Pivot Table'!$A$3,"State","TX","Category",10,"Category2","Two-Year")</f>
        <v>42399.341966795371</v>
      </c>
      <c r="O446" s="118">
        <f t="shared" si="75"/>
        <v>14</v>
      </c>
    </row>
    <row r="447" spans="1:15" ht="12.95" customHeight="1" x14ac:dyDescent="0.25">
      <c r="A447" s="132" t="s">
        <v>218</v>
      </c>
      <c r="B447" s="563">
        <f>+GETPIVOTDATA(" Old Prof avg",'Averages Pivot Table'!$A$3,"State","VA","Category",10,"Category2","Two-Year")</f>
        <v>68644</v>
      </c>
      <c r="C447" s="118">
        <f t="shared" si="76"/>
        <v>2</v>
      </c>
      <c r="D447" s="563">
        <f>+GETPIVOTDATA(" Old Asc. avg",'Averages Pivot Table'!$A$3,"State","VA","Category",10,"Category2","Two-Year")</f>
        <v>52611</v>
      </c>
      <c r="E447" s="118">
        <f t="shared" si="76"/>
        <v>4</v>
      </c>
      <c r="F447" s="563">
        <f>+GETPIVOTDATA(" Old Ast. avg",'Averages Pivot Table'!$A$3,"State","VA","Category",10,"Category2","Two-Year")</f>
        <v>44964</v>
      </c>
      <c r="G447" s="118">
        <f t="shared" si="71"/>
        <v>5</v>
      </c>
      <c r="H447" s="563">
        <f>+GETPIVOTDATA(" Old Inst. avg",'Averages Pivot Table'!$A$3,"State","VA","Category",10,"Category2","Two-Year")</f>
        <v>0</v>
      </c>
      <c r="I447" s="118">
        <f t="shared" si="72"/>
        <v>0</v>
      </c>
      <c r="J447" s="563">
        <f>+GETPIVOTDATA(" Old Undesg. avg",'Averages Pivot Table'!$A$3,"State","VA","Category",10,"Category2","Two-Year")</f>
        <v>0</v>
      </c>
      <c r="K447" s="118">
        <f t="shared" si="73"/>
        <v>0</v>
      </c>
      <c r="L447" s="563">
        <f>+GETPIVOTDATA(" Old Single Rnk avg",'Averages Pivot Table'!$A$3,"State","VA","Category",10,"Category2","Two-Year")</f>
        <v>0</v>
      </c>
      <c r="M447" s="118">
        <f t="shared" si="74"/>
        <v>0</v>
      </c>
      <c r="N447" s="126">
        <f>+GETPIVOTDATA(" Old All Ranks avg",'Averages Pivot Table'!$A$3,"State","VA","Category",10,"Category2","Two-Year")</f>
        <v>54434.63636363636</v>
      </c>
      <c r="O447" s="118">
        <f t="shared" si="75"/>
        <v>3</v>
      </c>
    </row>
    <row r="448" spans="1:15" ht="12.95" customHeight="1" x14ac:dyDescent="0.25">
      <c r="A448" s="6" t="s">
        <v>219</v>
      </c>
      <c r="B448" s="566">
        <f>+GETPIVOTDATA(" Old Prof avg",'Averages Pivot Table'!$A$3,"State","WV","Category",10,"Category2","Two-Year")</f>
        <v>65507.300101818175</v>
      </c>
      <c r="C448" s="119">
        <f t="shared" si="76"/>
        <v>4</v>
      </c>
      <c r="D448" s="566">
        <f>+GETPIVOTDATA(" Old Asc. avg",'Averages Pivot Table'!$A$3,"State","WV","Category",10,"Category2","Two-Year")</f>
        <v>55495.434127272732</v>
      </c>
      <c r="E448" s="119">
        <f t="shared" si="76"/>
        <v>2</v>
      </c>
      <c r="F448" s="566">
        <f>+GETPIVOTDATA(" Old Ast. avg",'Averages Pivot Table'!$A$3,"State","WV","Category",10,"Category2","Two-Year")</f>
        <v>46347.455196226423</v>
      </c>
      <c r="G448" s="119">
        <f t="shared" si="71"/>
        <v>4</v>
      </c>
      <c r="H448" s="566">
        <f>+GETPIVOTDATA(" Old Inst. avg",'Averages Pivot Table'!$A$3,"State","WV","Category",10,"Category2","Two-Year")</f>
        <v>39757.364184126985</v>
      </c>
      <c r="I448" s="119">
        <f t="shared" si="72"/>
        <v>3</v>
      </c>
      <c r="J448" s="566">
        <f>+GETPIVOTDATA(" Old Undesg. avg",'Averages Pivot Table'!$A$3,"State","WV","Category",10,"Category2","Two-Year")</f>
        <v>38895.035827586202</v>
      </c>
      <c r="K448" s="119">
        <f t="shared" si="73"/>
        <v>2</v>
      </c>
      <c r="L448" s="566">
        <f>+GETPIVOTDATA(" Old Single Rnk avg",'Averages Pivot Table'!$A$3,"State","WV","Category",10,"Category2","Two-Year")</f>
        <v>0</v>
      </c>
      <c r="M448" s="119">
        <f t="shared" si="74"/>
        <v>0</v>
      </c>
      <c r="N448" s="566">
        <f>+GETPIVOTDATA(" Old All Ranks avg",'Averages Pivot Table'!$A$3,"State","WV","Category",10,"Category2","Two-Year")</f>
        <v>47485.874400555556</v>
      </c>
      <c r="O448" s="119">
        <f t="shared" si="75"/>
        <v>7</v>
      </c>
    </row>
    <row r="449" spans="1:19" ht="30" customHeight="1" x14ac:dyDescent="0.25">
      <c r="A449" s="679" t="s">
        <v>91</v>
      </c>
      <c r="B449" s="679"/>
      <c r="C449" s="679"/>
      <c r="D449" s="679"/>
      <c r="E449" s="679"/>
      <c r="F449" s="679"/>
      <c r="G449" s="679"/>
      <c r="H449" s="679"/>
      <c r="I449" s="679"/>
      <c r="J449" s="679"/>
      <c r="K449" s="679"/>
      <c r="L449" s="679"/>
      <c r="M449" s="679"/>
      <c r="N449" s="679"/>
      <c r="O449" s="679"/>
    </row>
    <row r="450" spans="1:19" x14ac:dyDescent="0.25">
      <c r="O450" s="157" t="s">
        <v>1083</v>
      </c>
    </row>
    <row r="451" spans="1:19" ht="18" x14ac:dyDescent="0.25">
      <c r="A451" s="544" t="s">
        <v>274</v>
      </c>
      <c r="B451" s="544"/>
      <c r="C451" s="544"/>
      <c r="D451" s="544"/>
      <c r="E451" s="544"/>
      <c r="F451" s="544"/>
      <c r="G451" s="544"/>
      <c r="H451" s="544"/>
      <c r="I451" s="544"/>
      <c r="J451" s="544"/>
      <c r="K451" s="544"/>
      <c r="L451" s="544"/>
      <c r="M451" s="544"/>
      <c r="N451" s="544"/>
      <c r="O451" s="544"/>
    </row>
    <row r="452" spans="1:19" x14ac:dyDescent="0.25">
      <c r="A452" s="588"/>
      <c r="B452" s="93"/>
      <c r="C452" s="93"/>
      <c r="D452" s="93"/>
      <c r="E452" s="93"/>
      <c r="F452" s="93"/>
      <c r="G452" s="93"/>
      <c r="H452" s="93"/>
      <c r="I452" s="93"/>
      <c r="J452" s="93"/>
      <c r="K452" s="93"/>
      <c r="L452" s="93"/>
      <c r="M452" s="93"/>
      <c r="N452" s="93"/>
      <c r="O452" s="93"/>
    </row>
    <row r="453" spans="1:19" x14ac:dyDescent="0.25">
      <c r="A453" s="665" t="s">
        <v>220</v>
      </c>
      <c r="B453" s="665"/>
      <c r="C453" s="665"/>
      <c r="D453" s="665"/>
      <c r="E453" s="665"/>
      <c r="F453" s="665"/>
      <c r="G453" s="665"/>
      <c r="H453" s="665"/>
      <c r="I453" s="665"/>
      <c r="J453" s="665"/>
      <c r="K453" s="665"/>
      <c r="L453" s="665"/>
      <c r="M453" s="665"/>
      <c r="N453" s="665"/>
      <c r="O453" s="665"/>
    </row>
    <row r="454" spans="1:19" x14ac:dyDescent="0.25">
      <c r="A454" s="665" t="s">
        <v>306</v>
      </c>
      <c r="B454" s="665"/>
      <c r="C454" s="665"/>
      <c r="D454" s="665"/>
      <c r="E454" s="665"/>
      <c r="F454" s="665"/>
      <c r="G454" s="665"/>
      <c r="H454" s="665"/>
      <c r="I454" s="665"/>
      <c r="J454" s="665"/>
      <c r="K454" s="665"/>
      <c r="L454" s="665"/>
      <c r="M454" s="665"/>
      <c r="N454" s="665"/>
      <c r="O454" s="665"/>
    </row>
    <row r="455" spans="1:19" x14ac:dyDescent="0.25">
      <c r="A455" s="132"/>
      <c r="B455" s="132"/>
      <c r="C455" s="132"/>
      <c r="D455" s="132"/>
      <c r="E455" s="132"/>
      <c r="F455" s="132"/>
      <c r="G455" s="132"/>
      <c r="H455" s="132"/>
      <c r="I455" s="132"/>
      <c r="J455" s="132"/>
      <c r="K455" s="132"/>
      <c r="L455" s="132"/>
      <c r="M455" s="132"/>
      <c r="N455" s="132"/>
      <c r="O455" s="132"/>
    </row>
    <row r="456" spans="1:19" ht="30.75" customHeight="1" x14ac:dyDescent="0.25">
      <c r="A456" s="547"/>
      <c r="B456" s="589" t="s">
        <v>99</v>
      </c>
      <c r="C456" s="142"/>
      <c r="D456" s="590" t="s">
        <v>100</v>
      </c>
      <c r="E456" s="591"/>
      <c r="F456" s="590" t="s">
        <v>101</v>
      </c>
      <c r="G456" s="591"/>
      <c r="H456" s="589" t="s">
        <v>102</v>
      </c>
      <c r="I456" s="142"/>
      <c r="J456" s="590" t="s">
        <v>226</v>
      </c>
      <c r="K456" s="591"/>
      <c r="L456" s="142" t="s">
        <v>82</v>
      </c>
      <c r="M456" s="142"/>
      <c r="N456" s="142" t="s">
        <v>84</v>
      </c>
      <c r="O456" s="142"/>
    </row>
    <row r="457" spans="1:19" x14ac:dyDescent="0.25">
      <c r="A457" s="551"/>
      <c r="B457" s="115" t="s">
        <v>103</v>
      </c>
      <c r="C457" s="143" t="s">
        <v>193</v>
      </c>
      <c r="D457" s="115" t="s">
        <v>103</v>
      </c>
      <c r="E457" s="143" t="s">
        <v>193</v>
      </c>
      <c r="F457" s="115" t="s">
        <v>103</v>
      </c>
      <c r="G457" s="143" t="s">
        <v>193</v>
      </c>
      <c r="H457" s="115" t="s">
        <v>103</v>
      </c>
      <c r="I457" s="143" t="s">
        <v>193</v>
      </c>
      <c r="J457" s="115" t="s">
        <v>103</v>
      </c>
      <c r="K457" s="143" t="s">
        <v>193</v>
      </c>
      <c r="L457" s="115" t="s">
        <v>103</v>
      </c>
      <c r="M457" s="143" t="s">
        <v>193</v>
      </c>
      <c r="N457" s="115" t="s">
        <v>103</v>
      </c>
      <c r="O457" s="143" t="s">
        <v>193</v>
      </c>
    </row>
    <row r="458" spans="1:19" s="556" customFormat="1" ht="18" customHeight="1" x14ac:dyDescent="0.25">
      <c r="A458" s="554" t="s">
        <v>222</v>
      </c>
      <c r="B458" s="151" t="s">
        <v>321</v>
      </c>
      <c r="C458" s="146"/>
      <c r="D458" s="151" t="s">
        <v>321</v>
      </c>
      <c r="E458" s="146"/>
      <c r="F458" s="151" t="s">
        <v>321</v>
      </c>
      <c r="G458" s="146"/>
      <c r="H458" s="151" t="s">
        <v>321</v>
      </c>
      <c r="I458" s="146"/>
      <c r="J458" s="151" t="s">
        <v>321</v>
      </c>
      <c r="K458" s="146"/>
      <c r="L458" s="151" t="s">
        <v>321</v>
      </c>
      <c r="M458" s="146"/>
      <c r="N458" s="151" t="s">
        <v>321</v>
      </c>
      <c r="O458" s="133"/>
      <c r="Q458" s="558"/>
      <c r="R458" s="558"/>
      <c r="S458" s="558"/>
    </row>
    <row r="459" spans="1:19" ht="12.95" customHeight="1" x14ac:dyDescent="0.25">
      <c r="A459" s="132"/>
      <c r="B459" s="594"/>
      <c r="C459" s="150"/>
      <c r="D459" s="594"/>
      <c r="E459" s="150"/>
      <c r="F459" s="594"/>
      <c r="G459" s="150"/>
      <c r="H459" s="594"/>
      <c r="I459" s="150"/>
      <c r="J459" s="594"/>
      <c r="K459" s="150"/>
      <c r="L459" s="594"/>
      <c r="M459" s="150"/>
      <c r="N459" s="594"/>
      <c r="O459" s="134"/>
    </row>
    <row r="460" spans="1:19" ht="12.95" customHeight="1" x14ac:dyDescent="0.25">
      <c r="A460" s="132" t="s">
        <v>205</v>
      </c>
      <c r="B460" s="144" t="s">
        <v>321</v>
      </c>
      <c r="C460" s="118"/>
      <c r="D460" s="144" t="s">
        <v>321</v>
      </c>
      <c r="E460" s="118"/>
      <c r="F460" s="144" t="s">
        <v>321</v>
      </c>
      <c r="G460" s="118"/>
      <c r="H460" s="144" t="s">
        <v>321</v>
      </c>
      <c r="I460" s="118"/>
      <c r="J460" s="144" t="s">
        <v>321</v>
      </c>
      <c r="K460" s="118"/>
      <c r="L460" s="144" t="s">
        <v>321</v>
      </c>
      <c r="M460" s="118"/>
      <c r="N460" s="144" t="s">
        <v>321</v>
      </c>
      <c r="O460" s="118"/>
    </row>
    <row r="461" spans="1:19" ht="12.95" customHeight="1" x14ac:dyDescent="0.25">
      <c r="A461" s="132" t="s">
        <v>206</v>
      </c>
      <c r="B461" s="144" t="s">
        <v>321</v>
      </c>
      <c r="C461" s="118"/>
      <c r="D461" s="144" t="s">
        <v>321</v>
      </c>
      <c r="E461" s="118"/>
      <c r="F461" s="144" t="s">
        <v>321</v>
      </c>
      <c r="G461" s="118"/>
      <c r="H461" s="144" t="s">
        <v>321</v>
      </c>
      <c r="I461" s="118"/>
      <c r="J461" s="144" t="s">
        <v>321</v>
      </c>
      <c r="K461" s="118"/>
      <c r="L461" s="144" t="s">
        <v>321</v>
      </c>
      <c r="M461" s="118"/>
      <c r="N461" s="144" t="s">
        <v>321</v>
      </c>
      <c r="O461" s="118"/>
    </row>
    <row r="462" spans="1:19" ht="12.95" customHeight="1" x14ac:dyDescent="0.25">
      <c r="A462" s="132" t="s">
        <v>221</v>
      </c>
      <c r="B462" s="144" t="s">
        <v>321</v>
      </c>
      <c r="C462" s="118"/>
      <c r="D462" s="144" t="s">
        <v>321</v>
      </c>
      <c r="E462" s="118"/>
      <c r="F462" s="144" t="s">
        <v>321</v>
      </c>
      <c r="G462" s="118"/>
      <c r="H462" s="144" t="s">
        <v>321</v>
      </c>
      <c r="I462" s="118"/>
      <c r="J462" s="144" t="s">
        <v>321</v>
      </c>
      <c r="K462" s="118"/>
      <c r="L462" s="144" t="s">
        <v>321</v>
      </c>
      <c r="M462" s="118"/>
      <c r="N462" s="144" t="s">
        <v>321</v>
      </c>
      <c r="O462" s="118"/>
    </row>
    <row r="463" spans="1:19" ht="12.95" customHeight="1" x14ac:dyDescent="0.25">
      <c r="A463" s="132" t="s">
        <v>207</v>
      </c>
      <c r="B463" s="144" t="s">
        <v>321</v>
      </c>
      <c r="C463" s="118"/>
      <c r="D463" s="144" t="s">
        <v>321</v>
      </c>
      <c r="E463" s="118"/>
      <c r="F463" s="144" t="s">
        <v>321</v>
      </c>
      <c r="G463" s="118"/>
      <c r="H463" s="144" t="s">
        <v>321</v>
      </c>
      <c r="I463" s="118"/>
      <c r="J463" s="144" t="s">
        <v>321</v>
      </c>
      <c r="K463" s="118"/>
      <c r="L463" s="144" t="s">
        <v>321</v>
      </c>
      <c r="M463" s="118"/>
      <c r="N463" s="144" t="s">
        <v>321</v>
      </c>
      <c r="O463" s="118"/>
    </row>
    <row r="464" spans="1:19" ht="12.95" customHeight="1" x14ac:dyDescent="0.25">
      <c r="A464" s="132"/>
      <c r="B464" s="563"/>
      <c r="C464" s="118"/>
      <c r="D464" s="563"/>
      <c r="E464" s="118"/>
      <c r="F464" s="563"/>
      <c r="G464" s="118"/>
      <c r="H464" s="563"/>
      <c r="I464" s="118"/>
      <c r="J464" s="563"/>
      <c r="K464" s="118"/>
      <c r="L464" s="563"/>
      <c r="M464" s="118"/>
      <c r="N464" s="563"/>
      <c r="O464" s="118"/>
    </row>
    <row r="465" spans="1:15" ht="12.95" customHeight="1" x14ac:dyDescent="0.25">
      <c r="A465" s="132" t="s">
        <v>208</v>
      </c>
      <c r="B465" s="144" t="s">
        <v>321</v>
      </c>
      <c r="C465" s="118"/>
      <c r="D465" s="144" t="s">
        <v>321</v>
      </c>
      <c r="E465" s="118"/>
      <c r="F465" s="144" t="s">
        <v>321</v>
      </c>
      <c r="G465" s="118"/>
      <c r="H465" s="144" t="s">
        <v>321</v>
      </c>
      <c r="I465" s="118"/>
      <c r="J465" s="144" t="s">
        <v>321</v>
      </c>
      <c r="K465" s="118"/>
      <c r="L465" s="144" t="s">
        <v>321</v>
      </c>
      <c r="M465" s="118"/>
      <c r="N465" s="144" t="s">
        <v>321</v>
      </c>
      <c r="O465" s="118"/>
    </row>
    <row r="466" spans="1:15" ht="12.95" customHeight="1" x14ac:dyDescent="0.25">
      <c r="A466" s="132" t="s">
        <v>209</v>
      </c>
      <c r="B466" s="144" t="s">
        <v>321</v>
      </c>
      <c r="C466" s="118"/>
      <c r="D466" s="144" t="s">
        <v>321</v>
      </c>
      <c r="E466" s="118"/>
      <c r="F466" s="144" t="s">
        <v>321</v>
      </c>
      <c r="G466" s="118"/>
      <c r="H466" s="144" t="s">
        <v>321</v>
      </c>
      <c r="I466" s="118"/>
      <c r="J466" s="144" t="s">
        <v>321</v>
      </c>
      <c r="K466" s="118"/>
      <c r="L466" s="144" t="s">
        <v>321</v>
      </c>
      <c r="M466" s="118"/>
      <c r="N466" s="144" t="s">
        <v>321</v>
      </c>
      <c r="O466" s="118"/>
    </row>
    <row r="467" spans="1:15" ht="12.95" customHeight="1" x14ac:dyDescent="0.25">
      <c r="A467" s="132" t="s">
        <v>210</v>
      </c>
      <c r="B467" s="144" t="s">
        <v>321</v>
      </c>
      <c r="C467" s="118"/>
      <c r="D467" s="144" t="s">
        <v>321</v>
      </c>
      <c r="E467" s="118"/>
      <c r="F467" s="144" t="s">
        <v>321</v>
      </c>
      <c r="G467" s="118"/>
      <c r="H467" s="144" t="s">
        <v>321</v>
      </c>
      <c r="I467" s="118"/>
      <c r="J467" s="144" t="s">
        <v>321</v>
      </c>
      <c r="K467" s="118"/>
      <c r="L467" s="144" t="s">
        <v>321</v>
      </c>
      <c r="M467" s="118"/>
      <c r="N467" s="144" t="s">
        <v>321</v>
      </c>
      <c r="O467" s="118"/>
    </row>
    <row r="468" spans="1:15" ht="12.95" customHeight="1" x14ac:dyDescent="0.25">
      <c r="A468" s="132" t="s">
        <v>211</v>
      </c>
      <c r="B468" s="144" t="s">
        <v>321</v>
      </c>
      <c r="C468" s="118"/>
      <c r="D468" s="144" t="s">
        <v>321</v>
      </c>
      <c r="E468" s="118"/>
      <c r="F468" s="144" t="s">
        <v>321</v>
      </c>
      <c r="G468" s="118"/>
      <c r="H468" s="144" t="s">
        <v>321</v>
      </c>
      <c r="I468" s="118"/>
      <c r="J468" s="144" t="s">
        <v>321</v>
      </c>
      <c r="K468" s="118"/>
      <c r="L468" s="144" t="s">
        <v>321</v>
      </c>
      <c r="M468" s="118"/>
      <c r="N468" s="144" t="s">
        <v>321</v>
      </c>
      <c r="O468" s="118"/>
    </row>
    <row r="469" spans="1:15" ht="12.95" customHeight="1" x14ac:dyDescent="0.25">
      <c r="A469" s="132"/>
      <c r="B469" s="563"/>
      <c r="C469" s="118"/>
      <c r="D469" s="563"/>
      <c r="E469" s="118"/>
      <c r="F469" s="563"/>
      <c r="G469" s="118"/>
      <c r="H469" s="563"/>
      <c r="I469" s="118"/>
      <c r="J469" s="563"/>
      <c r="K469" s="118"/>
      <c r="L469" s="563"/>
      <c r="M469" s="118"/>
      <c r="N469" s="563"/>
      <c r="O469" s="118"/>
    </row>
    <row r="470" spans="1:15" ht="12.95" customHeight="1" x14ac:dyDescent="0.25">
      <c r="A470" s="132" t="s">
        <v>212</v>
      </c>
      <c r="B470" s="144" t="s">
        <v>321</v>
      </c>
      <c r="C470" s="118"/>
      <c r="D470" s="144" t="s">
        <v>321</v>
      </c>
      <c r="E470" s="118"/>
      <c r="F470" s="144" t="s">
        <v>321</v>
      </c>
      <c r="G470" s="118"/>
      <c r="H470" s="144" t="s">
        <v>321</v>
      </c>
      <c r="I470" s="118"/>
      <c r="J470" s="144" t="s">
        <v>321</v>
      </c>
      <c r="K470" s="118"/>
      <c r="L470" s="144" t="s">
        <v>321</v>
      </c>
      <c r="M470" s="118"/>
      <c r="N470" s="144" t="s">
        <v>321</v>
      </c>
      <c r="O470" s="118"/>
    </row>
    <row r="471" spans="1:15" ht="12.95" customHeight="1" x14ac:dyDescent="0.25">
      <c r="A471" s="132" t="s">
        <v>213</v>
      </c>
      <c r="B471" s="144" t="s">
        <v>321</v>
      </c>
      <c r="C471" s="118"/>
      <c r="D471" s="144" t="s">
        <v>321</v>
      </c>
      <c r="E471" s="118"/>
      <c r="F471" s="144" t="s">
        <v>321</v>
      </c>
      <c r="G471" s="118"/>
      <c r="H471" s="144" t="s">
        <v>321</v>
      </c>
      <c r="I471" s="118"/>
      <c r="J471" s="144" t="s">
        <v>321</v>
      </c>
      <c r="K471" s="118"/>
      <c r="L471" s="144" t="s">
        <v>321</v>
      </c>
      <c r="M471" s="118"/>
      <c r="N471" s="144" t="s">
        <v>321</v>
      </c>
      <c r="O471" s="118"/>
    </row>
    <row r="472" spans="1:15" ht="12.95" customHeight="1" x14ac:dyDescent="0.25">
      <c r="A472" s="132" t="s">
        <v>214</v>
      </c>
      <c r="B472" s="144" t="s">
        <v>321</v>
      </c>
      <c r="C472" s="118"/>
      <c r="D472" s="144" t="s">
        <v>321</v>
      </c>
      <c r="E472" s="118"/>
      <c r="F472" s="144" t="s">
        <v>321</v>
      </c>
      <c r="G472" s="118"/>
      <c r="H472" s="144" t="s">
        <v>321</v>
      </c>
      <c r="I472" s="118"/>
      <c r="J472" s="144" t="s">
        <v>321</v>
      </c>
      <c r="K472" s="118"/>
      <c r="L472" s="144" t="s">
        <v>321</v>
      </c>
      <c r="M472" s="118"/>
      <c r="N472" s="144" t="s">
        <v>321</v>
      </c>
      <c r="O472" s="118"/>
    </row>
    <row r="473" spans="1:15" ht="12.95" customHeight="1" x14ac:dyDescent="0.25">
      <c r="A473" s="132" t="s">
        <v>215</v>
      </c>
      <c r="B473" s="144" t="s">
        <v>321</v>
      </c>
      <c r="C473" s="118"/>
      <c r="D473" s="144" t="s">
        <v>321</v>
      </c>
      <c r="E473" s="118"/>
      <c r="F473" s="144" t="s">
        <v>321</v>
      </c>
      <c r="G473" s="118"/>
      <c r="H473" s="144" t="s">
        <v>321</v>
      </c>
      <c r="I473" s="118"/>
      <c r="J473" s="144" t="s">
        <v>321</v>
      </c>
      <c r="K473" s="118"/>
      <c r="L473" s="144" t="s">
        <v>321</v>
      </c>
      <c r="M473" s="118"/>
      <c r="N473" s="144" t="s">
        <v>321</v>
      </c>
      <c r="O473" s="118"/>
    </row>
    <row r="474" spans="1:15" ht="12.95" customHeight="1" x14ac:dyDescent="0.25">
      <c r="A474" s="132"/>
      <c r="B474" s="563"/>
      <c r="C474" s="118"/>
      <c r="D474" s="563"/>
      <c r="E474" s="118"/>
      <c r="F474" s="563"/>
      <c r="G474" s="118"/>
      <c r="H474" s="563"/>
      <c r="I474" s="118"/>
      <c r="J474" s="563"/>
      <c r="K474" s="118"/>
      <c r="L474" s="563"/>
      <c r="M474" s="118"/>
      <c r="N474" s="563"/>
      <c r="O474" s="118"/>
    </row>
    <row r="475" spans="1:15" ht="12.95" customHeight="1" x14ac:dyDescent="0.25">
      <c r="A475" s="132" t="s">
        <v>216</v>
      </c>
      <c r="B475" s="144" t="s">
        <v>321</v>
      </c>
      <c r="C475" s="118"/>
      <c r="D475" s="144" t="s">
        <v>321</v>
      </c>
      <c r="E475" s="118"/>
      <c r="F475" s="144" t="s">
        <v>321</v>
      </c>
      <c r="G475" s="118"/>
      <c r="H475" s="144" t="s">
        <v>321</v>
      </c>
      <c r="I475" s="118"/>
      <c r="J475" s="144" t="s">
        <v>321</v>
      </c>
      <c r="K475" s="118"/>
      <c r="L475" s="144" t="s">
        <v>321</v>
      </c>
      <c r="M475" s="118"/>
      <c r="N475" s="144" t="s">
        <v>321</v>
      </c>
      <c r="O475" s="118"/>
    </row>
    <row r="476" spans="1:15" ht="12.95" customHeight="1" x14ac:dyDescent="0.25">
      <c r="A476" s="132" t="s">
        <v>217</v>
      </c>
      <c r="B476" s="144" t="s">
        <v>321</v>
      </c>
      <c r="C476" s="118"/>
      <c r="D476" s="144" t="s">
        <v>321</v>
      </c>
      <c r="E476" s="118"/>
      <c r="F476" s="144" t="s">
        <v>321</v>
      </c>
      <c r="G476" s="118"/>
      <c r="H476" s="144" t="s">
        <v>321</v>
      </c>
      <c r="I476" s="118"/>
      <c r="J476" s="144" t="s">
        <v>321</v>
      </c>
      <c r="K476" s="118"/>
      <c r="L476" s="144" t="s">
        <v>321</v>
      </c>
      <c r="M476" s="118"/>
      <c r="N476" s="144" t="s">
        <v>321</v>
      </c>
      <c r="O476" s="118"/>
    </row>
    <row r="477" spans="1:15" ht="12.95" customHeight="1" x14ac:dyDescent="0.25">
      <c r="A477" s="132" t="s">
        <v>218</v>
      </c>
      <c r="B477" s="144">
        <f>+GETPIVOTDATA(" Old Prof avg",'Averages Pivot Table'!$A$3,"State","VA","Category",11,"Category2","Two-Year")</f>
        <v>66627.342043243247</v>
      </c>
      <c r="C477" s="118"/>
      <c r="D477" s="144">
        <f>+GETPIVOTDATA(" Old Asc. avg",'Averages Pivot Table'!$A$3,"State","VA","Category",11,"Category2","Two-Year")</f>
        <v>59645.546077961015</v>
      </c>
      <c r="E477" s="118"/>
      <c r="F477" s="144">
        <f>+GETPIVOTDATA(" Old Ast. avg",'Averages Pivot Table'!$A$3,"State","VA","Category",11,"Category2","Two-Year")</f>
        <v>53746.541438067346</v>
      </c>
      <c r="G477" s="118"/>
      <c r="H477" s="144">
        <f>+GETPIVOTDATA(" Old Inst. avg",'Averages Pivot Table'!$A$3,"State","VA","Category",11,"Category2","Two-Year")</f>
        <v>48175.76580696056</v>
      </c>
      <c r="I477" s="118"/>
      <c r="J477" s="144">
        <f>+GETPIVOTDATA(" Old Undesg. avg",'Averages Pivot Table'!$A$3,"State","VA","Category",11,"Category2","Two-Year")</f>
        <v>72022.055000000008</v>
      </c>
      <c r="K477" s="118"/>
      <c r="L477" s="144">
        <f>+GETPIVOTDATA(" Old Single Rnk avg",'Averages Pivot Table'!$A$3,"State","VA","Category",11,"Category2","Two-Year")</f>
        <v>0</v>
      </c>
      <c r="M477" s="118"/>
      <c r="N477" s="144">
        <f>+GETPIVOTDATA(" Old All Ranks avg",'Averages Pivot Table'!$A$3,"State","VA","Category",11,"Category2","Two-Year")</f>
        <v>57012.930827133874</v>
      </c>
      <c r="O477" s="118"/>
    </row>
    <row r="478" spans="1:15" ht="12.95" customHeight="1" x14ac:dyDescent="0.25">
      <c r="A478" s="6" t="s">
        <v>219</v>
      </c>
      <c r="B478" s="596" t="s">
        <v>321</v>
      </c>
      <c r="C478" s="119"/>
      <c r="D478" s="596" t="s">
        <v>321</v>
      </c>
      <c r="E478" s="119"/>
      <c r="F478" s="596" t="s">
        <v>321</v>
      </c>
      <c r="G478" s="119"/>
      <c r="H478" s="596" t="s">
        <v>321</v>
      </c>
      <c r="I478" s="119"/>
      <c r="J478" s="596" t="s">
        <v>321</v>
      </c>
      <c r="K478" s="119"/>
      <c r="L478" s="596" t="s">
        <v>321</v>
      </c>
      <c r="M478" s="119"/>
      <c r="N478" s="596" t="s">
        <v>321</v>
      </c>
      <c r="O478" s="119"/>
    </row>
    <row r="479" spans="1:15" ht="30" customHeight="1" x14ac:dyDescent="0.25">
      <c r="A479" s="679" t="s">
        <v>91</v>
      </c>
      <c r="B479" s="679"/>
      <c r="C479" s="679"/>
      <c r="D479" s="679"/>
      <c r="E479" s="679"/>
      <c r="F479" s="679"/>
      <c r="G479" s="679"/>
      <c r="H479" s="679"/>
      <c r="I479" s="679"/>
      <c r="J479" s="679"/>
      <c r="K479" s="679"/>
      <c r="L479" s="679"/>
      <c r="M479" s="679"/>
      <c r="N479" s="679"/>
      <c r="O479" s="679"/>
    </row>
    <row r="480" spans="1:15" x14ac:dyDescent="0.25">
      <c r="O480" s="157" t="s">
        <v>1083</v>
      </c>
    </row>
    <row r="481" spans="1:19" ht="18" x14ac:dyDescent="0.25">
      <c r="A481" s="544" t="s">
        <v>275</v>
      </c>
      <c r="B481" s="544"/>
      <c r="C481" s="544"/>
      <c r="D481" s="544"/>
      <c r="E481" s="544"/>
      <c r="F481" s="544"/>
      <c r="G481" s="544"/>
      <c r="H481" s="544"/>
      <c r="I481" s="544"/>
      <c r="J481" s="544"/>
      <c r="K481" s="544"/>
      <c r="L481" s="544"/>
      <c r="M481" s="544"/>
      <c r="N481" s="544"/>
      <c r="O481" s="544"/>
    </row>
    <row r="482" spans="1:19" x14ac:dyDescent="0.25">
      <c r="A482" s="588"/>
      <c r="B482" s="93"/>
      <c r="C482" s="93"/>
      <c r="D482" s="93"/>
      <c r="E482" s="93"/>
      <c r="F482" s="93"/>
      <c r="G482" s="93"/>
      <c r="H482" s="93"/>
      <c r="I482" s="93"/>
      <c r="J482" s="93"/>
      <c r="K482" s="93"/>
      <c r="L482" s="93"/>
      <c r="M482" s="93"/>
      <c r="N482" s="93"/>
      <c r="O482" s="93"/>
    </row>
    <row r="483" spans="1:19" x14ac:dyDescent="0.25">
      <c r="A483" s="665" t="s">
        <v>220</v>
      </c>
      <c r="B483" s="665"/>
      <c r="C483" s="665"/>
      <c r="D483" s="665"/>
      <c r="E483" s="665"/>
      <c r="F483" s="665"/>
      <c r="G483" s="665"/>
      <c r="H483" s="665"/>
      <c r="I483" s="665"/>
      <c r="J483" s="665"/>
      <c r="K483" s="665"/>
      <c r="L483" s="665"/>
      <c r="M483" s="665"/>
      <c r="N483" s="665"/>
      <c r="O483" s="665"/>
    </row>
    <row r="484" spans="1:19" x14ac:dyDescent="0.25">
      <c r="A484" s="665" t="s">
        <v>305</v>
      </c>
      <c r="B484" s="665"/>
      <c r="C484" s="665"/>
      <c r="D484" s="665"/>
      <c r="E484" s="665"/>
      <c r="F484" s="665"/>
      <c r="G484" s="665"/>
      <c r="H484" s="665"/>
      <c r="I484" s="665"/>
      <c r="J484" s="665"/>
      <c r="K484" s="665"/>
      <c r="L484" s="665"/>
      <c r="M484" s="665"/>
      <c r="N484" s="665"/>
      <c r="O484" s="665"/>
    </row>
    <row r="485" spans="1:19" x14ac:dyDescent="0.25">
      <c r="A485" s="132"/>
      <c r="B485" s="93"/>
      <c r="C485" s="93"/>
      <c r="D485" s="93"/>
      <c r="E485" s="93"/>
      <c r="F485" s="93"/>
      <c r="G485" s="93"/>
      <c r="H485" s="93"/>
      <c r="I485" s="93"/>
      <c r="J485" s="93"/>
      <c r="K485" s="93"/>
      <c r="L485" s="93"/>
      <c r="M485" s="93"/>
      <c r="N485" s="93"/>
      <c r="O485" s="93"/>
    </row>
    <row r="486" spans="1:19" ht="31.5" customHeight="1" x14ac:dyDescent="0.25">
      <c r="A486" s="547"/>
      <c r="B486" s="589" t="s">
        <v>99</v>
      </c>
      <c r="C486" s="142"/>
      <c r="D486" s="590" t="s">
        <v>100</v>
      </c>
      <c r="E486" s="591"/>
      <c r="F486" s="590" t="s">
        <v>101</v>
      </c>
      <c r="G486" s="591"/>
      <c r="H486" s="589" t="s">
        <v>102</v>
      </c>
      <c r="I486" s="142"/>
      <c r="J486" s="590" t="s">
        <v>226</v>
      </c>
      <c r="K486" s="591"/>
      <c r="L486" s="142" t="s">
        <v>82</v>
      </c>
      <c r="M486" s="142"/>
      <c r="N486" s="142" t="s">
        <v>84</v>
      </c>
      <c r="O486" s="142"/>
    </row>
    <row r="487" spans="1:19" x14ac:dyDescent="0.25">
      <c r="A487" s="597"/>
      <c r="B487" s="115" t="s">
        <v>103</v>
      </c>
      <c r="C487" s="143" t="s">
        <v>193</v>
      </c>
      <c r="D487" s="115" t="s">
        <v>103</v>
      </c>
      <c r="E487" s="143" t="s">
        <v>193</v>
      </c>
      <c r="F487" s="115" t="s">
        <v>103</v>
      </c>
      <c r="G487" s="143" t="s">
        <v>193</v>
      </c>
      <c r="H487" s="115" t="s">
        <v>103</v>
      </c>
      <c r="I487" s="143" t="s">
        <v>193</v>
      </c>
      <c r="J487" s="115" t="s">
        <v>103</v>
      </c>
      <c r="K487" s="143" t="s">
        <v>193</v>
      </c>
      <c r="L487" s="115" t="s">
        <v>103</v>
      </c>
      <c r="M487" s="143" t="s">
        <v>193</v>
      </c>
      <c r="N487" s="115" t="s">
        <v>103</v>
      </c>
      <c r="O487" s="143" t="s">
        <v>193</v>
      </c>
    </row>
    <row r="488" spans="1:19" s="556" customFormat="1" ht="18" customHeight="1" x14ac:dyDescent="0.25">
      <c r="A488" s="554" t="s">
        <v>222</v>
      </c>
      <c r="B488" s="146">
        <f>+GETPIVOTDATA(" Old Prof avg",'Averages Pivot Table'!$A$3,"Category2","Technical")</f>
        <v>61578.059739999997</v>
      </c>
      <c r="C488" s="146"/>
      <c r="D488" s="146">
        <f>+GETPIVOTDATA(" Old Asc. avg",'Averages Pivot Table'!$A$3,"Category2","Technical")</f>
        <v>49410.908539999997</v>
      </c>
      <c r="E488" s="146"/>
      <c r="F488" s="146">
        <f>+GETPIVOTDATA(" Old Ast. avg",'Averages Pivot Table'!$A$3,"Category2","Technical")</f>
        <v>44476.730100000001</v>
      </c>
      <c r="G488" s="146"/>
      <c r="H488" s="146">
        <f>+GETPIVOTDATA(" Old Inst. avg",'Averages Pivot Table'!$A$3,"Category2","Technical")</f>
        <v>38135.524593220347</v>
      </c>
      <c r="I488" s="146"/>
      <c r="J488" s="146">
        <f>+GETPIVOTDATA(" Old Undesg. avg",'Averages Pivot Table'!$A$3,"Category2","Technical")</f>
        <v>26200</v>
      </c>
      <c r="K488" s="146"/>
      <c r="L488" s="146">
        <f>+GETPIVOTDATA(" Old Single Rnk avg",'Averages Pivot Table'!$A$3,"Category2","Technical")</f>
        <v>45298.105810377143</v>
      </c>
      <c r="M488" s="146"/>
      <c r="N488" s="146">
        <f>+GETPIVOTDATA(" Old All Ranks avg",'Averages Pivot Table'!$A$3,"Category2","Technical")</f>
        <v>45150.740528898044</v>
      </c>
      <c r="O488" s="133"/>
      <c r="Q488" s="558"/>
      <c r="R488" s="558"/>
      <c r="S488" s="558"/>
    </row>
    <row r="489" spans="1:19" ht="12.95" customHeight="1" x14ac:dyDescent="0.25">
      <c r="A489" s="132"/>
      <c r="B489" s="123"/>
      <c r="C489" s="150"/>
      <c r="D489" s="123"/>
      <c r="E489" s="150"/>
      <c r="F489" s="123"/>
      <c r="G489" s="150"/>
      <c r="H489" s="123"/>
      <c r="I489" s="150"/>
      <c r="J489" s="123"/>
      <c r="K489" s="150"/>
      <c r="L489" s="123"/>
      <c r="M489" s="150"/>
      <c r="N489" s="123"/>
      <c r="O489" s="134"/>
    </row>
    <row r="490" spans="1:19" ht="12.95" customHeight="1" x14ac:dyDescent="0.25">
      <c r="A490" s="132" t="s">
        <v>205</v>
      </c>
      <c r="B490" s="126">
        <f>+GETPIVOTDATA(" Old Prof avg",'Averages Pivot Table'!$A$3,"State","AL","Category2","Technical")</f>
        <v>0</v>
      </c>
      <c r="C490" s="118">
        <f>IF(B490&gt;0,(RANK(B490,B$490:B$508)),0)</f>
        <v>0</v>
      </c>
      <c r="D490" s="126">
        <f>+GETPIVOTDATA(" Old Asc. avg",'Averages Pivot Table'!$A$3,"State","AL","Category2","Technical")</f>
        <v>0</v>
      </c>
      <c r="E490" s="118">
        <f>IF(D490&gt;0,(RANK(D490,D$490:D$508)),0)</f>
        <v>0</v>
      </c>
      <c r="F490" s="126">
        <f>+GETPIVOTDATA(" Old Ast. avg",'Averages Pivot Table'!$A$3,"State","AL","Category2","Technical")</f>
        <v>0</v>
      </c>
      <c r="G490" s="118">
        <f t="shared" ref="G490:G508" si="77">IF(F490&gt;0,(RANK(F490,F$490:F$508)),0)</f>
        <v>0</v>
      </c>
      <c r="H490" s="126">
        <f>+GETPIVOTDATA(" Old Inst. avg",'Averages Pivot Table'!$A$3,"State","AL","Category2","Technical")</f>
        <v>0</v>
      </c>
      <c r="I490" s="118">
        <f t="shared" ref="I490:I508" si="78">IF(H490&gt;0,(RANK(H490,H$490:H$508)),0)</f>
        <v>0</v>
      </c>
      <c r="J490" s="126">
        <f>+GETPIVOTDATA(" Old Undesg. avg",'Averages Pivot Table'!$A$3,"State","AL","Category2","Technical")</f>
        <v>0</v>
      </c>
      <c r="K490" s="118">
        <f t="shared" ref="K490:K508" si="79">IF(J490&gt;0,(RANK(J490,J$490:J$508)),0)</f>
        <v>0</v>
      </c>
      <c r="L490" s="126">
        <f>+GETPIVOTDATA(" Old Single Rnk avg",'Averages Pivot Table'!$A$3,"State","AL","Category2","Technical")</f>
        <v>53421.884542857144</v>
      </c>
      <c r="M490" s="118">
        <f t="shared" ref="M490:M508" si="80">IF(L490&gt;0,(RANK(L490,L$490:L$508)),0)</f>
        <v>1</v>
      </c>
      <c r="N490" s="126">
        <f>+GETPIVOTDATA(" Old All Ranks avg",'Averages Pivot Table'!$A$3,"State","AL","Category2","Technical")</f>
        <v>53421.884542857144</v>
      </c>
      <c r="O490" s="118">
        <f t="shared" ref="O490:O508" si="81">IF(N490&gt;0,(RANK(N490,N$490:N$508)),0)</f>
        <v>1</v>
      </c>
    </row>
    <row r="491" spans="1:19" ht="12.95" customHeight="1" x14ac:dyDescent="0.25">
      <c r="A491" s="132" t="s">
        <v>206</v>
      </c>
      <c r="B491" s="126">
        <f>+GETPIVOTDATA(" Old Prof avg",'Averages Pivot Table'!$A$3,"State","AR","Category2","Technical")</f>
        <v>0</v>
      </c>
      <c r="C491" s="118">
        <f t="shared" ref="C491:E508" si="82">IF(B491&gt;0,(RANK(B491,B$490:B$508)),0)</f>
        <v>0</v>
      </c>
      <c r="D491" s="126">
        <f>+GETPIVOTDATA(" Old Asc. avg",'Averages Pivot Table'!$A$3,"State","AR","Category2","Technical")</f>
        <v>0</v>
      </c>
      <c r="E491" s="118">
        <f t="shared" si="82"/>
        <v>0</v>
      </c>
      <c r="F491" s="126">
        <f>+GETPIVOTDATA(" Old Ast. avg",'Averages Pivot Table'!$A$3,"State","AR","Category2","Technical")</f>
        <v>0</v>
      </c>
      <c r="G491" s="118">
        <f t="shared" si="77"/>
        <v>0</v>
      </c>
      <c r="H491" s="126">
        <f>+GETPIVOTDATA(" Old Inst. avg",'Averages Pivot Table'!$A$3,"State","AR","Category2","Technical")</f>
        <v>0</v>
      </c>
      <c r="I491" s="118">
        <f t="shared" si="78"/>
        <v>0</v>
      </c>
      <c r="J491" s="126">
        <f>+GETPIVOTDATA(" Old Undesg. avg",'Averages Pivot Table'!$A$3,"State","AR","Category2","Technical")</f>
        <v>0</v>
      </c>
      <c r="K491" s="118">
        <f t="shared" si="79"/>
        <v>0</v>
      </c>
      <c r="L491" s="126">
        <f>+GETPIVOTDATA(" Old Single Rnk avg",'Averages Pivot Table'!$A$3,"State","AR","Category2","Technical")</f>
        <v>0</v>
      </c>
      <c r="M491" s="118">
        <f t="shared" si="80"/>
        <v>0</v>
      </c>
      <c r="N491" s="126">
        <f>+GETPIVOTDATA(" Old All Ranks avg",'Averages Pivot Table'!$A$3,"State","AR","Category2","Technical")</f>
        <v>0</v>
      </c>
      <c r="O491" s="118">
        <f t="shared" si="81"/>
        <v>0</v>
      </c>
    </row>
    <row r="492" spans="1:19" ht="12.95" customHeight="1" x14ac:dyDescent="0.25">
      <c r="A492" s="132" t="s">
        <v>221</v>
      </c>
      <c r="B492" s="126">
        <f>+GETPIVOTDATA(" Old Prof avg",'Averages Pivot Table'!$A$3,"State","DE","Category2","Technical")</f>
        <v>0</v>
      </c>
      <c r="C492" s="118">
        <f t="shared" si="82"/>
        <v>0</v>
      </c>
      <c r="D492" s="126">
        <f>+GETPIVOTDATA(" Old Asc. avg",'Averages Pivot Table'!$A$3,"State","DE","Category2","Technical")</f>
        <v>0</v>
      </c>
      <c r="E492" s="118">
        <f t="shared" si="82"/>
        <v>0</v>
      </c>
      <c r="F492" s="126">
        <f>+GETPIVOTDATA(" Old Ast. avg",'Averages Pivot Table'!$A$3,"State","DE","Category2","Technical")</f>
        <v>0</v>
      </c>
      <c r="G492" s="118">
        <f t="shared" si="77"/>
        <v>0</v>
      </c>
      <c r="H492" s="126">
        <f>+GETPIVOTDATA(" Old Inst. avg",'Averages Pivot Table'!$A$3,"State","DE","Category2","Technical")</f>
        <v>0</v>
      </c>
      <c r="I492" s="118">
        <f t="shared" si="78"/>
        <v>0</v>
      </c>
      <c r="J492" s="126">
        <f>+GETPIVOTDATA(" Old Undesg. avg",'Averages Pivot Table'!$A$3,"State","DE","Category2","Technical")</f>
        <v>0</v>
      </c>
      <c r="K492" s="118">
        <f t="shared" si="79"/>
        <v>0</v>
      </c>
      <c r="L492" s="126">
        <f>+GETPIVOTDATA(" Old Single Rnk avg",'Averages Pivot Table'!$A$3,"State","DE","Category2","Technical")</f>
        <v>0</v>
      </c>
      <c r="M492" s="118">
        <f t="shared" si="80"/>
        <v>0</v>
      </c>
      <c r="N492" s="126">
        <f>+GETPIVOTDATA(" Old All Ranks avg",'Averages Pivot Table'!$A$3,"State","DE","Category2","Technical")</f>
        <v>0</v>
      </c>
      <c r="O492" s="118">
        <f t="shared" si="81"/>
        <v>0</v>
      </c>
    </row>
    <row r="493" spans="1:19" ht="12.95" customHeight="1" x14ac:dyDescent="0.25">
      <c r="A493" s="132" t="s">
        <v>207</v>
      </c>
      <c r="B493" s="126">
        <f>+GETPIVOTDATA(" Old Prof avg",'Averages Pivot Table'!$A$3,"State","FL","Category2","Technical")</f>
        <v>0</v>
      </c>
      <c r="C493" s="118">
        <f t="shared" si="82"/>
        <v>0</v>
      </c>
      <c r="D493" s="126">
        <f>+GETPIVOTDATA(" Old Asc. avg",'Averages Pivot Table'!$A$3,"State","FL","Category2","Technical")</f>
        <v>0</v>
      </c>
      <c r="E493" s="118">
        <f t="shared" si="82"/>
        <v>0</v>
      </c>
      <c r="F493" s="126">
        <f>+GETPIVOTDATA(" Old Ast. avg",'Averages Pivot Table'!$A$3,"State","FL","Category2","Technical")</f>
        <v>0</v>
      </c>
      <c r="G493" s="118">
        <f t="shared" si="77"/>
        <v>0</v>
      </c>
      <c r="H493" s="126">
        <f>+GETPIVOTDATA(" Old Inst. avg",'Averages Pivot Table'!$A$3,"State","FL","Category2","Technical")</f>
        <v>0</v>
      </c>
      <c r="I493" s="118">
        <f t="shared" si="78"/>
        <v>0</v>
      </c>
      <c r="J493" s="126">
        <f>+GETPIVOTDATA(" Old Undesg. avg",'Averages Pivot Table'!$A$3,"State","FL","Category2","Technical")</f>
        <v>0</v>
      </c>
      <c r="K493" s="118">
        <f t="shared" si="79"/>
        <v>0</v>
      </c>
      <c r="L493" s="126">
        <f>+GETPIVOTDATA(" Old Single Rnk avg",'Averages Pivot Table'!$A$3,"State","FL","Category2","Technical")</f>
        <v>0</v>
      </c>
      <c r="M493" s="118">
        <f t="shared" si="80"/>
        <v>0</v>
      </c>
      <c r="N493" s="126">
        <f>+GETPIVOTDATA(" Old All Ranks avg",'Averages Pivot Table'!$A$3,"State","FL","Category2","Technical")</f>
        <v>0</v>
      </c>
      <c r="O493" s="118">
        <f t="shared" si="81"/>
        <v>0</v>
      </c>
    </row>
    <row r="494" spans="1:19" ht="12.95" customHeight="1" x14ac:dyDescent="0.25">
      <c r="A494" s="132"/>
      <c r="B494" s="126"/>
      <c r="C494" s="118">
        <f t="shared" si="82"/>
        <v>0</v>
      </c>
      <c r="D494" s="126"/>
      <c r="E494" s="118">
        <f t="shared" si="82"/>
        <v>0</v>
      </c>
      <c r="F494" s="126"/>
      <c r="G494" s="118">
        <f t="shared" si="77"/>
        <v>0</v>
      </c>
      <c r="H494" s="126"/>
      <c r="I494" s="118">
        <f t="shared" si="78"/>
        <v>0</v>
      </c>
      <c r="J494" s="126"/>
      <c r="K494" s="118">
        <f t="shared" si="79"/>
        <v>0</v>
      </c>
      <c r="L494" s="126"/>
      <c r="M494" s="118">
        <f t="shared" si="80"/>
        <v>0</v>
      </c>
      <c r="N494" s="126"/>
      <c r="O494" s="118">
        <f t="shared" si="81"/>
        <v>0</v>
      </c>
    </row>
    <row r="495" spans="1:19" ht="12.95" customHeight="1" x14ac:dyDescent="0.25">
      <c r="A495" s="132" t="s">
        <v>208</v>
      </c>
      <c r="B495" s="126">
        <f>+GETPIVOTDATA(" Old Prof avg",'Averages Pivot Table'!$A$3,"State","GA","Category2","Technical")</f>
        <v>0</v>
      </c>
      <c r="C495" s="118">
        <f t="shared" si="82"/>
        <v>0</v>
      </c>
      <c r="D495" s="126">
        <f>+GETPIVOTDATA(" Old Asc. avg",'Averages Pivot Table'!$A$3,"State","GA","Category2","Technical")</f>
        <v>0</v>
      </c>
      <c r="E495" s="118">
        <f t="shared" si="82"/>
        <v>0</v>
      </c>
      <c r="F495" s="126">
        <f>+GETPIVOTDATA(" Old Ast. avg",'Averages Pivot Table'!$A$3,"State","GA","Category2","Technical")</f>
        <v>0</v>
      </c>
      <c r="G495" s="118">
        <f t="shared" si="77"/>
        <v>0</v>
      </c>
      <c r="H495" s="126">
        <f>+GETPIVOTDATA(" Old Inst. avg",'Averages Pivot Table'!$A$3,"State","GA","Category2","Technical")</f>
        <v>0</v>
      </c>
      <c r="I495" s="118">
        <f t="shared" si="78"/>
        <v>0</v>
      </c>
      <c r="J495" s="126">
        <f>+GETPIVOTDATA(" Old Undesg. avg",'Averages Pivot Table'!$A$3,"State","GA","Category2","Technical")</f>
        <v>0</v>
      </c>
      <c r="K495" s="118">
        <f t="shared" si="79"/>
        <v>0</v>
      </c>
      <c r="L495" s="126">
        <f>+GETPIVOTDATA(" Old Single Rnk avg",'Averages Pivot Table'!$A$3,"State","GA","Category2","Technical")</f>
        <v>45023.665847234435</v>
      </c>
      <c r="M495" s="118">
        <f t="shared" si="80"/>
        <v>3</v>
      </c>
      <c r="N495" s="126">
        <f>+GETPIVOTDATA(" Old All Ranks avg",'Averages Pivot Table'!$A$3,"State","GA","Category2","Technical")</f>
        <v>45023.665847234435</v>
      </c>
      <c r="O495" s="118">
        <f t="shared" si="81"/>
        <v>3</v>
      </c>
    </row>
    <row r="496" spans="1:19" ht="12.95" customHeight="1" x14ac:dyDescent="0.25">
      <c r="A496" s="132" t="s">
        <v>209</v>
      </c>
      <c r="B496" s="126">
        <f>+GETPIVOTDATA(" Old Prof avg",'Averages Pivot Table'!$A$3,"State","KY","Category2","Technical")</f>
        <v>61578.059739999997</v>
      </c>
      <c r="C496" s="118">
        <f t="shared" si="82"/>
        <v>1</v>
      </c>
      <c r="D496" s="126">
        <f>+GETPIVOTDATA(" Old Asc. avg",'Averages Pivot Table'!$A$3,"State","KY","Category2","Technical")</f>
        <v>49410.908539999997</v>
      </c>
      <c r="E496" s="118">
        <f t="shared" si="82"/>
        <v>1</v>
      </c>
      <c r="F496" s="126">
        <f>+GETPIVOTDATA(" Old Ast. avg",'Averages Pivot Table'!$A$3,"State","KY","Category2","Technical")</f>
        <v>44244.25603783784</v>
      </c>
      <c r="G496" s="118">
        <f t="shared" si="77"/>
        <v>2</v>
      </c>
      <c r="H496" s="126">
        <f>+GETPIVOTDATA(" Old Inst. avg",'Averages Pivot Table'!$A$3,"State","KY","Category2","Technical")</f>
        <v>38518.710143661971</v>
      </c>
      <c r="I496" s="118">
        <f t="shared" si="78"/>
        <v>1</v>
      </c>
      <c r="J496" s="126">
        <f>+GETPIVOTDATA(" Old Undesg. avg",'Averages Pivot Table'!$A$3,"State","KY","Category2","Technical")</f>
        <v>0</v>
      </c>
      <c r="K496" s="118">
        <f t="shared" si="79"/>
        <v>0</v>
      </c>
      <c r="L496" s="126">
        <f>+GETPIVOTDATA(" Old Single Rnk avg",'Averages Pivot Table'!$A$3,"State","KY","Category2","Technical")</f>
        <v>0</v>
      </c>
      <c r="M496" s="118">
        <f t="shared" si="80"/>
        <v>0</v>
      </c>
      <c r="N496" s="126">
        <f>+GETPIVOTDATA(" Old All Ranks avg",'Averages Pivot Table'!$A$3,"State","KY","Category2","Technical")</f>
        <v>44076.473624050632</v>
      </c>
      <c r="O496" s="118">
        <f t="shared" si="81"/>
        <v>4</v>
      </c>
    </row>
    <row r="497" spans="1:15" ht="12.95" customHeight="1" x14ac:dyDescent="0.25">
      <c r="A497" s="132" t="s">
        <v>210</v>
      </c>
      <c r="B497" s="126">
        <f>+GETPIVOTDATA(" Old Prof avg",'Averages Pivot Table'!$A$3,"State","LA","Category2","Technical")</f>
        <v>0</v>
      </c>
      <c r="C497" s="118">
        <f t="shared" si="82"/>
        <v>0</v>
      </c>
      <c r="D497" s="126">
        <f>+GETPIVOTDATA(" Old Asc. avg",'Averages Pivot Table'!$A$3,"State","LA","Category2","Technical")</f>
        <v>0</v>
      </c>
      <c r="E497" s="118">
        <f t="shared" si="82"/>
        <v>0</v>
      </c>
      <c r="F497" s="126">
        <f>+GETPIVOTDATA(" Old Ast. avg",'Averages Pivot Table'!$A$3,"State","LA","Category2","Technical")</f>
        <v>53078.270400000001</v>
      </c>
      <c r="G497" s="118">
        <f t="shared" si="77"/>
        <v>1</v>
      </c>
      <c r="H497" s="126">
        <f>+GETPIVOTDATA(" Old Inst. avg",'Averages Pivot Table'!$A$3,"State","LA","Category2","Technical")</f>
        <v>37556.669825531921</v>
      </c>
      <c r="I497" s="118">
        <f t="shared" si="78"/>
        <v>2</v>
      </c>
      <c r="J497" s="126">
        <f>+GETPIVOTDATA(" Old Undesg. avg",'Averages Pivot Table'!$A$3,"State","LA","Category2","Technical")</f>
        <v>26200</v>
      </c>
      <c r="K497" s="118">
        <f t="shared" si="79"/>
        <v>1</v>
      </c>
      <c r="L497" s="126">
        <f>+GETPIVOTDATA(" Old Single Rnk avg",'Averages Pivot Table'!$A$3,"State","LA","Category2","Technical")</f>
        <v>40903.802615151515</v>
      </c>
      <c r="M497" s="118">
        <f t="shared" si="80"/>
        <v>4</v>
      </c>
      <c r="N497" s="126">
        <f>+GETPIVOTDATA(" Old All Ranks avg",'Averages Pivot Table'!$A$3,"State","LA","Category2","Technical")</f>
        <v>39066.325418487395</v>
      </c>
      <c r="O497" s="118">
        <f t="shared" si="81"/>
        <v>5</v>
      </c>
    </row>
    <row r="498" spans="1:15" ht="12.95" customHeight="1" x14ac:dyDescent="0.25">
      <c r="A498" s="132" t="s">
        <v>211</v>
      </c>
      <c r="B498" s="126">
        <f>+GETPIVOTDATA(" Old Prof avg",'Averages Pivot Table'!$A$3,"State","MD","Category2","Technical")</f>
        <v>0</v>
      </c>
      <c r="C498" s="118">
        <f t="shared" si="82"/>
        <v>0</v>
      </c>
      <c r="D498" s="126">
        <f>+GETPIVOTDATA(" Old Asc. avg",'Averages Pivot Table'!$A$3,"State","MD","Category2","Technical")</f>
        <v>0</v>
      </c>
      <c r="E498" s="118">
        <f t="shared" si="82"/>
        <v>0</v>
      </c>
      <c r="F498" s="126">
        <f>+GETPIVOTDATA(" Old Ast. avg",'Averages Pivot Table'!$A$3,"State","MD","Category2","Technical")</f>
        <v>0</v>
      </c>
      <c r="G498" s="118">
        <f t="shared" si="77"/>
        <v>0</v>
      </c>
      <c r="H498" s="126">
        <f>+GETPIVOTDATA(" Old Inst. avg",'Averages Pivot Table'!$A$3,"State","MD","Category2","Technical")</f>
        <v>0</v>
      </c>
      <c r="I498" s="118">
        <f t="shared" si="78"/>
        <v>0</v>
      </c>
      <c r="J498" s="126">
        <f>+GETPIVOTDATA(" Old Undesg. avg",'Averages Pivot Table'!$A$3,"State","MD","Category2","Technical")</f>
        <v>0</v>
      </c>
      <c r="K498" s="118">
        <f t="shared" si="79"/>
        <v>0</v>
      </c>
      <c r="L498" s="126">
        <f>+GETPIVOTDATA(" Old Single Rnk avg",'Averages Pivot Table'!$A$3,"State","MD","Category2","Technical")</f>
        <v>0</v>
      </c>
      <c r="M498" s="118">
        <f t="shared" si="80"/>
        <v>0</v>
      </c>
      <c r="N498" s="126">
        <f>+GETPIVOTDATA(" Old All Ranks avg",'Averages Pivot Table'!$A$3,"State","MD","Category2","Technical")</f>
        <v>0</v>
      </c>
      <c r="O498" s="118">
        <f t="shared" si="81"/>
        <v>0</v>
      </c>
    </row>
    <row r="499" spans="1:15" ht="12.95" customHeight="1" x14ac:dyDescent="0.25">
      <c r="A499" s="132"/>
      <c r="B499" s="126"/>
      <c r="C499" s="118">
        <f t="shared" si="82"/>
        <v>0</v>
      </c>
      <c r="D499" s="126"/>
      <c r="E499" s="118">
        <f t="shared" si="82"/>
        <v>0</v>
      </c>
      <c r="F499" s="126"/>
      <c r="G499" s="118">
        <f t="shared" si="77"/>
        <v>0</v>
      </c>
      <c r="H499" s="126"/>
      <c r="I499" s="118">
        <f t="shared" si="78"/>
        <v>0</v>
      </c>
      <c r="J499" s="126"/>
      <c r="K499" s="118">
        <f t="shared" si="79"/>
        <v>0</v>
      </c>
      <c r="L499" s="126"/>
      <c r="M499" s="118">
        <f t="shared" si="80"/>
        <v>0</v>
      </c>
      <c r="N499" s="126"/>
      <c r="O499" s="118">
        <f t="shared" si="81"/>
        <v>0</v>
      </c>
    </row>
    <row r="500" spans="1:15" ht="12.95" customHeight="1" x14ac:dyDescent="0.25">
      <c r="A500" s="132" t="s">
        <v>212</v>
      </c>
      <c r="B500" s="126">
        <f>+GETPIVOTDATA(" Old Prof avg",'Averages Pivot Table'!$A$3,"State","MS","Category2","Technical")</f>
        <v>0</v>
      </c>
      <c r="C500" s="118">
        <f t="shared" si="82"/>
        <v>0</v>
      </c>
      <c r="D500" s="126">
        <f>+GETPIVOTDATA(" Old Asc. avg",'Averages Pivot Table'!$A$3,"State","MS","Category2","Technical")</f>
        <v>0</v>
      </c>
      <c r="E500" s="118">
        <f t="shared" si="82"/>
        <v>0</v>
      </c>
      <c r="F500" s="126">
        <f>+GETPIVOTDATA(" Old Ast. avg",'Averages Pivot Table'!$A$3,"State","MS","Category2","Technical")</f>
        <v>0</v>
      </c>
      <c r="G500" s="118">
        <f t="shared" si="77"/>
        <v>0</v>
      </c>
      <c r="H500" s="126">
        <f>+GETPIVOTDATA(" Old Inst. avg",'Averages Pivot Table'!$A$3,"State","MS","Category2","Technical")</f>
        <v>0</v>
      </c>
      <c r="I500" s="118">
        <f t="shared" si="78"/>
        <v>0</v>
      </c>
      <c r="J500" s="126">
        <f>+GETPIVOTDATA(" Old Undesg. avg",'Averages Pivot Table'!$A$3,"State","MS","Category2","Technical")</f>
        <v>0</v>
      </c>
      <c r="K500" s="118">
        <f t="shared" si="79"/>
        <v>0</v>
      </c>
      <c r="L500" s="126">
        <f>+GETPIVOTDATA(" Old Single Rnk avg",'Averages Pivot Table'!$A$3,"State","MS","Category2","Technical")</f>
        <v>0</v>
      </c>
      <c r="M500" s="118">
        <f t="shared" si="80"/>
        <v>0</v>
      </c>
      <c r="N500" s="126">
        <f>+GETPIVOTDATA(" Old All Ranks avg",'Averages Pivot Table'!$A$3,"State","MS","Category2","Technical")</f>
        <v>0</v>
      </c>
      <c r="O500" s="118">
        <f t="shared" si="81"/>
        <v>0</v>
      </c>
    </row>
    <row r="501" spans="1:15" ht="12.95" customHeight="1" x14ac:dyDescent="0.25">
      <c r="A501" s="132" t="s">
        <v>213</v>
      </c>
      <c r="B501" s="126">
        <f>+GETPIVOTDATA(" Old Prof avg",'Averages Pivot Table'!$A$3,"State","NC","Category2","Technical")</f>
        <v>0</v>
      </c>
      <c r="C501" s="118">
        <f t="shared" si="82"/>
        <v>0</v>
      </c>
      <c r="D501" s="126">
        <f>+GETPIVOTDATA(" Old Asc. avg",'Averages Pivot Table'!$A$3,"State","NC","Category2","Technical")</f>
        <v>0</v>
      </c>
      <c r="E501" s="118">
        <f t="shared" si="82"/>
        <v>0</v>
      </c>
      <c r="F501" s="126">
        <f>+GETPIVOTDATA(" Old Ast. avg",'Averages Pivot Table'!$A$3,"State","NC","Category2","Technical")</f>
        <v>0</v>
      </c>
      <c r="G501" s="118">
        <f t="shared" si="77"/>
        <v>0</v>
      </c>
      <c r="H501" s="126">
        <f>+GETPIVOTDATA(" Old Inst. avg",'Averages Pivot Table'!$A$3,"State","NC","Category2","Technical")</f>
        <v>0</v>
      </c>
      <c r="I501" s="118">
        <f t="shared" si="78"/>
        <v>0</v>
      </c>
      <c r="J501" s="126">
        <f>+GETPIVOTDATA(" Old Undesg. avg",'Averages Pivot Table'!$A$3,"State","NC","Category2","Technical")</f>
        <v>0</v>
      </c>
      <c r="K501" s="118">
        <f t="shared" si="79"/>
        <v>0</v>
      </c>
      <c r="L501" s="126">
        <f>+GETPIVOTDATA(" Old Single Rnk avg",'Averages Pivot Table'!$A$3,"State","NC","Category2","Technical")</f>
        <v>0</v>
      </c>
      <c r="M501" s="118">
        <f t="shared" si="80"/>
        <v>0</v>
      </c>
      <c r="N501" s="126">
        <f>+GETPIVOTDATA(" Old All Ranks avg",'Averages Pivot Table'!$A$3,"State","NC","Category2","Technical")</f>
        <v>0</v>
      </c>
      <c r="O501" s="118">
        <f t="shared" si="81"/>
        <v>0</v>
      </c>
    </row>
    <row r="502" spans="1:15" ht="12.95" customHeight="1" x14ac:dyDescent="0.25">
      <c r="A502" s="132" t="s">
        <v>214</v>
      </c>
      <c r="B502" s="126">
        <f>+GETPIVOTDATA(" Old Prof avg",'Averages Pivot Table'!$A$3,"State","OK","Category2","Technical")</f>
        <v>0</v>
      </c>
      <c r="C502" s="118">
        <f t="shared" si="82"/>
        <v>0</v>
      </c>
      <c r="D502" s="126">
        <f>+GETPIVOTDATA(" Old Asc. avg",'Averages Pivot Table'!$A$3,"State","OK","Category2","Technical")</f>
        <v>0</v>
      </c>
      <c r="E502" s="118">
        <f t="shared" si="82"/>
        <v>0</v>
      </c>
      <c r="F502" s="126">
        <f>+GETPIVOTDATA(" Old Ast. avg",'Averages Pivot Table'!$A$3,"State","OK","Category2","Technical")</f>
        <v>0</v>
      </c>
      <c r="G502" s="118">
        <f t="shared" si="77"/>
        <v>0</v>
      </c>
      <c r="H502" s="126">
        <f>+GETPIVOTDATA(" Old Inst. avg",'Averages Pivot Table'!$A$3,"State","OK","Category2","Technical")</f>
        <v>0</v>
      </c>
      <c r="I502" s="118">
        <f t="shared" si="78"/>
        <v>0</v>
      </c>
      <c r="J502" s="126">
        <f>+GETPIVOTDATA(" Old Undesg. avg",'Averages Pivot Table'!$A$3,"State","OK","Category2","Technical")</f>
        <v>0</v>
      </c>
      <c r="K502" s="118">
        <f t="shared" si="79"/>
        <v>0</v>
      </c>
      <c r="L502" s="126">
        <f>+GETPIVOTDATA(" Old Single Rnk avg",'Averages Pivot Table'!$A$3,"State","OK","Category2","Technical")</f>
        <v>48882.789532329494</v>
      </c>
      <c r="M502" s="118">
        <f t="shared" si="80"/>
        <v>2</v>
      </c>
      <c r="N502" s="126">
        <f>+GETPIVOTDATA(" Old All Ranks avg",'Averages Pivot Table'!$A$3,"State","OK","Category2","Technical")</f>
        <v>48882.789532329494</v>
      </c>
      <c r="O502" s="118">
        <f t="shared" si="81"/>
        <v>2</v>
      </c>
    </row>
    <row r="503" spans="1:15" ht="12.95" customHeight="1" x14ac:dyDescent="0.25">
      <c r="A503" s="132" t="s">
        <v>215</v>
      </c>
      <c r="B503" s="126">
        <f>+GETPIVOTDATA(" Old Prof avg",'Averages Pivot Table'!$A$3,"State","SC","Category2","Technical")</f>
        <v>0</v>
      </c>
      <c r="C503" s="118">
        <f t="shared" si="82"/>
        <v>0</v>
      </c>
      <c r="D503" s="126">
        <f>+GETPIVOTDATA(" Old Asc. avg",'Averages Pivot Table'!$A$3,"State","SC","Category2","Technical")</f>
        <v>0</v>
      </c>
      <c r="E503" s="118">
        <f t="shared" si="82"/>
        <v>0</v>
      </c>
      <c r="F503" s="126">
        <f>+GETPIVOTDATA(" Old Ast. avg",'Averages Pivot Table'!$A$3,"State","SC","Category2","Technical")</f>
        <v>0</v>
      </c>
      <c r="G503" s="118">
        <f t="shared" si="77"/>
        <v>0</v>
      </c>
      <c r="H503" s="126">
        <f>+GETPIVOTDATA(" Old Inst. avg",'Averages Pivot Table'!$A$3,"State","SC","Category2","Technical")</f>
        <v>0</v>
      </c>
      <c r="I503" s="118">
        <f t="shared" si="78"/>
        <v>0</v>
      </c>
      <c r="J503" s="126">
        <f>+GETPIVOTDATA(" Old Undesg. avg",'Averages Pivot Table'!$A$3,"State","SC","Category2","Technical")</f>
        <v>0</v>
      </c>
      <c r="K503" s="118">
        <f t="shared" si="79"/>
        <v>0</v>
      </c>
      <c r="L503" s="126">
        <f>+GETPIVOTDATA(" Old Single Rnk avg",'Averages Pivot Table'!$A$3,"State","SC","Category2","Technical")</f>
        <v>0</v>
      </c>
      <c r="M503" s="118">
        <f t="shared" si="80"/>
        <v>0</v>
      </c>
      <c r="N503" s="126">
        <f>+GETPIVOTDATA(" Old All Ranks avg",'Averages Pivot Table'!$A$3,"State","SC","Category2","Technical")</f>
        <v>0</v>
      </c>
      <c r="O503" s="118">
        <f t="shared" si="81"/>
        <v>0</v>
      </c>
    </row>
    <row r="504" spans="1:15" ht="12.95" customHeight="1" x14ac:dyDescent="0.25">
      <c r="A504" s="132"/>
      <c r="B504" s="126"/>
      <c r="C504" s="118">
        <f t="shared" si="82"/>
        <v>0</v>
      </c>
      <c r="D504" s="126"/>
      <c r="E504" s="118">
        <f t="shared" si="82"/>
        <v>0</v>
      </c>
      <c r="F504" s="126"/>
      <c r="G504" s="118">
        <f t="shared" si="77"/>
        <v>0</v>
      </c>
      <c r="H504" s="126"/>
      <c r="I504" s="118">
        <f t="shared" si="78"/>
        <v>0</v>
      </c>
      <c r="J504" s="126"/>
      <c r="K504" s="118">
        <f t="shared" si="79"/>
        <v>0</v>
      </c>
      <c r="L504" s="126"/>
      <c r="M504" s="118">
        <f t="shared" si="80"/>
        <v>0</v>
      </c>
      <c r="N504" s="126"/>
      <c r="O504" s="118">
        <f t="shared" si="81"/>
        <v>0</v>
      </c>
    </row>
    <row r="505" spans="1:15" ht="12.95" customHeight="1" x14ac:dyDescent="0.25">
      <c r="A505" s="132" t="s">
        <v>216</v>
      </c>
      <c r="B505" s="563">
        <f>+GETPIVOTDATA(" Old Prof avg",'Averages Pivot Table'!$A$3,"State","TN","Category2","Technical")</f>
        <v>0</v>
      </c>
      <c r="C505" s="118">
        <f t="shared" si="82"/>
        <v>0</v>
      </c>
      <c r="D505" s="563">
        <f>+GETPIVOTDATA(" Old Asc. avg",'Averages Pivot Table'!$A$3,"State","TN","Category2","Technical")</f>
        <v>0</v>
      </c>
      <c r="E505" s="118">
        <f t="shared" si="82"/>
        <v>0</v>
      </c>
      <c r="F505" s="563">
        <f>+GETPIVOTDATA(" Old Ast. avg",'Averages Pivot Table'!$A$3,"State","TN","Category2","Technical")</f>
        <v>0</v>
      </c>
      <c r="G505" s="118">
        <f t="shared" si="77"/>
        <v>0</v>
      </c>
      <c r="H505" s="563">
        <f>+GETPIVOTDATA(" Old Inst. avg",'Averages Pivot Table'!$A$3,"State","TN","Category2","Technical")</f>
        <v>0</v>
      </c>
      <c r="I505" s="118">
        <f t="shared" si="78"/>
        <v>0</v>
      </c>
      <c r="J505" s="563">
        <f>+GETPIVOTDATA(" Old Undesg. avg",'Averages Pivot Table'!$A$3,"State","TN","Category2","Technical")</f>
        <v>0</v>
      </c>
      <c r="K505" s="118">
        <f t="shared" si="79"/>
        <v>0</v>
      </c>
      <c r="L505" s="563">
        <f>+GETPIVOTDATA(" Old Single Rnk avg",'Averages Pivot Table'!$A$3,"State","TN","Category2","Technical")</f>
        <v>36905.217244990548</v>
      </c>
      <c r="M505" s="118">
        <f t="shared" si="80"/>
        <v>5</v>
      </c>
      <c r="N505" s="126">
        <f>+GETPIVOTDATA(" Old All Ranks avg",'Averages Pivot Table'!$A$3,"State","TN","Category2","Technical")</f>
        <v>36905.217244990548</v>
      </c>
      <c r="O505" s="118">
        <f t="shared" si="81"/>
        <v>6</v>
      </c>
    </row>
    <row r="506" spans="1:15" ht="12.95" customHeight="1" x14ac:dyDescent="0.25">
      <c r="A506" s="132" t="s">
        <v>217</v>
      </c>
      <c r="B506" s="563">
        <f>+GETPIVOTDATA(" Old Prof avg",'Averages Pivot Table'!$A$3,"State","TX","Category2","Technical")</f>
        <v>0</v>
      </c>
      <c r="C506" s="118">
        <f t="shared" si="82"/>
        <v>0</v>
      </c>
      <c r="D506" s="563">
        <f>+GETPIVOTDATA(" Old Asc. avg",'Averages Pivot Table'!$A$3,"State","TX","Category2","Technical")</f>
        <v>0</v>
      </c>
      <c r="E506" s="118">
        <f t="shared" si="82"/>
        <v>0</v>
      </c>
      <c r="F506" s="563">
        <f>+GETPIVOTDATA(" Old Ast. avg",'Averages Pivot Table'!$A$3,"State","TX","Category2","Technical")</f>
        <v>0</v>
      </c>
      <c r="G506" s="118">
        <f t="shared" si="77"/>
        <v>0</v>
      </c>
      <c r="H506" s="563">
        <f>+GETPIVOTDATA(" Old Inst. avg",'Averages Pivot Table'!$A$3,"State","TX","Category2","Technical")</f>
        <v>0</v>
      </c>
      <c r="I506" s="118">
        <f t="shared" si="78"/>
        <v>0</v>
      </c>
      <c r="J506" s="563">
        <f>+GETPIVOTDATA(" Old Undesg. avg",'Averages Pivot Table'!$A$3,"State","TX","Category2","Technical")</f>
        <v>0</v>
      </c>
      <c r="K506" s="118">
        <f t="shared" si="79"/>
        <v>0</v>
      </c>
      <c r="L506" s="563">
        <f>+GETPIVOTDATA(" Old Single Rnk avg",'Averages Pivot Table'!$A$3,"State","TX","Category2","Technical")</f>
        <v>0</v>
      </c>
      <c r="M506" s="118">
        <f t="shared" si="80"/>
        <v>0</v>
      </c>
      <c r="N506" s="126">
        <f>+GETPIVOTDATA(" Old All Ranks avg",'Averages Pivot Table'!$A$3,"State","TX","Category2","Technical")</f>
        <v>0</v>
      </c>
      <c r="O506" s="118">
        <f t="shared" si="81"/>
        <v>0</v>
      </c>
    </row>
    <row r="507" spans="1:15" ht="12.95" customHeight="1" x14ac:dyDescent="0.25">
      <c r="A507" s="132" t="s">
        <v>218</v>
      </c>
      <c r="B507" s="563">
        <f>+GETPIVOTDATA(" Old Prof avg",'Averages Pivot Table'!$A$3,"State","VA","Category2","Technical")</f>
        <v>0</v>
      </c>
      <c r="C507" s="118">
        <f t="shared" si="82"/>
        <v>0</v>
      </c>
      <c r="D507" s="563">
        <f>+GETPIVOTDATA(" Old Asc. avg",'Averages Pivot Table'!$A$3,"State","VA","Category2","Technical")</f>
        <v>0</v>
      </c>
      <c r="E507" s="118">
        <f t="shared" si="82"/>
        <v>0</v>
      </c>
      <c r="F507" s="563">
        <f>+GETPIVOTDATA(" Old Ast. avg",'Averages Pivot Table'!$A$3,"State","VA","Category2","Technical")</f>
        <v>0</v>
      </c>
      <c r="G507" s="118">
        <f t="shared" si="77"/>
        <v>0</v>
      </c>
      <c r="H507" s="563">
        <f>+GETPIVOTDATA(" Old Inst. avg",'Averages Pivot Table'!$A$3,"State","VA","Category2","Technical")</f>
        <v>0</v>
      </c>
      <c r="I507" s="118">
        <f t="shared" si="78"/>
        <v>0</v>
      </c>
      <c r="J507" s="563">
        <f>+GETPIVOTDATA(" Old Inst. avg",'Averages Pivot Table'!$A$3,"State","VA","Category2","Technical")</f>
        <v>0</v>
      </c>
      <c r="K507" s="118">
        <f t="shared" si="79"/>
        <v>0</v>
      </c>
      <c r="L507" s="563">
        <f>+GETPIVOTDATA(" Old Single Rnk avg",'Averages Pivot Table'!$A$3,"State","VA","Category2","Technical")</f>
        <v>0</v>
      </c>
      <c r="M507" s="118">
        <f t="shared" si="80"/>
        <v>0</v>
      </c>
      <c r="N507" s="126">
        <f>+GETPIVOTDATA(" Old All Ranks avg",'Averages Pivot Table'!$A$3,"State","VA","Category2","Technical")</f>
        <v>0</v>
      </c>
      <c r="O507" s="118">
        <f t="shared" si="81"/>
        <v>0</v>
      </c>
    </row>
    <row r="508" spans="1:15" ht="12.95" customHeight="1" x14ac:dyDescent="0.25">
      <c r="A508" s="6" t="s">
        <v>219</v>
      </c>
      <c r="B508" s="566">
        <f>+GETPIVOTDATA(" Old Prof avg",'Averages Pivot Table'!$A$3,"State","WV","Category2","Technical")</f>
        <v>0</v>
      </c>
      <c r="C508" s="119">
        <f t="shared" si="82"/>
        <v>0</v>
      </c>
      <c r="D508" s="566">
        <f>+GETPIVOTDATA(" Old Asc. avg",'Averages Pivot Table'!$A$3,"State","WV","Category2","Technical")</f>
        <v>0</v>
      </c>
      <c r="E508" s="119">
        <f t="shared" si="82"/>
        <v>0</v>
      </c>
      <c r="F508" s="566">
        <f>+GETPIVOTDATA(" Old Ast. avg",'Averages Pivot Table'!$A$3,"State","WV","Category2","Technical")</f>
        <v>0</v>
      </c>
      <c r="G508" s="119">
        <f t="shared" si="77"/>
        <v>0</v>
      </c>
      <c r="H508" s="566">
        <f>+GETPIVOTDATA(" Old Inst. avg",'Averages Pivot Table'!$A$3,"State","WV","Category2","Technical")</f>
        <v>0</v>
      </c>
      <c r="I508" s="119">
        <f t="shared" si="78"/>
        <v>0</v>
      </c>
      <c r="J508" s="566">
        <f>+GETPIVOTDATA(" Old Undesg. avg",'Averages Pivot Table'!$A$3,"State","WV","Category2","Technical")</f>
        <v>0</v>
      </c>
      <c r="K508" s="119">
        <f t="shared" si="79"/>
        <v>0</v>
      </c>
      <c r="L508" s="566">
        <f>+GETPIVOTDATA(" Old Single Rnk avg",'Averages Pivot Table'!$A$3,"State","WV","Category2","Technical")</f>
        <v>0</v>
      </c>
      <c r="M508" s="119">
        <f t="shared" si="80"/>
        <v>0</v>
      </c>
      <c r="N508" s="566">
        <f>+GETPIVOTDATA(" Old All Ranks avg",'Averages Pivot Table'!$A$3,"State","WV","Category2","Technical")</f>
        <v>0</v>
      </c>
      <c r="O508" s="119">
        <f t="shared" si="81"/>
        <v>0</v>
      </c>
    </row>
    <row r="509" spans="1:15" ht="30" customHeight="1" x14ac:dyDescent="0.25">
      <c r="A509" s="679" t="s">
        <v>91</v>
      </c>
      <c r="B509" s="679"/>
      <c r="C509" s="679"/>
      <c r="D509" s="679"/>
      <c r="E509" s="679"/>
      <c r="F509" s="679"/>
      <c r="G509" s="679"/>
      <c r="H509" s="679"/>
      <c r="I509" s="679"/>
      <c r="J509" s="679"/>
      <c r="K509" s="679"/>
      <c r="L509" s="679"/>
      <c r="M509" s="679"/>
      <c r="N509" s="679"/>
      <c r="O509" s="679"/>
    </row>
    <row r="510" spans="1:15" x14ac:dyDescent="0.25">
      <c r="O510" s="157" t="s">
        <v>1083</v>
      </c>
    </row>
    <row r="511" spans="1:15" ht="18" x14ac:dyDescent="0.25">
      <c r="A511" s="544" t="s">
        <v>276</v>
      </c>
      <c r="B511" s="544"/>
      <c r="C511" s="544"/>
      <c r="D511" s="544"/>
      <c r="E511" s="544"/>
      <c r="F511" s="544"/>
      <c r="G511" s="544"/>
      <c r="H511" s="544"/>
      <c r="I511" s="544"/>
      <c r="J511" s="544"/>
      <c r="K511" s="544"/>
      <c r="L511" s="544"/>
      <c r="M511" s="544"/>
      <c r="N511" s="544"/>
      <c r="O511" s="544"/>
    </row>
    <row r="512" spans="1:15" x14ac:dyDescent="0.25">
      <c r="A512" s="588"/>
      <c r="B512" s="93"/>
      <c r="C512" s="93"/>
      <c r="D512" s="93"/>
      <c r="E512" s="93"/>
      <c r="F512" s="93"/>
      <c r="G512" s="93"/>
      <c r="H512" s="93"/>
      <c r="I512" s="93"/>
      <c r="J512" s="93"/>
      <c r="K512" s="93"/>
      <c r="L512" s="93"/>
      <c r="M512" s="93"/>
      <c r="N512" s="93"/>
      <c r="O512" s="93"/>
    </row>
    <row r="513" spans="1:19" x14ac:dyDescent="0.25">
      <c r="A513" s="665" t="s">
        <v>220</v>
      </c>
      <c r="B513" s="665"/>
      <c r="C513" s="665"/>
      <c r="D513" s="665"/>
      <c r="E513" s="665"/>
      <c r="F513" s="665"/>
      <c r="G513" s="665"/>
      <c r="H513" s="665"/>
      <c r="I513" s="665"/>
      <c r="J513" s="665"/>
      <c r="K513" s="665"/>
      <c r="L513" s="665"/>
      <c r="M513" s="665"/>
      <c r="N513" s="665"/>
      <c r="O513" s="665"/>
    </row>
    <row r="514" spans="1:19" x14ac:dyDescent="0.25">
      <c r="A514" s="665" t="s">
        <v>304</v>
      </c>
      <c r="B514" s="665"/>
      <c r="C514" s="665"/>
      <c r="D514" s="665"/>
      <c r="E514" s="665"/>
      <c r="F514" s="665"/>
      <c r="G514" s="665"/>
      <c r="H514" s="665"/>
      <c r="I514" s="665"/>
      <c r="J514" s="665"/>
      <c r="K514" s="665"/>
      <c r="L514" s="665"/>
      <c r="M514" s="665"/>
      <c r="N514" s="665"/>
      <c r="O514" s="665"/>
    </row>
    <row r="515" spans="1:19" x14ac:dyDescent="0.25">
      <c r="A515" s="132"/>
      <c r="B515" s="93"/>
      <c r="C515" s="93"/>
      <c r="D515" s="93"/>
      <c r="E515" s="93"/>
      <c r="F515" s="93"/>
      <c r="G515" s="93"/>
      <c r="H515" s="93"/>
      <c r="I515" s="93"/>
      <c r="J515" s="93"/>
      <c r="K515" s="93"/>
      <c r="L515" s="93"/>
      <c r="M515" s="93"/>
      <c r="N515" s="93"/>
      <c r="O515" s="93"/>
    </row>
    <row r="516" spans="1:19" ht="31.5" customHeight="1" x14ac:dyDescent="0.25">
      <c r="A516" s="547"/>
      <c r="B516" s="589" t="s">
        <v>99</v>
      </c>
      <c r="C516" s="142"/>
      <c r="D516" s="590" t="s">
        <v>100</v>
      </c>
      <c r="E516" s="591"/>
      <c r="F516" s="590" t="s">
        <v>101</v>
      </c>
      <c r="G516" s="591"/>
      <c r="H516" s="589" t="s">
        <v>102</v>
      </c>
      <c r="I516" s="142"/>
      <c r="J516" s="590" t="s">
        <v>226</v>
      </c>
      <c r="K516" s="591"/>
      <c r="L516" s="142" t="s">
        <v>82</v>
      </c>
      <c r="M516" s="142"/>
      <c r="N516" s="142" t="s">
        <v>84</v>
      </c>
      <c r="O516" s="142"/>
    </row>
    <row r="517" spans="1:19" x14ac:dyDescent="0.25">
      <c r="A517" s="597"/>
      <c r="B517" s="115" t="s">
        <v>103</v>
      </c>
      <c r="C517" s="143" t="s">
        <v>193</v>
      </c>
      <c r="D517" s="115" t="s">
        <v>103</v>
      </c>
      <c r="E517" s="143" t="s">
        <v>193</v>
      </c>
      <c r="F517" s="115" t="s">
        <v>103</v>
      </c>
      <c r="G517" s="143" t="s">
        <v>193</v>
      </c>
      <c r="H517" s="115" t="s">
        <v>103</v>
      </c>
      <c r="I517" s="143" t="s">
        <v>193</v>
      </c>
      <c r="J517" s="115" t="s">
        <v>103</v>
      </c>
      <c r="K517" s="143" t="s">
        <v>193</v>
      </c>
      <c r="L517" s="115" t="s">
        <v>103</v>
      </c>
      <c r="M517" s="143" t="s">
        <v>193</v>
      </c>
      <c r="N517" s="115" t="s">
        <v>103</v>
      </c>
      <c r="O517" s="143" t="s">
        <v>193</v>
      </c>
    </row>
    <row r="518" spans="1:19" s="556" customFormat="1" ht="18" customHeight="1" x14ac:dyDescent="0.25">
      <c r="A518" s="554" t="s">
        <v>222</v>
      </c>
      <c r="B518" s="146">
        <f>+GETPIVOTDATA(" Old Prof avg",'Averages Pivot Table'!$A$3,"Category",12,"Category2","Technical")</f>
        <v>61578.059739999997</v>
      </c>
      <c r="C518" s="146"/>
      <c r="D518" s="146">
        <f>+GETPIVOTDATA(" Old Asc. avg",'Averages Pivot Table'!$A$3,"Category",12,"Category2","Technical")</f>
        <v>49410.908539999997</v>
      </c>
      <c r="E518" s="146"/>
      <c r="F518" s="146">
        <f>+GETPIVOTDATA(" Old Ast. avg",'Averages Pivot Table'!$A$3,"Category",12,"Category2","Technical")</f>
        <v>44476.730100000001</v>
      </c>
      <c r="G518" s="146"/>
      <c r="H518" s="146">
        <f>+GETPIVOTDATA(" Old Inst. avg",'Averages Pivot Table'!$A$3,"Category",12,"Category2","Technical")</f>
        <v>38135.524593220347</v>
      </c>
      <c r="I518" s="146"/>
      <c r="J518" s="146">
        <f>+GETPIVOTDATA(" Old Undesg. avg",'Averages Pivot Table'!$A$3,"Category",12,"Category2","Technical")</f>
        <v>26200</v>
      </c>
      <c r="K518" s="146"/>
      <c r="L518" s="146">
        <f>+GETPIVOTDATA(" Old Single Rnk avg",'Averages Pivot Table'!$A$3,"Category",12,"Category2","Technical")</f>
        <v>45905.339499166046</v>
      </c>
      <c r="M518" s="146"/>
      <c r="N518" s="146">
        <f>+GETPIVOTDATA(" Old All Ranks avg",'Averages Pivot Table'!$A$3,"Category",12,"Category2","Technical")</f>
        <v>45634.120808564425</v>
      </c>
      <c r="O518" s="133"/>
      <c r="Q518" s="558"/>
      <c r="R518" s="558"/>
      <c r="S518" s="558"/>
    </row>
    <row r="519" spans="1:19" ht="12.95" customHeight="1" x14ac:dyDescent="0.25">
      <c r="A519" s="132"/>
      <c r="B519" s="123"/>
      <c r="C519" s="150"/>
      <c r="D519" s="123"/>
      <c r="E519" s="150"/>
      <c r="F519" s="123"/>
      <c r="G519" s="150"/>
      <c r="H519" s="123"/>
      <c r="I519" s="150"/>
      <c r="J519" s="123"/>
      <c r="K519" s="150"/>
      <c r="L519" s="123"/>
      <c r="M519" s="150"/>
      <c r="N519" s="123"/>
      <c r="O519" s="134"/>
    </row>
    <row r="520" spans="1:19" ht="12.95" customHeight="1" x14ac:dyDescent="0.25">
      <c r="A520" s="132" t="s">
        <v>205</v>
      </c>
      <c r="B520" s="126">
        <f>+GETPIVOTDATA(" Old Prof avg",'Averages Pivot Table'!$A$3,"State","AL","Category",12,"Category2","Technical")</f>
        <v>0</v>
      </c>
      <c r="C520" s="118">
        <f>IF(B520&gt;0,(RANK(B520,B$520:B$538)),0)</f>
        <v>0</v>
      </c>
      <c r="D520" s="126">
        <f>+GETPIVOTDATA(" Old Asc. avg",'Averages Pivot Table'!$A$3,"State","AL","Category",12,"Category2","Technical")</f>
        <v>0</v>
      </c>
      <c r="E520" s="118">
        <f>IF(D520&gt;0,(RANK(D520,D$520:D$538)),0)</f>
        <v>0</v>
      </c>
      <c r="F520" s="126">
        <f>+GETPIVOTDATA(" Old Ast. avg",'Averages Pivot Table'!$A$3,"State","AL","Category",12,"Category2","Technical")</f>
        <v>0</v>
      </c>
      <c r="G520" s="118">
        <f t="shared" ref="G520:G538" si="83">IF(F520&gt;0,(RANK(F520,F$520:F$538)),0)</f>
        <v>0</v>
      </c>
      <c r="H520" s="126">
        <f>+GETPIVOTDATA(" Old Inst. avg",'Averages Pivot Table'!$A$3,"State","AL","Category",12,"Category2","Technical")</f>
        <v>0</v>
      </c>
      <c r="I520" s="118">
        <f t="shared" ref="I520:I538" si="84">IF(H520&gt;0,(RANK(H520,H$520:H$538)),0)</f>
        <v>0</v>
      </c>
      <c r="J520" s="126">
        <f>+GETPIVOTDATA(" Old Undesg. avg",'Averages Pivot Table'!$A$3,"State","AL","Category",12,"Category2","Technical")</f>
        <v>0</v>
      </c>
      <c r="K520" s="118">
        <f t="shared" ref="K520:K538" si="85">IF(J520&gt;0,(RANK(J520,J$520:J$538)),0)</f>
        <v>0</v>
      </c>
      <c r="L520" s="126">
        <f>+GETPIVOTDATA(" Old Single Rnk avg",'Averages Pivot Table'!$A$3,"State","AL","Category",12,"Category2","Technical")</f>
        <v>54504.933505263158</v>
      </c>
      <c r="M520" s="118">
        <f t="shared" ref="M520:M538" si="86">IF(L520&gt;0,(RANK(L520,L$520:L$538)),0)</f>
        <v>1</v>
      </c>
      <c r="N520" s="126">
        <f>+GETPIVOTDATA(" Old All Ranks avg",'Averages Pivot Table'!$A$3,"State","AL","Category",12,"Category2","Technical")</f>
        <v>54504.933505263158</v>
      </c>
      <c r="O520" s="118">
        <f t="shared" ref="O520:O538" si="87">IF(N520&gt;0,(RANK(N520,N$520:N$538)),0)</f>
        <v>1</v>
      </c>
    </row>
    <row r="521" spans="1:19" ht="12.95" customHeight="1" x14ac:dyDescent="0.25">
      <c r="A521" s="132" t="s">
        <v>206</v>
      </c>
      <c r="B521" s="126">
        <f>+GETPIVOTDATA(" Old Prof avg",'Averages Pivot Table'!$A$3,"State","AR","Category",12,"Category2","Technical")</f>
        <v>0</v>
      </c>
      <c r="C521" s="118">
        <f t="shared" ref="C521:E538" si="88">IF(B521&gt;0,(RANK(B521,B$520:B$538)),0)</f>
        <v>0</v>
      </c>
      <c r="D521" s="126">
        <f>+GETPIVOTDATA(" Old Asc. avg",'Averages Pivot Table'!$A$3,"State","AR","Category",12,"Category2","Technical")</f>
        <v>0</v>
      </c>
      <c r="E521" s="118">
        <f t="shared" si="88"/>
        <v>0</v>
      </c>
      <c r="F521" s="126">
        <f>+GETPIVOTDATA(" Old Ast. avg",'Averages Pivot Table'!$A$3,"State","AR","Category",12,"Category2","Technical")</f>
        <v>0</v>
      </c>
      <c r="G521" s="118">
        <f t="shared" si="83"/>
        <v>0</v>
      </c>
      <c r="H521" s="126">
        <f>+GETPIVOTDATA(" Old Inst. avg",'Averages Pivot Table'!$A$3,"State","AR","Category",12,"Category2","Technical")</f>
        <v>0</v>
      </c>
      <c r="I521" s="118">
        <f t="shared" si="84"/>
        <v>0</v>
      </c>
      <c r="J521" s="126">
        <f>+GETPIVOTDATA(" Old Undesg. avg",'Averages Pivot Table'!$A$3,"State","AR","Category",12,"Category2","Technical")</f>
        <v>0</v>
      </c>
      <c r="K521" s="118">
        <f t="shared" si="85"/>
        <v>0</v>
      </c>
      <c r="L521" s="126">
        <f>+GETPIVOTDATA(" Old Single Rnk avg",'Averages Pivot Table'!$A$3,"State","AR","Category",12,"Category2","Technical")</f>
        <v>0</v>
      </c>
      <c r="M521" s="118">
        <f t="shared" si="86"/>
        <v>0</v>
      </c>
      <c r="N521" s="126">
        <f>+GETPIVOTDATA(" Old All Ranks avg",'Averages Pivot Table'!$A$3,"State","AR","Category",12,"Category2","Technical")</f>
        <v>0</v>
      </c>
      <c r="O521" s="118">
        <f t="shared" si="87"/>
        <v>0</v>
      </c>
    </row>
    <row r="522" spans="1:19" ht="12.95" customHeight="1" x14ac:dyDescent="0.25">
      <c r="A522" s="132" t="s">
        <v>221</v>
      </c>
      <c r="B522" s="126">
        <f>+GETPIVOTDATA(" Old Prof avg",'Averages Pivot Table'!$A$3,"State","DE","Category",12,"Category2","Technical")</f>
        <v>0</v>
      </c>
      <c r="C522" s="118">
        <f t="shared" si="88"/>
        <v>0</v>
      </c>
      <c r="D522" s="126">
        <f>+GETPIVOTDATA(" Old Asc. avg",'Averages Pivot Table'!$A$3,"State","DE","Category",12,"Category2","Technical")</f>
        <v>0</v>
      </c>
      <c r="E522" s="118">
        <f t="shared" si="88"/>
        <v>0</v>
      </c>
      <c r="F522" s="126">
        <f>+GETPIVOTDATA(" Old Ast. avg",'Averages Pivot Table'!$A$3,"State","DE","Category",12,"Category2","Technical")</f>
        <v>0</v>
      </c>
      <c r="G522" s="118">
        <f t="shared" si="83"/>
        <v>0</v>
      </c>
      <c r="H522" s="126">
        <f>+GETPIVOTDATA(" Old Inst. avg",'Averages Pivot Table'!$A$3,"State","DE","Category",12,"Category2","Technical")</f>
        <v>0</v>
      </c>
      <c r="I522" s="118">
        <f t="shared" si="84"/>
        <v>0</v>
      </c>
      <c r="J522" s="126">
        <f>+GETPIVOTDATA(" Old Undesg. avg",'Averages Pivot Table'!$A$3,"State","DE","Category",12,"Category2","Technical")</f>
        <v>0</v>
      </c>
      <c r="K522" s="118">
        <f t="shared" si="85"/>
        <v>0</v>
      </c>
      <c r="L522" s="126">
        <f>+GETPIVOTDATA(" Old Single Rnk avg",'Averages Pivot Table'!$A$3,"State","DE","Category",12,"Category2","Technical")</f>
        <v>0</v>
      </c>
      <c r="M522" s="118">
        <f t="shared" si="86"/>
        <v>0</v>
      </c>
      <c r="N522" s="126">
        <f>+GETPIVOTDATA(" Old All Ranks avg",'Averages Pivot Table'!$A$3,"State","DE","Category",12,"Category2","Technical")</f>
        <v>0</v>
      </c>
      <c r="O522" s="118">
        <f t="shared" si="87"/>
        <v>0</v>
      </c>
    </row>
    <row r="523" spans="1:19" ht="12.95" customHeight="1" x14ac:dyDescent="0.25">
      <c r="A523" s="132" t="s">
        <v>207</v>
      </c>
      <c r="B523" s="126">
        <f>+GETPIVOTDATA(" Old Prof avg",'Averages Pivot Table'!$A$3,"State","FL","Category",12,"Category2","Technical")</f>
        <v>0</v>
      </c>
      <c r="C523" s="118">
        <f t="shared" si="88"/>
        <v>0</v>
      </c>
      <c r="D523" s="126">
        <f>+GETPIVOTDATA(" Old Asc. avg",'Averages Pivot Table'!$A$3,"State","FL","Category",12,"Category2","Technical")</f>
        <v>0</v>
      </c>
      <c r="E523" s="118">
        <f t="shared" si="88"/>
        <v>0</v>
      </c>
      <c r="F523" s="126">
        <f>+GETPIVOTDATA(" Old Ast. avg",'Averages Pivot Table'!$A$3,"State","FL","Category",12,"Category2","Technical")</f>
        <v>0</v>
      </c>
      <c r="G523" s="118">
        <f t="shared" si="83"/>
        <v>0</v>
      </c>
      <c r="H523" s="126">
        <f>+GETPIVOTDATA(" Old Inst. avg",'Averages Pivot Table'!$A$3,"State","FL","Category",12,"Category2","Technical")</f>
        <v>0</v>
      </c>
      <c r="I523" s="118">
        <f t="shared" si="84"/>
        <v>0</v>
      </c>
      <c r="J523" s="126">
        <f>+GETPIVOTDATA(" Old Undesg. avg",'Averages Pivot Table'!$A$3,"State","FL","Category",12,"Category2","Technical")</f>
        <v>0</v>
      </c>
      <c r="K523" s="118">
        <f t="shared" si="85"/>
        <v>0</v>
      </c>
      <c r="L523" s="126">
        <f>+GETPIVOTDATA(" Old Single Rnk avg",'Averages Pivot Table'!$A$3,"State","FL","Category",12,"Category2","Technical")</f>
        <v>0</v>
      </c>
      <c r="M523" s="118">
        <f t="shared" si="86"/>
        <v>0</v>
      </c>
      <c r="N523" s="126">
        <f>+GETPIVOTDATA(" Old All Ranks avg",'Averages Pivot Table'!$A$3,"State","FL","Category",12,"Category2","Technical")</f>
        <v>0</v>
      </c>
      <c r="O523" s="118">
        <f t="shared" si="87"/>
        <v>0</v>
      </c>
    </row>
    <row r="524" spans="1:19" ht="12.95" customHeight="1" x14ac:dyDescent="0.25">
      <c r="A524" s="132"/>
      <c r="B524" s="126"/>
      <c r="C524" s="118">
        <f t="shared" si="88"/>
        <v>0</v>
      </c>
      <c r="D524" s="126"/>
      <c r="E524" s="118">
        <f t="shared" si="88"/>
        <v>0</v>
      </c>
      <c r="F524" s="126"/>
      <c r="G524" s="118">
        <f t="shared" si="83"/>
        <v>0</v>
      </c>
      <c r="H524" s="126"/>
      <c r="I524" s="118">
        <f t="shared" si="84"/>
        <v>0</v>
      </c>
      <c r="J524" s="126"/>
      <c r="K524" s="118">
        <f t="shared" si="85"/>
        <v>0</v>
      </c>
      <c r="L524" s="126"/>
      <c r="M524" s="118">
        <f t="shared" si="86"/>
        <v>0</v>
      </c>
      <c r="N524" s="126"/>
      <c r="O524" s="118">
        <f t="shared" si="87"/>
        <v>0</v>
      </c>
    </row>
    <row r="525" spans="1:19" ht="12.95" customHeight="1" x14ac:dyDescent="0.25">
      <c r="A525" s="132" t="s">
        <v>208</v>
      </c>
      <c r="B525" s="126">
        <f>+GETPIVOTDATA(" Old Prof avg",'Averages Pivot Table'!$A$3,"State","GA","Category",12,"Category2","Technical")</f>
        <v>0</v>
      </c>
      <c r="C525" s="118">
        <f t="shared" si="88"/>
        <v>0</v>
      </c>
      <c r="D525" s="126">
        <f>+GETPIVOTDATA(" Old Asc. avg",'Averages Pivot Table'!$A$3,"State","GA","Category",12,"Category2","Technical")</f>
        <v>0</v>
      </c>
      <c r="E525" s="118">
        <f t="shared" si="88"/>
        <v>0</v>
      </c>
      <c r="F525" s="126">
        <f>+GETPIVOTDATA(" Old Ast. avg",'Averages Pivot Table'!$A$3,"State","GA","Category",12,"Category2","Technical")</f>
        <v>0</v>
      </c>
      <c r="G525" s="118">
        <f t="shared" si="83"/>
        <v>0</v>
      </c>
      <c r="H525" s="126">
        <f>+GETPIVOTDATA(" Old Inst. avg",'Averages Pivot Table'!$A$3,"State","GA","Category",12,"Category2","Technical")</f>
        <v>0</v>
      </c>
      <c r="I525" s="118">
        <f t="shared" si="84"/>
        <v>0</v>
      </c>
      <c r="J525" s="126">
        <f>+GETPIVOTDATA(" Old Undesg. avg",'Averages Pivot Table'!$A$3,"State","GA","Category",12,"Category2","Technical")</f>
        <v>0</v>
      </c>
      <c r="K525" s="118">
        <f t="shared" si="85"/>
        <v>0</v>
      </c>
      <c r="L525" s="126">
        <f>+GETPIVOTDATA(" Old Single Rnk avg",'Averages Pivot Table'!$A$3,"State","GA","Category",12,"Category2","Technical")</f>
        <v>45023.665847234435</v>
      </c>
      <c r="M525" s="118">
        <f t="shared" si="86"/>
        <v>3</v>
      </c>
      <c r="N525" s="126">
        <f>+GETPIVOTDATA(" Old All Ranks avg",'Averages Pivot Table'!$A$3,"State","GA","Category",12,"Category2","Technical")</f>
        <v>45023.665847234435</v>
      </c>
      <c r="O525" s="118">
        <f t="shared" si="87"/>
        <v>3</v>
      </c>
    </row>
    <row r="526" spans="1:19" ht="12.95" customHeight="1" x14ac:dyDescent="0.25">
      <c r="A526" s="132" t="s">
        <v>209</v>
      </c>
      <c r="B526" s="126">
        <f>+GETPIVOTDATA(" Old Prof avg",'Averages Pivot Table'!$A$3,"State","KY","Category",12,"Category2","Technical")</f>
        <v>61578.059739999997</v>
      </c>
      <c r="C526" s="118">
        <f t="shared" si="88"/>
        <v>1</v>
      </c>
      <c r="D526" s="126">
        <f>+GETPIVOTDATA(" Old Asc. avg",'Averages Pivot Table'!$A$3,"State","KY","Category",12,"Category2","Technical")</f>
        <v>49410.908539999997</v>
      </c>
      <c r="E526" s="118">
        <f t="shared" si="88"/>
        <v>1</v>
      </c>
      <c r="F526" s="126">
        <f>+GETPIVOTDATA(" Old Ast. avg",'Averages Pivot Table'!$A$3,"State","KY","Category",12,"Category2","Technical")</f>
        <v>44244.25603783784</v>
      </c>
      <c r="G526" s="118">
        <f t="shared" si="83"/>
        <v>2</v>
      </c>
      <c r="H526" s="126">
        <f>+GETPIVOTDATA(" Old Inst. avg",'Averages Pivot Table'!$A$3,"State","KY","Category",12,"Category2","Technical")</f>
        <v>38518.710143661971</v>
      </c>
      <c r="I526" s="118">
        <f t="shared" si="84"/>
        <v>1</v>
      </c>
      <c r="J526" s="126">
        <f>+GETPIVOTDATA(" Old Undesg. avg",'Averages Pivot Table'!$A$3,"State","KY","Category",12,"Category2","Technical")</f>
        <v>0</v>
      </c>
      <c r="K526" s="118">
        <f t="shared" si="85"/>
        <v>0</v>
      </c>
      <c r="L526" s="126">
        <f>+GETPIVOTDATA(" Old Single Rnk avg",'Averages Pivot Table'!$A$3,"State","KY","Category",12,"Category2","Technical")</f>
        <v>0</v>
      </c>
      <c r="M526" s="118">
        <f t="shared" si="86"/>
        <v>0</v>
      </c>
      <c r="N526" s="126">
        <f>+GETPIVOTDATA(" Old All Ranks avg",'Averages Pivot Table'!$A$3,"State","KY","Category",12,"Category2","Technical")</f>
        <v>44076.473624050632</v>
      </c>
      <c r="O526" s="118">
        <f t="shared" si="87"/>
        <v>4</v>
      </c>
    </row>
    <row r="527" spans="1:19" ht="12.95" customHeight="1" x14ac:dyDescent="0.25">
      <c r="A527" s="132" t="s">
        <v>210</v>
      </c>
      <c r="B527" s="126">
        <f>+GETPIVOTDATA(" Old Prof avg",'Averages Pivot Table'!$A$3,"State","LA","Category",12,"Category2","Technical")</f>
        <v>0</v>
      </c>
      <c r="C527" s="118">
        <f t="shared" si="88"/>
        <v>0</v>
      </c>
      <c r="D527" s="126">
        <f>+GETPIVOTDATA(" Old Asc. avg",'Averages Pivot Table'!$A$3,"State","LA","Category",12,"Category2","Technical")</f>
        <v>0</v>
      </c>
      <c r="E527" s="118">
        <f t="shared" si="88"/>
        <v>0</v>
      </c>
      <c r="F527" s="126">
        <f>+GETPIVOTDATA(" Old Ast. avg",'Averages Pivot Table'!$A$3,"State","LA","Category",12,"Category2","Technical")</f>
        <v>53078.270400000001</v>
      </c>
      <c r="G527" s="118">
        <f t="shared" si="83"/>
        <v>1</v>
      </c>
      <c r="H527" s="126">
        <f>+GETPIVOTDATA(" Old Inst. avg",'Averages Pivot Table'!$A$3,"State","LA","Category",12,"Category2","Technical")</f>
        <v>37556.669825531921</v>
      </c>
      <c r="I527" s="118">
        <f t="shared" si="84"/>
        <v>2</v>
      </c>
      <c r="J527" s="126">
        <f>+GETPIVOTDATA(" Old Undesg. avg",'Averages Pivot Table'!$A$3,"State","LA","Category",12,"Category2","Technical")</f>
        <v>26200</v>
      </c>
      <c r="K527" s="118">
        <f t="shared" si="85"/>
        <v>1</v>
      </c>
      <c r="L527" s="126">
        <f>+GETPIVOTDATA(" Old Single Rnk avg",'Averages Pivot Table'!$A$3,"State","LA","Category",12,"Category2","Technical")</f>
        <v>40903.802615151515</v>
      </c>
      <c r="M527" s="118">
        <f t="shared" si="86"/>
        <v>4</v>
      </c>
      <c r="N527" s="126">
        <f>+GETPIVOTDATA(" Old All Ranks avg",'Averages Pivot Table'!$A$3,"State","LA","Category",12,"Category2","Technical")</f>
        <v>39066.325418487395</v>
      </c>
      <c r="O527" s="118">
        <f t="shared" si="87"/>
        <v>5</v>
      </c>
    </row>
    <row r="528" spans="1:19" ht="12.95" customHeight="1" x14ac:dyDescent="0.25">
      <c r="A528" s="132" t="s">
        <v>211</v>
      </c>
      <c r="B528" s="126">
        <f>+GETPIVOTDATA(" Old Prof avg",'Averages Pivot Table'!$A$3,"State","MD","Category",12,"Category2","Technical")</f>
        <v>0</v>
      </c>
      <c r="C528" s="118">
        <f t="shared" si="88"/>
        <v>0</v>
      </c>
      <c r="D528" s="126">
        <f>+GETPIVOTDATA(" Old Asc. avg",'Averages Pivot Table'!$A$3,"State","MD","Category",12,"Category2","Technical")</f>
        <v>0</v>
      </c>
      <c r="E528" s="118">
        <f t="shared" si="88"/>
        <v>0</v>
      </c>
      <c r="F528" s="126">
        <f>+GETPIVOTDATA(" Old Ast. avg",'Averages Pivot Table'!$A$3,"State","MD","Category",12,"Category2","Technical")</f>
        <v>0</v>
      </c>
      <c r="G528" s="118">
        <f t="shared" si="83"/>
        <v>0</v>
      </c>
      <c r="H528" s="126">
        <f>+GETPIVOTDATA(" Old Inst. avg",'Averages Pivot Table'!$A$3,"State","MD","Category",12,"Category2","Technical")</f>
        <v>0</v>
      </c>
      <c r="I528" s="118">
        <f t="shared" si="84"/>
        <v>0</v>
      </c>
      <c r="J528" s="126">
        <f>+GETPIVOTDATA(" Old Undesg. avg",'Averages Pivot Table'!$A$3,"State","MD","Category",12,"Category2","Technical")</f>
        <v>0</v>
      </c>
      <c r="K528" s="118">
        <f t="shared" si="85"/>
        <v>0</v>
      </c>
      <c r="L528" s="126">
        <f>+GETPIVOTDATA(" Old Single Rnk avg",'Averages Pivot Table'!$A$3,"State","MD","Category",12,"Category2","Technical")</f>
        <v>0</v>
      </c>
      <c r="M528" s="118">
        <f t="shared" si="86"/>
        <v>0</v>
      </c>
      <c r="N528" s="126">
        <f>+GETPIVOTDATA(" Old All Ranks avg",'Averages Pivot Table'!$A$3,"State","MD","Category",12,"Category2","Technical")</f>
        <v>0</v>
      </c>
      <c r="O528" s="118">
        <f t="shared" si="87"/>
        <v>0</v>
      </c>
    </row>
    <row r="529" spans="1:15" ht="12.95" customHeight="1" x14ac:dyDescent="0.25">
      <c r="A529" s="132"/>
      <c r="B529" s="126"/>
      <c r="C529" s="118">
        <f t="shared" si="88"/>
        <v>0</v>
      </c>
      <c r="D529" s="126"/>
      <c r="E529" s="118">
        <f t="shared" si="88"/>
        <v>0</v>
      </c>
      <c r="F529" s="126"/>
      <c r="G529" s="118">
        <f t="shared" si="83"/>
        <v>0</v>
      </c>
      <c r="H529" s="126"/>
      <c r="I529" s="118">
        <f t="shared" si="84"/>
        <v>0</v>
      </c>
      <c r="J529" s="126"/>
      <c r="K529" s="118">
        <f t="shared" si="85"/>
        <v>0</v>
      </c>
      <c r="L529" s="126"/>
      <c r="M529" s="118">
        <f t="shared" si="86"/>
        <v>0</v>
      </c>
      <c r="N529" s="126"/>
      <c r="O529" s="118">
        <f t="shared" si="87"/>
        <v>0</v>
      </c>
    </row>
    <row r="530" spans="1:15" ht="12.95" customHeight="1" x14ac:dyDescent="0.25">
      <c r="A530" s="132" t="s">
        <v>212</v>
      </c>
      <c r="B530" s="126">
        <f>+GETPIVOTDATA(" Old Prof avg",'Averages Pivot Table'!$A$3,"State","MS","Category",12,"Category2","Technical")</f>
        <v>0</v>
      </c>
      <c r="C530" s="118">
        <f t="shared" si="88"/>
        <v>0</v>
      </c>
      <c r="D530" s="126">
        <f>+GETPIVOTDATA(" Old Asc. avg",'Averages Pivot Table'!$A$3,"State","MS","Category",12,"Category2","Technical")</f>
        <v>0</v>
      </c>
      <c r="E530" s="118">
        <f t="shared" si="88"/>
        <v>0</v>
      </c>
      <c r="F530" s="126">
        <f>+GETPIVOTDATA(" Old Ast. avg",'Averages Pivot Table'!$A$3,"State","MS","Category",12,"Category2","Technical")</f>
        <v>0</v>
      </c>
      <c r="G530" s="118">
        <f t="shared" si="83"/>
        <v>0</v>
      </c>
      <c r="H530" s="126">
        <f>+GETPIVOTDATA(" Old Inst. avg",'Averages Pivot Table'!$A$3,"State","MS","Category",12,"Category2","Technical")</f>
        <v>0</v>
      </c>
      <c r="I530" s="118">
        <f t="shared" si="84"/>
        <v>0</v>
      </c>
      <c r="J530" s="126">
        <f>+GETPIVOTDATA(" Old Undesg. avg",'Averages Pivot Table'!$A$3,"State","MS","Category",12,"Category2","Technical")</f>
        <v>0</v>
      </c>
      <c r="K530" s="118">
        <f t="shared" si="85"/>
        <v>0</v>
      </c>
      <c r="L530" s="126">
        <f>+GETPIVOTDATA(" Old Single Rnk avg",'Averages Pivot Table'!$A$3,"State","MS","Category",12,"Category2","Technical")</f>
        <v>0</v>
      </c>
      <c r="M530" s="118">
        <f t="shared" si="86"/>
        <v>0</v>
      </c>
      <c r="N530" s="126">
        <f>+GETPIVOTDATA(" Old All Ranks avg",'Averages Pivot Table'!$A$3,"State","MS","Category",12,"Category2","Technical")</f>
        <v>0</v>
      </c>
      <c r="O530" s="118">
        <f t="shared" si="87"/>
        <v>0</v>
      </c>
    </row>
    <row r="531" spans="1:15" ht="12.95" customHeight="1" x14ac:dyDescent="0.25">
      <c r="A531" s="132" t="s">
        <v>213</v>
      </c>
      <c r="B531" s="126">
        <f>+GETPIVOTDATA(" Old Prof avg",'Averages Pivot Table'!$A$3,"State","NC","Category",12,"Category2","Technical")</f>
        <v>0</v>
      </c>
      <c r="C531" s="118">
        <f t="shared" si="88"/>
        <v>0</v>
      </c>
      <c r="D531" s="126">
        <f>+GETPIVOTDATA(" Old Asc. avg",'Averages Pivot Table'!$A$3,"State","NC","Category",12,"Category2","Technical")</f>
        <v>0</v>
      </c>
      <c r="E531" s="118">
        <f t="shared" si="88"/>
        <v>0</v>
      </c>
      <c r="F531" s="126">
        <f>+GETPIVOTDATA(" Old Ast. avg",'Averages Pivot Table'!$A$3,"State","NC","Category",12,"Category2","Technical")</f>
        <v>0</v>
      </c>
      <c r="G531" s="118">
        <f t="shared" si="83"/>
        <v>0</v>
      </c>
      <c r="H531" s="126">
        <f>+GETPIVOTDATA(" Old Inst. avg",'Averages Pivot Table'!$A$3,"State","NC","Category",12,"Category2","Technical")</f>
        <v>0</v>
      </c>
      <c r="I531" s="118">
        <f t="shared" si="84"/>
        <v>0</v>
      </c>
      <c r="J531" s="126">
        <f>+GETPIVOTDATA(" Old Undesg. avg",'Averages Pivot Table'!$A$3,"State","NC","Category",12,"Category2","Technical")</f>
        <v>0</v>
      </c>
      <c r="K531" s="118">
        <f t="shared" si="85"/>
        <v>0</v>
      </c>
      <c r="L531" s="126">
        <f>+GETPIVOTDATA(" Old Single Rnk avg",'Averages Pivot Table'!$A$3,"State","NC","Category",12,"Category2","Technical")</f>
        <v>0</v>
      </c>
      <c r="M531" s="118">
        <f t="shared" si="86"/>
        <v>0</v>
      </c>
      <c r="N531" s="126">
        <f>+GETPIVOTDATA(" Old All Ranks avg",'Averages Pivot Table'!$A$3,"State","NC","Category",12,"Category2","Technical")</f>
        <v>0</v>
      </c>
      <c r="O531" s="118">
        <f t="shared" si="87"/>
        <v>0</v>
      </c>
    </row>
    <row r="532" spans="1:15" ht="12.95" customHeight="1" x14ac:dyDescent="0.25">
      <c r="A532" s="132" t="s">
        <v>214</v>
      </c>
      <c r="B532" s="126">
        <f>+GETPIVOTDATA(" Old Prof avg",'Averages Pivot Table'!$A$3,"State","OK","Category",12,"Category2","Technical")</f>
        <v>0</v>
      </c>
      <c r="C532" s="118">
        <f t="shared" si="88"/>
        <v>0</v>
      </c>
      <c r="D532" s="126">
        <f>+GETPIVOTDATA(" Old Asc. avg",'Averages Pivot Table'!$A$3,"State","OK","Category",12,"Category2","Technical")</f>
        <v>0</v>
      </c>
      <c r="E532" s="118">
        <f t="shared" si="88"/>
        <v>0</v>
      </c>
      <c r="F532" s="126">
        <f>+GETPIVOTDATA(" Old Ast. avg",'Averages Pivot Table'!$A$3,"State","OK","Category",12,"Category2","Technical")</f>
        <v>0</v>
      </c>
      <c r="G532" s="118">
        <f t="shared" si="83"/>
        <v>0</v>
      </c>
      <c r="H532" s="126">
        <f>+GETPIVOTDATA(" Old Inst. avg",'Averages Pivot Table'!$A$3,"State","OK","Category",12,"Category2","Technical")</f>
        <v>0</v>
      </c>
      <c r="I532" s="118">
        <f t="shared" si="84"/>
        <v>0</v>
      </c>
      <c r="J532" s="126">
        <f>+GETPIVOTDATA(" Old Undesg. avg",'Averages Pivot Table'!$A$3,"State","OK","Category",12,"Category2","Technical")</f>
        <v>0</v>
      </c>
      <c r="K532" s="118">
        <f t="shared" si="85"/>
        <v>0</v>
      </c>
      <c r="L532" s="126">
        <f>+GETPIVOTDATA(" Old Single Rnk avg",'Averages Pivot Table'!$A$3,"State","OK","Category",12,"Category2","Technical")</f>
        <v>53634.627888990821</v>
      </c>
      <c r="M532" s="118">
        <f t="shared" si="86"/>
        <v>2</v>
      </c>
      <c r="N532" s="126">
        <f>+GETPIVOTDATA(" Old All Ranks avg",'Averages Pivot Table'!$A$3,"State","OK","Category",12,"Category2","Technical")</f>
        <v>53634.627888990821</v>
      </c>
      <c r="O532" s="118">
        <f t="shared" si="87"/>
        <v>2</v>
      </c>
    </row>
    <row r="533" spans="1:15" ht="12.95" customHeight="1" x14ac:dyDescent="0.25">
      <c r="A533" s="132" t="s">
        <v>215</v>
      </c>
      <c r="B533" s="126">
        <f>+GETPIVOTDATA(" Old Prof avg",'Averages Pivot Table'!$A$3,"State","SC","Category",12,"Category2","Technical")</f>
        <v>0</v>
      </c>
      <c r="C533" s="118">
        <f t="shared" si="88"/>
        <v>0</v>
      </c>
      <c r="D533" s="126">
        <f>+GETPIVOTDATA(" Old Asc. avg",'Averages Pivot Table'!$A$3,"State","SC","Category",12,"Category2","Technical")</f>
        <v>0</v>
      </c>
      <c r="E533" s="118">
        <f t="shared" si="88"/>
        <v>0</v>
      </c>
      <c r="F533" s="126">
        <f>+GETPIVOTDATA(" Old Ast. avg",'Averages Pivot Table'!$A$3,"State","SC","Category",12,"Category2","Technical")</f>
        <v>0</v>
      </c>
      <c r="G533" s="118">
        <f t="shared" si="83"/>
        <v>0</v>
      </c>
      <c r="H533" s="126">
        <f>+GETPIVOTDATA(" Old Inst. avg",'Averages Pivot Table'!$A$3,"State","SC","Category",12,"Category2","Technical")</f>
        <v>0</v>
      </c>
      <c r="I533" s="118">
        <f t="shared" si="84"/>
        <v>0</v>
      </c>
      <c r="J533" s="126">
        <f>+GETPIVOTDATA(" Old Undesg. avg",'Averages Pivot Table'!$A$3,"State","SC","Category",12,"Category2","Technical")</f>
        <v>0</v>
      </c>
      <c r="K533" s="118">
        <f t="shared" si="85"/>
        <v>0</v>
      </c>
      <c r="L533" s="126">
        <f>+GETPIVOTDATA(" Old Single Rnk avg",'Averages Pivot Table'!$A$3,"State","SC","Category",12,"Category2","Technical")</f>
        <v>0</v>
      </c>
      <c r="M533" s="118">
        <f t="shared" si="86"/>
        <v>0</v>
      </c>
      <c r="N533" s="126">
        <f>+GETPIVOTDATA(" Old All Ranks avg",'Averages Pivot Table'!$A$3,"State","SC","Category",12,"Category2","Technical")</f>
        <v>0</v>
      </c>
      <c r="O533" s="118">
        <f t="shared" si="87"/>
        <v>0</v>
      </c>
    </row>
    <row r="534" spans="1:15" ht="12.95" customHeight="1" x14ac:dyDescent="0.25">
      <c r="A534" s="132"/>
      <c r="B534" s="126"/>
      <c r="C534" s="118">
        <f t="shared" si="88"/>
        <v>0</v>
      </c>
      <c r="D534" s="126"/>
      <c r="E534" s="118">
        <f t="shared" si="88"/>
        <v>0</v>
      </c>
      <c r="F534" s="126"/>
      <c r="G534" s="118">
        <f t="shared" si="83"/>
        <v>0</v>
      </c>
      <c r="H534" s="126"/>
      <c r="I534" s="118">
        <f t="shared" si="84"/>
        <v>0</v>
      </c>
      <c r="J534" s="126"/>
      <c r="K534" s="118">
        <f t="shared" si="85"/>
        <v>0</v>
      </c>
      <c r="L534" s="126"/>
      <c r="M534" s="118">
        <f t="shared" si="86"/>
        <v>0</v>
      </c>
      <c r="N534" s="126"/>
      <c r="O534" s="118">
        <f t="shared" si="87"/>
        <v>0</v>
      </c>
    </row>
    <row r="535" spans="1:15" ht="12.95" customHeight="1" x14ac:dyDescent="0.25">
      <c r="A535" s="132" t="s">
        <v>216</v>
      </c>
      <c r="B535" s="563">
        <f>+GETPIVOTDATA(" Old Prof avg",'Averages Pivot Table'!$A$3,"State","TN","Category",12,"Category2","Technical")</f>
        <v>0</v>
      </c>
      <c r="C535" s="118">
        <f t="shared" si="88"/>
        <v>0</v>
      </c>
      <c r="D535" s="563">
        <f>+GETPIVOTDATA(" Old Asc. avg",'Averages Pivot Table'!$A$3,"State","TN","Category",12,"Category2","Technical")</f>
        <v>0</v>
      </c>
      <c r="E535" s="118">
        <f t="shared" si="88"/>
        <v>0</v>
      </c>
      <c r="F535" s="563">
        <f>+GETPIVOTDATA(" Old Ast. avg",'Averages Pivot Table'!$A$3,"State","TN","Category",12,"Category2","Technical")</f>
        <v>0</v>
      </c>
      <c r="G535" s="118">
        <f t="shared" si="83"/>
        <v>0</v>
      </c>
      <c r="H535" s="563">
        <f>+GETPIVOTDATA(" Old Inst. avg",'Averages Pivot Table'!$A$3,"State","TN","Category",12,"Category2","Technical")</f>
        <v>0</v>
      </c>
      <c r="I535" s="118">
        <f t="shared" si="84"/>
        <v>0</v>
      </c>
      <c r="J535" s="563">
        <f>+GETPIVOTDATA(" Old Undesg. avg",'Averages Pivot Table'!$A$3,"State","TN","Category",12,"Category2","Technical")</f>
        <v>0</v>
      </c>
      <c r="K535" s="118">
        <f t="shared" si="85"/>
        <v>0</v>
      </c>
      <c r="L535" s="563">
        <f>+GETPIVOTDATA(" Old Single Rnk avg",'Averages Pivot Table'!$A$3,"State","TN","Category",12,"Category2","Technical")</f>
        <v>0</v>
      </c>
      <c r="M535" s="118">
        <f t="shared" si="86"/>
        <v>0</v>
      </c>
      <c r="N535" s="126">
        <f>+GETPIVOTDATA(" Old All Ranks avg",'Averages Pivot Table'!$A$3,"State","TN","Category",12,"Category2","Technical")</f>
        <v>0</v>
      </c>
      <c r="O535" s="118">
        <f t="shared" si="87"/>
        <v>0</v>
      </c>
    </row>
    <row r="536" spans="1:15" ht="12.95" customHeight="1" x14ac:dyDescent="0.25">
      <c r="A536" s="132" t="s">
        <v>217</v>
      </c>
      <c r="B536" s="563">
        <f>+GETPIVOTDATA(" Old Prof avg",'Averages Pivot Table'!$A$3,"State","TX","Category",12,"Category2","Technical")</f>
        <v>0</v>
      </c>
      <c r="C536" s="118">
        <f t="shared" si="88"/>
        <v>0</v>
      </c>
      <c r="D536" s="563">
        <f>+GETPIVOTDATA(" Old Asc. avg",'Averages Pivot Table'!$A$3,"State","TX","Category",12,"Category2","Technical")</f>
        <v>0</v>
      </c>
      <c r="E536" s="118">
        <f t="shared" si="88"/>
        <v>0</v>
      </c>
      <c r="F536" s="563">
        <f>+GETPIVOTDATA(" Old Ast. avg",'Averages Pivot Table'!$A$3,"State","TX","Category",12,"Category2","Technical")</f>
        <v>0</v>
      </c>
      <c r="G536" s="118">
        <f t="shared" si="83"/>
        <v>0</v>
      </c>
      <c r="H536" s="563">
        <f>+GETPIVOTDATA(" Old Inst. avg",'Averages Pivot Table'!$A$3,"State","TX","Category",12,"Category2","Technical")</f>
        <v>0</v>
      </c>
      <c r="I536" s="118">
        <f t="shared" si="84"/>
        <v>0</v>
      </c>
      <c r="J536" s="563">
        <f>+GETPIVOTDATA(" Old Undesg. avg",'Averages Pivot Table'!$A$3,"State","TX","Category",12,"Category2","Technical")</f>
        <v>0</v>
      </c>
      <c r="K536" s="118">
        <f t="shared" si="85"/>
        <v>0</v>
      </c>
      <c r="L536" s="563">
        <f>+GETPIVOTDATA(" Old Single Rnk avg",'Averages Pivot Table'!$A$3,"State","TX","Category",12,"Category2","Technical")</f>
        <v>0</v>
      </c>
      <c r="M536" s="118">
        <f t="shared" si="86"/>
        <v>0</v>
      </c>
      <c r="N536" s="126">
        <f>+GETPIVOTDATA(" Old All Ranks avg",'Averages Pivot Table'!$A$3,"State","TX","Category",12,"Category2","Technical")</f>
        <v>0</v>
      </c>
      <c r="O536" s="118">
        <f t="shared" si="87"/>
        <v>0</v>
      </c>
    </row>
    <row r="537" spans="1:15" ht="12.95" customHeight="1" x14ac:dyDescent="0.25">
      <c r="A537" s="132" t="s">
        <v>218</v>
      </c>
      <c r="B537" s="563">
        <f>+GETPIVOTDATA(" Old Prof avg",'Averages Pivot Table'!$A$3,"State","VA","Category",12,"Category2","Technical")</f>
        <v>0</v>
      </c>
      <c r="C537" s="118">
        <f t="shared" si="88"/>
        <v>0</v>
      </c>
      <c r="D537" s="563">
        <f>+GETPIVOTDATA(" Old Asc. avg",'Averages Pivot Table'!$A$3,"State","VA","Category",12,"Category2","Technical")</f>
        <v>0</v>
      </c>
      <c r="E537" s="118">
        <f t="shared" si="88"/>
        <v>0</v>
      </c>
      <c r="F537" s="563">
        <f>+GETPIVOTDATA(" Old Ast. avg",'Averages Pivot Table'!$A$3,"State","VA","Category",12,"Category2","Technical")</f>
        <v>0</v>
      </c>
      <c r="G537" s="118">
        <f t="shared" si="83"/>
        <v>0</v>
      </c>
      <c r="H537" s="563">
        <f>+GETPIVOTDATA(" Old Inst. avg",'Averages Pivot Table'!$A$3,"State","VA","Category",12,"Category2","Technical")</f>
        <v>0</v>
      </c>
      <c r="I537" s="118">
        <f t="shared" si="84"/>
        <v>0</v>
      </c>
      <c r="J537" s="563">
        <f>+GETPIVOTDATA(" Old Undesg. avg",'Averages Pivot Table'!$A$3,"State","VA","Category",12,"Category2","Technical")</f>
        <v>0</v>
      </c>
      <c r="K537" s="118">
        <f t="shared" si="85"/>
        <v>0</v>
      </c>
      <c r="L537" s="563">
        <f>+GETPIVOTDATA(" Old Single Rnk avg",'Averages Pivot Table'!$A$3,"State","VA","Category",12,"Category2","Technical")</f>
        <v>0</v>
      </c>
      <c r="M537" s="118">
        <f t="shared" si="86"/>
        <v>0</v>
      </c>
      <c r="N537" s="126">
        <f>+GETPIVOTDATA(" Old All Ranks avg",'Averages Pivot Table'!$A$3,"State","VA","Category",12,"Category2","Technical")</f>
        <v>0</v>
      </c>
      <c r="O537" s="118">
        <f t="shared" si="87"/>
        <v>0</v>
      </c>
    </row>
    <row r="538" spans="1:15" ht="12.95" customHeight="1" x14ac:dyDescent="0.25">
      <c r="A538" s="6" t="s">
        <v>219</v>
      </c>
      <c r="B538" s="566">
        <f>+GETPIVOTDATA(" Old Prof avg",'Averages Pivot Table'!$A$3,"State","WV","Category",12,"Category2","Technical")</f>
        <v>0</v>
      </c>
      <c r="C538" s="119">
        <f t="shared" si="88"/>
        <v>0</v>
      </c>
      <c r="D538" s="566">
        <f>+GETPIVOTDATA(" Old Asc. avg",'Averages Pivot Table'!$A$3,"State","WV","Category",12,"Category2","Technical")</f>
        <v>0</v>
      </c>
      <c r="E538" s="119">
        <f t="shared" si="88"/>
        <v>0</v>
      </c>
      <c r="F538" s="566">
        <f>+GETPIVOTDATA(" Old Ast. avg",'Averages Pivot Table'!$A$3,"State","WV","Category",12,"Category2","Technical")</f>
        <v>0</v>
      </c>
      <c r="G538" s="119">
        <f t="shared" si="83"/>
        <v>0</v>
      </c>
      <c r="H538" s="566">
        <f>+GETPIVOTDATA(" Old Inst. avg",'Averages Pivot Table'!$A$3,"State","WV","Category",12,"Category2","Technical")</f>
        <v>0</v>
      </c>
      <c r="I538" s="119">
        <f t="shared" si="84"/>
        <v>0</v>
      </c>
      <c r="J538" s="566">
        <f>+GETPIVOTDATA(" Old Undesg. avg",'Averages Pivot Table'!$A$3,"State","WV","Category",12,"Category2","Technical")</f>
        <v>0</v>
      </c>
      <c r="K538" s="119">
        <f t="shared" si="85"/>
        <v>0</v>
      </c>
      <c r="L538" s="566">
        <f>+GETPIVOTDATA(" Old Single Rnk avg",'Averages Pivot Table'!$A$3,"State","WV","Category",12,"Category2","Technical")</f>
        <v>0</v>
      </c>
      <c r="M538" s="119">
        <f t="shared" si="86"/>
        <v>0</v>
      </c>
      <c r="N538" s="566">
        <f>+GETPIVOTDATA(" Old All Ranks avg",'Averages Pivot Table'!$A$3,"State","WV","Category",12,"Category2","Technical")</f>
        <v>0</v>
      </c>
      <c r="O538" s="119">
        <f t="shared" si="87"/>
        <v>0</v>
      </c>
    </row>
    <row r="539" spans="1:15" ht="30" customHeight="1" x14ac:dyDescent="0.25">
      <c r="A539" s="679" t="s">
        <v>91</v>
      </c>
      <c r="B539" s="679"/>
      <c r="C539" s="679"/>
      <c r="D539" s="679"/>
      <c r="E539" s="679"/>
      <c r="F539" s="679"/>
      <c r="G539" s="679"/>
      <c r="H539" s="679"/>
      <c r="I539" s="679"/>
      <c r="J539" s="679"/>
      <c r="K539" s="679"/>
      <c r="L539" s="679"/>
      <c r="M539" s="679"/>
      <c r="N539" s="679"/>
      <c r="O539" s="679"/>
    </row>
    <row r="540" spans="1:15" x14ac:dyDescent="0.25">
      <c r="O540" s="157" t="s">
        <v>1083</v>
      </c>
    </row>
    <row r="541" spans="1:15" ht="18" x14ac:dyDescent="0.25">
      <c r="A541" s="544" t="s">
        <v>277</v>
      </c>
      <c r="B541" s="544"/>
      <c r="C541" s="544"/>
      <c r="D541" s="544"/>
      <c r="E541" s="544"/>
      <c r="F541" s="544"/>
      <c r="G541" s="544"/>
      <c r="H541" s="544"/>
      <c r="I541" s="544"/>
      <c r="J541" s="544"/>
      <c r="K541" s="544"/>
      <c r="L541" s="544"/>
      <c r="M541" s="544"/>
      <c r="N541" s="544"/>
      <c r="O541" s="544"/>
    </row>
    <row r="542" spans="1:15" x14ac:dyDescent="0.25">
      <c r="A542" s="588"/>
      <c r="B542" s="93"/>
      <c r="C542" s="93"/>
      <c r="D542" s="93"/>
      <c r="E542" s="93"/>
      <c r="F542" s="93"/>
      <c r="G542" s="93"/>
      <c r="H542" s="93"/>
      <c r="I542" s="93"/>
      <c r="J542" s="93"/>
      <c r="K542" s="93"/>
      <c r="L542" s="93"/>
      <c r="M542" s="93"/>
      <c r="N542" s="93"/>
      <c r="O542" s="93"/>
    </row>
    <row r="543" spans="1:15" x14ac:dyDescent="0.25">
      <c r="A543" s="665" t="s">
        <v>220</v>
      </c>
      <c r="B543" s="665"/>
      <c r="C543" s="665"/>
      <c r="D543" s="665"/>
      <c r="E543" s="665"/>
      <c r="F543" s="665"/>
      <c r="G543" s="665"/>
      <c r="H543" s="665"/>
      <c r="I543" s="665"/>
      <c r="J543" s="665"/>
      <c r="K543" s="665"/>
      <c r="L543" s="665"/>
      <c r="M543" s="665"/>
      <c r="N543" s="665"/>
      <c r="O543" s="665"/>
    </row>
    <row r="544" spans="1:15" x14ac:dyDescent="0.25">
      <c r="A544" s="665" t="s">
        <v>303</v>
      </c>
      <c r="B544" s="665"/>
      <c r="C544" s="665"/>
      <c r="D544" s="665"/>
      <c r="E544" s="665"/>
      <c r="F544" s="665"/>
      <c r="G544" s="665"/>
      <c r="H544" s="665"/>
      <c r="I544" s="665"/>
      <c r="J544" s="665"/>
      <c r="K544" s="665"/>
      <c r="L544" s="665"/>
      <c r="M544" s="665"/>
      <c r="N544" s="665"/>
      <c r="O544" s="665"/>
    </row>
    <row r="545" spans="1:19" x14ac:dyDescent="0.25">
      <c r="A545" s="132"/>
      <c r="B545" s="93"/>
      <c r="C545" s="93"/>
      <c r="D545" s="93"/>
      <c r="E545" s="93"/>
      <c r="F545" s="93"/>
      <c r="G545" s="93"/>
      <c r="H545" s="93"/>
      <c r="I545" s="93"/>
      <c r="J545" s="93"/>
      <c r="K545" s="93"/>
      <c r="L545" s="93"/>
      <c r="M545" s="93"/>
      <c r="N545" s="93"/>
      <c r="O545" s="93"/>
    </row>
    <row r="546" spans="1:19" ht="31.5" customHeight="1" x14ac:dyDescent="0.25">
      <c r="A546" s="547"/>
      <c r="B546" s="589" t="s">
        <v>99</v>
      </c>
      <c r="C546" s="142"/>
      <c r="D546" s="590" t="s">
        <v>100</v>
      </c>
      <c r="E546" s="591"/>
      <c r="F546" s="590" t="s">
        <v>101</v>
      </c>
      <c r="G546" s="591"/>
      <c r="H546" s="589" t="s">
        <v>102</v>
      </c>
      <c r="I546" s="142"/>
      <c r="J546" s="590" t="s">
        <v>226</v>
      </c>
      <c r="K546" s="591"/>
      <c r="L546" s="142" t="s">
        <v>82</v>
      </c>
      <c r="M546" s="142"/>
      <c r="N546" s="142" t="s">
        <v>84</v>
      </c>
      <c r="O546" s="142"/>
    </row>
    <row r="547" spans="1:19" x14ac:dyDescent="0.25">
      <c r="A547" s="597"/>
      <c r="B547" s="115" t="s">
        <v>103</v>
      </c>
      <c r="C547" s="143" t="s">
        <v>193</v>
      </c>
      <c r="D547" s="115" t="s">
        <v>103</v>
      </c>
      <c r="E547" s="143" t="s">
        <v>193</v>
      </c>
      <c r="F547" s="115" t="s">
        <v>103</v>
      </c>
      <c r="G547" s="143" t="s">
        <v>193</v>
      </c>
      <c r="H547" s="115" t="s">
        <v>103</v>
      </c>
      <c r="I547" s="143" t="s">
        <v>193</v>
      </c>
      <c r="J547" s="115" t="s">
        <v>103</v>
      </c>
      <c r="K547" s="143" t="s">
        <v>193</v>
      </c>
      <c r="L547" s="115" t="s">
        <v>103</v>
      </c>
      <c r="M547" s="143" t="s">
        <v>193</v>
      </c>
      <c r="N547" s="115" t="s">
        <v>103</v>
      </c>
      <c r="O547" s="143" t="s">
        <v>193</v>
      </c>
    </row>
    <row r="548" spans="1:19" s="556" customFormat="1" ht="18" customHeight="1" x14ac:dyDescent="0.25">
      <c r="A548" s="554" t="s">
        <v>222</v>
      </c>
      <c r="B548" s="146">
        <f>+GETPIVOTDATA(" Old Prof avg",'Averages Pivot Table'!$A$3,"Category",13,"Category2","Technical")</f>
        <v>0</v>
      </c>
      <c r="C548" s="146"/>
      <c r="D548" s="146">
        <f>+GETPIVOTDATA(" Old Asc. avg",'Averages Pivot Table'!$A$3,"Category",13,"Category2","Technical")</f>
        <v>0</v>
      </c>
      <c r="E548" s="146"/>
      <c r="F548" s="146">
        <f>+GETPIVOTDATA(" Old Ast. avg",'Averages Pivot Table'!$A$3,"Category",13,"Category2","Technical")</f>
        <v>0</v>
      </c>
      <c r="G548" s="146"/>
      <c r="H548" s="146">
        <f>+GETPIVOTDATA(" Old Inst. avg",'Averages Pivot Table'!$A$3,"Category",13,"Category2","Technical")</f>
        <v>0</v>
      </c>
      <c r="I548" s="146"/>
      <c r="J548" s="146">
        <f>+GETPIVOTDATA(" Old Undesg. avg",'Averages Pivot Table'!$A$3,"Category",13,"Category2","Technical")</f>
        <v>0</v>
      </c>
      <c r="K548" s="146"/>
      <c r="L548" s="146">
        <f>+GETPIVOTDATA(" Old Single Rnk avg",'Averages Pivot Table'!$A$3,"Category",13,"Category2","Technical")</f>
        <v>44247.691075278679</v>
      </c>
      <c r="M548" s="146"/>
      <c r="N548" s="146">
        <f>+GETPIVOTDATA(" Old All Ranks avg",'Averages Pivot Table'!$A$3,"Category",13,"Category2","Technical")</f>
        <v>44247.691075278679</v>
      </c>
      <c r="O548" s="133"/>
      <c r="Q548" s="558"/>
      <c r="R548" s="558"/>
      <c r="S548" s="558"/>
    </row>
    <row r="549" spans="1:19" ht="12.95" customHeight="1" x14ac:dyDescent="0.25">
      <c r="A549" s="132"/>
      <c r="B549" s="123"/>
      <c r="C549" s="150"/>
      <c r="D549" s="123"/>
      <c r="E549" s="150"/>
      <c r="F549" s="123"/>
      <c r="G549" s="150"/>
      <c r="H549" s="123"/>
      <c r="I549" s="150"/>
      <c r="J549" s="123"/>
      <c r="K549" s="150"/>
      <c r="L549" s="123"/>
      <c r="M549" s="150"/>
      <c r="N549" s="123"/>
      <c r="O549" s="134"/>
    </row>
    <row r="550" spans="1:19" ht="12.95" customHeight="1" x14ac:dyDescent="0.25">
      <c r="A550" s="132" t="s">
        <v>205</v>
      </c>
      <c r="B550" s="126">
        <f>+GETPIVOTDATA(" Old Prof avg",'Averages Pivot Table'!$A$3,"State","AL","Category",13,"Category2","Technical")</f>
        <v>0</v>
      </c>
      <c r="C550" s="118">
        <f>IF(B550&gt;0,(RANK(B550,B$550:B$568)),0)</f>
        <v>0</v>
      </c>
      <c r="D550" s="126">
        <f>+GETPIVOTDATA(" Old Asc. avg",'Averages Pivot Table'!$A$3,"State","AL","Category",13,"Category2","Technical")</f>
        <v>0</v>
      </c>
      <c r="E550" s="118">
        <f>IF(D550&gt;0,(RANK(D550,D$550:D$568)),0)</f>
        <v>0</v>
      </c>
      <c r="F550" s="126">
        <f>+GETPIVOTDATA(" Old Ast. avg",'Averages Pivot Table'!$A$3,"State","AL","Category",13,"Category2","Technical")</f>
        <v>0</v>
      </c>
      <c r="G550" s="118">
        <f t="shared" ref="G550:G568" si="89">IF(F550&gt;0,(RANK(F550,F$550:F$568)),0)</f>
        <v>0</v>
      </c>
      <c r="H550" s="126">
        <f>+GETPIVOTDATA(" Old Inst. avg",'Averages Pivot Table'!$A$3,"State","AL","Category",13,"Category2","Technical")</f>
        <v>0</v>
      </c>
      <c r="I550" s="118">
        <f t="shared" ref="I550:I568" si="90">IF(H550&gt;0,(RANK(H550,H$550:H$568)),0)</f>
        <v>0</v>
      </c>
      <c r="J550" s="126">
        <f>+GETPIVOTDATA(" Old Undesg. avg",'Averages Pivot Table'!$A$3,"State","AL","Category",13,"Category2","Technical")</f>
        <v>0</v>
      </c>
      <c r="K550" s="118">
        <f t="shared" ref="K550:K568" si="91">IF(J550&gt;0,(RANK(J550,J$550:J$568)),0)</f>
        <v>0</v>
      </c>
      <c r="L550" s="126">
        <f>+GETPIVOTDATA(" Old Single Rnk avg",'Averages Pivot Table'!$A$3,"State","AL","Category",13,"Category2","Technical")</f>
        <v>52453.511352941176</v>
      </c>
      <c r="M550" s="118">
        <f t="shared" ref="M550:M568" si="92">IF(L550&gt;0,(RANK(L550,L$550:L$568)),0)</f>
        <v>1</v>
      </c>
      <c r="N550" s="126">
        <f>+GETPIVOTDATA(" Old All Ranks avg",'Averages Pivot Table'!$A$3,"State","AL","Category",13,"Category2","Technical")</f>
        <v>52453.511352941176</v>
      </c>
      <c r="O550" s="118">
        <f t="shared" ref="O550:O568" si="93">IF(N550&gt;0,(RANK(N550,N$550:N$568)),0)</f>
        <v>1</v>
      </c>
    </row>
    <row r="551" spans="1:19" ht="12.95" customHeight="1" x14ac:dyDescent="0.25">
      <c r="A551" s="132" t="s">
        <v>206</v>
      </c>
      <c r="B551" s="126">
        <f>+GETPIVOTDATA(" Old Prof avg",'Averages Pivot Table'!$A$3,"State","AR","Category",13,"Category2","Technical")</f>
        <v>0</v>
      </c>
      <c r="C551" s="118">
        <f t="shared" ref="C551:E568" si="94">IF(B551&gt;0,(RANK(B551,B$550:B$568)),0)</f>
        <v>0</v>
      </c>
      <c r="D551" s="126">
        <f>+GETPIVOTDATA(" Old Asc. avg",'Averages Pivot Table'!$A$3,"State","AR","Category",13,"Category2","Technical")</f>
        <v>0</v>
      </c>
      <c r="E551" s="118">
        <f t="shared" si="94"/>
        <v>0</v>
      </c>
      <c r="F551" s="126">
        <f>+GETPIVOTDATA(" Old Ast. avg",'Averages Pivot Table'!$A$3,"State","AR","Category",13,"Category2","Technical")</f>
        <v>0</v>
      </c>
      <c r="G551" s="118">
        <f t="shared" si="89"/>
        <v>0</v>
      </c>
      <c r="H551" s="126">
        <f>+GETPIVOTDATA(" Old Inst. avg",'Averages Pivot Table'!$A$3,"State","AR","Category",13,"Category2","Technical")</f>
        <v>0</v>
      </c>
      <c r="I551" s="118">
        <f t="shared" si="90"/>
        <v>0</v>
      </c>
      <c r="J551" s="126">
        <f>+GETPIVOTDATA(" Old Undesg. avg",'Averages Pivot Table'!$A$3,"State","AR","Category",13,"Category2","Technical")</f>
        <v>0</v>
      </c>
      <c r="K551" s="118">
        <f t="shared" si="91"/>
        <v>0</v>
      </c>
      <c r="L551" s="126">
        <f>+GETPIVOTDATA(" Old Single Rnk avg",'Averages Pivot Table'!$A$3,"State","AR","Category",13,"Category2","Technical")</f>
        <v>0</v>
      </c>
      <c r="M551" s="118">
        <f t="shared" si="92"/>
        <v>0</v>
      </c>
      <c r="N551" s="126">
        <f>+GETPIVOTDATA(" Old All Ranks avg",'Averages Pivot Table'!$A$3,"State","AR","Category",13,"Category2","Technical")</f>
        <v>0</v>
      </c>
      <c r="O551" s="118">
        <f t="shared" si="93"/>
        <v>0</v>
      </c>
    </row>
    <row r="552" spans="1:19" ht="12.95" customHeight="1" x14ac:dyDescent="0.25">
      <c r="A552" s="132" t="s">
        <v>221</v>
      </c>
      <c r="B552" s="126">
        <f>+GETPIVOTDATA(" Old Prof avg",'Averages Pivot Table'!$A$3,"State","DE","Category",13,"Category2","Technical")</f>
        <v>0</v>
      </c>
      <c r="C552" s="118">
        <f t="shared" si="94"/>
        <v>0</v>
      </c>
      <c r="D552" s="126">
        <f>+GETPIVOTDATA(" Old Asc. avg",'Averages Pivot Table'!$A$3,"State","DE","Category",13,"Category2","Technical")</f>
        <v>0</v>
      </c>
      <c r="E552" s="118">
        <f t="shared" si="94"/>
        <v>0</v>
      </c>
      <c r="F552" s="126">
        <f>+GETPIVOTDATA(" Old Ast. avg",'Averages Pivot Table'!$A$3,"State","DE","Category",13,"Category2","Technical")</f>
        <v>0</v>
      </c>
      <c r="G552" s="118">
        <f t="shared" si="89"/>
        <v>0</v>
      </c>
      <c r="H552" s="126">
        <f>+GETPIVOTDATA(" Old Inst. avg",'Averages Pivot Table'!$A$3,"State","DE","Category",13,"Category2","Technical")</f>
        <v>0</v>
      </c>
      <c r="I552" s="118">
        <f t="shared" si="90"/>
        <v>0</v>
      </c>
      <c r="J552" s="126">
        <f>+GETPIVOTDATA(" Old Undesg. avg",'Averages Pivot Table'!$A$3,"State","DE","Category",13,"Category2","Technical")</f>
        <v>0</v>
      </c>
      <c r="K552" s="118">
        <f t="shared" si="91"/>
        <v>0</v>
      </c>
      <c r="L552" s="126">
        <f>+GETPIVOTDATA(" Old Single Rnk avg",'Averages Pivot Table'!$A$3,"State","DE","Category",13,"Category2","Technical")</f>
        <v>0</v>
      </c>
      <c r="M552" s="118">
        <f t="shared" si="92"/>
        <v>0</v>
      </c>
      <c r="N552" s="126">
        <f>+GETPIVOTDATA(" Old All Ranks avg",'Averages Pivot Table'!$A$3,"State","DE","Category",13,"Category2","Technical")</f>
        <v>0</v>
      </c>
      <c r="O552" s="118">
        <f t="shared" si="93"/>
        <v>0</v>
      </c>
    </row>
    <row r="553" spans="1:19" ht="12.95" customHeight="1" x14ac:dyDescent="0.25">
      <c r="A553" s="132" t="s">
        <v>207</v>
      </c>
      <c r="B553" s="126">
        <f>+GETPIVOTDATA(" Old Prof avg",'Averages Pivot Table'!$A$3,"State","FL","Category",13,"Category2","Technical")</f>
        <v>0</v>
      </c>
      <c r="C553" s="118">
        <f t="shared" si="94"/>
        <v>0</v>
      </c>
      <c r="D553" s="126">
        <f>+GETPIVOTDATA(" Old Asc. avg",'Averages Pivot Table'!$A$3,"State","FL","Category",13,"Category2","Technical")</f>
        <v>0</v>
      </c>
      <c r="E553" s="118">
        <f t="shared" si="94"/>
        <v>0</v>
      </c>
      <c r="F553" s="126">
        <f>+GETPIVOTDATA(" Old Ast. avg",'Averages Pivot Table'!$A$3,"State","FL","Category",13,"Category2","Technical")</f>
        <v>0</v>
      </c>
      <c r="G553" s="118">
        <f t="shared" si="89"/>
        <v>0</v>
      </c>
      <c r="H553" s="126">
        <f>+GETPIVOTDATA(" Old Inst. avg",'Averages Pivot Table'!$A$3,"State","FL","Category",13,"Category2","Technical")</f>
        <v>0</v>
      </c>
      <c r="I553" s="118">
        <f t="shared" si="90"/>
        <v>0</v>
      </c>
      <c r="J553" s="126">
        <f>+GETPIVOTDATA(" Old Undesg. avg",'Averages Pivot Table'!$A$3,"State","FL","Category",13,"Category2","Technical")</f>
        <v>0</v>
      </c>
      <c r="K553" s="118">
        <f t="shared" si="91"/>
        <v>0</v>
      </c>
      <c r="L553" s="126">
        <f>+GETPIVOTDATA(" Old Single Rnk avg",'Averages Pivot Table'!$A$3,"State","FL","Category",13,"Category2","Technical")</f>
        <v>0</v>
      </c>
      <c r="M553" s="118">
        <f t="shared" si="92"/>
        <v>0</v>
      </c>
      <c r="N553" s="126">
        <f>+GETPIVOTDATA(" Old All Ranks avg",'Averages Pivot Table'!$A$3,"State","FL","Category",13,"Category2","Technical")</f>
        <v>0</v>
      </c>
      <c r="O553" s="118">
        <f t="shared" si="93"/>
        <v>0</v>
      </c>
    </row>
    <row r="554" spans="1:19" ht="12.95" customHeight="1" x14ac:dyDescent="0.25">
      <c r="A554" s="132"/>
      <c r="B554" s="126"/>
      <c r="C554" s="118">
        <f t="shared" si="94"/>
        <v>0</v>
      </c>
      <c r="D554" s="126"/>
      <c r="E554" s="118">
        <f t="shared" si="94"/>
        <v>0</v>
      </c>
      <c r="F554" s="126"/>
      <c r="G554" s="118">
        <f t="shared" si="89"/>
        <v>0</v>
      </c>
      <c r="H554" s="126"/>
      <c r="I554" s="118">
        <f t="shared" si="90"/>
        <v>0</v>
      </c>
      <c r="J554" s="126"/>
      <c r="K554" s="118">
        <f t="shared" si="91"/>
        <v>0</v>
      </c>
      <c r="L554" s="126"/>
      <c r="M554" s="118">
        <f t="shared" si="92"/>
        <v>0</v>
      </c>
      <c r="N554" s="126"/>
      <c r="O554" s="118">
        <f t="shared" si="93"/>
        <v>0</v>
      </c>
    </row>
    <row r="555" spans="1:19" ht="12.95" customHeight="1" x14ac:dyDescent="0.25">
      <c r="A555" s="132" t="s">
        <v>208</v>
      </c>
      <c r="B555" s="126">
        <f>+GETPIVOTDATA(" Old Prof avg",'Averages Pivot Table'!$A$3,"State","GA","Category",13,"Category2","Technical")</f>
        <v>0</v>
      </c>
      <c r="C555" s="118">
        <f t="shared" si="94"/>
        <v>0</v>
      </c>
      <c r="D555" s="126">
        <f>+GETPIVOTDATA(" Old Asc. avg",'Averages Pivot Table'!$A$3,"State","GA","Category",13,"Category2","Technical")</f>
        <v>0</v>
      </c>
      <c r="E555" s="118">
        <f t="shared" si="94"/>
        <v>0</v>
      </c>
      <c r="F555" s="126">
        <f>+GETPIVOTDATA(" Old Ast. avg",'Averages Pivot Table'!$A$3,"State","GA","Category",13,"Category2","Technical")</f>
        <v>0</v>
      </c>
      <c r="G555" s="118">
        <f t="shared" si="89"/>
        <v>0</v>
      </c>
      <c r="H555" s="126">
        <f>+GETPIVOTDATA(" Old Inst. avg",'Averages Pivot Table'!$A$3,"State","GA","Category",13,"Category2","Technical")</f>
        <v>0</v>
      </c>
      <c r="I555" s="118">
        <f t="shared" si="90"/>
        <v>0</v>
      </c>
      <c r="J555" s="126">
        <f>+GETPIVOTDATA(" Old Undesg. avg",'Averages Pivot Table'!$A$3,"State","GA","Category",13,"Category2","Technical")</f>
        <v>0</v>
      </c>
      <c r="K555" s="118">
        <f t="shared" si="91"/>
        <v>0</v>
      </c>
      <c r="L555" s="126">
        <f>+GETPIVOTDATA(" Old Single Rnk avg",'Averages Pivot Table'!$A$3,"State","GA","Category",13,"Category2","Technical")</f>
        <v>0</v>
      </c>
      <c r="M555" s="118">
        <f t="shared" si="92"/>
        <v>0</v>
      </c>
      <c r="N555" s="126">
        <f>+GETPIVOTDATA(" Old All Ranks avg",'Averages Pivot Table'!$A$3,"State","GA","Category",13,"Category2","Technical")</f>
        <v>0</v>
      </c>
      <c r="O555" s="118">
        <f t="shared" si="93"/>
        <v>0</v>
      </c>
    </row>
    <row r="556" spans="1:19" ht="12.95" customHeight="1" x14ac:dyDescent="0.25">
      <c r="A556" s="132" t="s">
        <v>209</v>
      </c>
      <c r="B556" s="126">
        <f>+GETPIVOTDATA(" Old Prof avg",'Averages Pivot Table'!$A$3,"State","KY","Category",13,"Category2","Technical")</f>
        <v>0</v>
      </c>
      <c r="C556" s="118">
        <f t="shared" si="94"/>
        <v>0</v>
      </c>
      <c r="D556" s="126">
        <f>+GETPIVOTDATA(" Old Asc. avg",'Averages Pivot Table'!$A$3,"State","KY","Category",13,"Category2","Technical")</f>
        <v>0</v>
      </c>
      <c r="E556" s="118">
        <f t="shared" si="94"/>
        <v>0</v>
      </c>
      <c r="F556" s="126">
        <f>+GETPIVOTDATA(" Old Ast. avg",'Averages Pivot Table'!$A$3,"State","KY","Category",13,"Category2","Technical")</f>
        <v>0</v>
      </c>
      <c r="G556" s="118">
        <f t="shared" si="89"/>
        <v>0</v>
      </c>
      <c r="H556" s="126">
        <f>+GETPIVOTDATA(" Old Inst. avg",'Averages Pivot Table'!$A$3,"State","KY","Category",13,"Category2","Technical")</f>
        <v>0</v>
      </c>
      <c r="I556" s="118">
        <f t="shared" si="90"/>
        <v>0</v>
      </c>
      <c r="J556" s="126">
        <f>+GETPIVOTDATA(" Old Undesg. avg",'Averages Pivot Table'!$A$3,"State","KY","Category",13,"Category2","Technical")</f>
        <v>0</v>
      </c>
      <c r="K556" s="118">
        <f t="shared" si="91"/>
        <v>0</v>
      </c>
      <c r="L556" s="126">
        <f>+GETPIVOTDATA(" Old Single Rnk avg",'Averages Pivot Table'!$A$3,"State","KY","Category",13,"Category2","Technical")</f>
        <v>0</v>
      </c>
      <c r="M556" s="118">
        <f t="shared" si="92"/>
        <v>0</v>
      </c>
      <c r="N556" s="126">
        <f>+GETPIVOTDATA(" Old All Ranks avg",'Averages Pivot Table'!$A$3,"State","KY","Category",13,"Category2","Technical")</f>
        <v>0</v>
      </c>
      <c r="O556" s="118">
        <f t="shared" si="93"/>
        <v>0</v>
      </c>
    </row>
    <row r="557" spans="1:19" ht="12.95" customHeight="1" x14ac:dyDescent="0.25">
      <c r="A557" s="132" t="s">
        <v>210</v>
      </c>
      <c r="B557" s="126">
        <f>+GETPIVOTDATA(" Old Prof avg",'Averages Pivot Table'!$A$3,"State","LA","Category",13,"Category2","Technical")</f>
        <v>0</v>
      </c>
      <c r="C557" s="118">
        <f t="shared" si="94"/>
        <v>0</v>
      </c>
      <c r="D557" s="126">
        <f>+GETPIVOTDATA(" Old Asc. avg",'Averages Pivot Table'!$A$3,"State","LA","Category",13,"Category2","Technical")</f>
        <v>0</v>
      </c>
      <c r="E557" s="118">
        <f t="shared" si="94"/>
        <v>0</v>
      </c>
      <c r="F557" s="126">
        <f>+GETPIVOTDATA(" Old Ast. avg",'Averages Pivot Table'!$A$3,"State","LA","Category",13,"Category2","Technical")</f>
        <v>0</v>
      </c>
      <c r="G557" s="118">
        <f t="shared" si="89"/>
        <v>0</v>
      </c>
      <c r="H557" s="126">
        <f>+GETPIVOTDATA(" Old Inst. avg",'Averages Pivot Table'!$A$3,"State","LA","Category",13,"Category2","Technical")</f>
        <v>0</v>
      </c>
      <c r="I557" s="118">
        <f t="shared" si="90"/>
        <v>0</v>
      </c>
      <c r="J557" s="126">
        <f>+GETPIVOTDATA(" Old Undesg. avg",'Averages Pivot Table'!$A$3,"State","LA","Category",13,"Category2","Technical")</f>
        <v>0</v>
      </c>
      <c r="K557" s="118">
        <f t="shared" si="91"/>
        <v>0</v>
      </c>
      <c r="L557" s="126">
        <f>+GETPIVOTDATA(" Old Single Rnk avg",'Averages Pivot Table'!$A$3,"State","LA","Category",13,"Category2","Technical")</f>
        <v>0</v>
      </c>
      <c r="M557" s="118">
        <f t="shared" si="92"/>
        <v>0</v>
      </c>
      <c r="N557" s="126">
        <f>+GETPIVOTDATA(" Old All Ranks avg",'Averages Pivot Table'!$A$3,"State","LA","Category",13,"Category2","Technical")</f>
        <v>0</v>
      </c>
      <c r="O557" s="118">
        <f t="shared" si="93"/>
        <v>0</v>
      </c>
    </row>
    <row r="558" spans="1:19" ht="12.95" customHeight="1" x14ac:dyDescent="0.25">
      <c r="A558" s="132" t="s">
        <v>211</v>
      </c>
      <c r="B558" s="126">
        <f>+GETPIVOTDATA(" Old Prof avg",'Averages Pivot Table'!$A$3,"State","MD","Category",13,"Category2","Technical")</f>
        <v>0</v>
      </c>
      <c r="C558" s="118">
        <f>IF(B558&gt;0,(RANK(B558,B$550:B$568)),0)</f>
        <v>0</v>
      </c>
      <c r="D558" s="126">
        <f>+GETPIVOTDATA(" Old Asc. avg",'Averages Pivot Table'!$A$3,"State","MD","Category",13,"Category2","Technical")</f>
        <v>0</v>
      </c>
      <c r="E558" s="118">
        <f t="shared" si="94"/>
        <v>0</v>
      </c>
      <c r="F558" s="126">
        <f>+GETPIVOTDATA(" Old Ast. avg",'Averages Pivot Table'!$A$3,"State","MD","Category",13,"Category2","Technical")</f>
        <v>0</v>
      </c>
      <c r="G558" s="118">
        <f t="shared" si="89"/>
        <v>0</v>
      </c>
      <c r="H558" s="126">
        <f>+GETPIVOTDATA(" Old Inst. avg",'Averages Pivot Table'!$A$3,"State","MD","Category",13,"Category2","Technical")</f>
        <v>0</v>
      </c>
      <c r="I558" s="118">
        <f t="shared" si="90"/>
        <v>0</v>
      </c>
      <c r="J558" s="126">
        <f>+GETPIVOTDATA(" Old Undesg. avg",'Averages Pivot Table'!$A$3,"State","MD","Category",13,"Category2","Technical")</f>
        <v>0</v>
      </c>
      <c r="K558" s="118">
        <f t="shared" si="91"/>
        <v>0</v>
      </c>
      <c r="L558" s="126">
        <f>+GETPIVOTDATA(" Old Single Rnk avg",'Averages Pivot Table'!$A$3,"State","MD","Category",13,"Category2","Technical")</f>
        <v>0</v>
      </c>
      <c r="M558" s="118">
        <f t="shared" si="92"/>
        <v>0</v>
      </c>
      <c r="N558" s="126">
        <f>+GETPIVOTDATA(" Old All Ranks avg",'Averages Pivot Table'!$A$3,"State","MD","Category",13,"Category2","Technical")</f>
        <v>0</v>
      </c>
      <c r="O558" s="118">
        <f t="shared" si="93"/>
        <v>0</v>
      </c>
    </row>
    <row r="559" spans="1:19" ht="12.95" customHeight="1" x14ac:dyDescent="0.25">
      <c r="A559" s="132"/>
      <c r="B559" s="126"/>
      <c r="C559" s="118">
        <f t="shared" si="94"/>
        <v>0</v>
      </c>
      <c r="D559" s="126"/>
      <c r="E559" s="118">
        <f t="shared" si="94"/>
        <v>0</v>
      </c>
      <c r="F559" s="126"/>
      <c r="G559" s="118">
        <f t="shared" si="89"/>
        <v>0</v>
      </c>
      <c r="H559" s="126"/>
      <c r="I559" s="118">
        <f t="shared" si="90"/>
        <v>0</v>
      </c>
      <c r="J559" s="126"/>
      <c r="K559" s="118">
        <f t="shared" si="91"/>
        <v>0</v>
      </c>
      <c r="L559" s="126"/>
      <c r="M559" s="118">
        <f t="shared" si="92"/>
        <v>0</v>
      </c>
      <c r="N559" s="126"/>
      <c r="O559" s="118">
        <f t="shared" si="93"/>
        <v>0</v>
      </c>
    </row>
    <row r="560" spans="1:19" ht="12.95" customHeight="1" x14ac:dyDescent="0.25">
      <c r="A560" s="132" t="s">
        <v>212</v>
      </c>
      <c r="B560" s="126">
        <f>+GETPIVOTDATA(" Old Prof avg",'Averages Pivot Table'!$A$3,"State","MS","Category",13,"Category2","Technical")</f>
        <v>0</v>
      </c>
      <c r="C560" s="118">
        <f t="shared" si="94"/>
        <v>0</v>
      </c>
      <c r="D560" s="126">
        <f>+GETPIVOTDATA(" Old Asc. avg",'Averages Pivot Table'!$A$3,"State","MS","Category",13,"Category2","Technical")</f>
        <v>0</v>
      </c>
      <c r="E560" s="118">
        <f t="shared" si="94"/>
        <v>0</v>
      </c>
      <c r="F560" s="126">
        <f>+GETPIVOTDATA(" Old Ast. avg",'Averages Pivot Table'!$A$3,"State","MS","Category",13,"Category2","Technical")</f>
        <v>0</v>
      </c>
      <c r="G560" s="118">
        <f t="shared" si="89"/>
        <v>0</v>
      </c>
      <c r="H560" s="126">
        <f>+GETPIVOTDATA(" Old Inst. avg",'Averages Pivot Table'!$A$3,"State","MS","Category",13,"Category2","Technical")</f>
        <v>0</v>
      </c>
      <c r="I560" s="118">
        <f t="shared" si="90"/>
        <v>0</v>
      </c>
      <c r="J560" s="126">
        <f>+GETPIVOTDATA(" Old Undesg. avg",'Averages Pivot Table'!$A$3,"State","MS","Category",13,"Category2","Technical")</f>
        <v>0</v>
      </c>
      <c r="K560" s="118">
        <f t="shared" si="91"/>
        <v>0</v>
      </c>
      <c r="L560" s="126">
        <f>+GETPIVOTDATA(" Old Single Rnk avg",'Averages Pivot Table'!$A$3,"State","MS","Category",13,"Category2","Technical")</f>
        <v>0</v>
      </c>
      <c r="M560" s="118">
        <f t="shared" si="92"/>
        <v>0</v>
      </c>
      <c r="N560" s="126">
        <f>+GETPIVOTDATA(" Old All Ranks avg",'Averages Pivot Table'!$A$3,"State","MS","Category",13,"Category2","Technical")</f>
        <v>0</v>
      </c>
      <c r="O560" s="118">
        <f t="shared" si="93"/>
        <v>0</v>
      </c>
    </row>
    <row r="561" spans="1:15" ht="12.95" customHeight="1" x14ac:dyDescent="0.25">
      <c r="A561" s="132" t="s">
        <v>213</v>
      </c>
      <c r="B561" s="126">
        <f>+GETPIVOTDATA(" Old Prof avg",'Averages Pivot Table'!$A$3,"State","NC","Category",13,"Category2","Technical")</f>
        <v>0</v>
      </c>
      <c r="C561" s="118">
        <f t="shared" si="94"/>
        <v>0</v>
      </c>
      <c r="D561" s="126">
        <f>+GETPIVOTDATA(" Old Asc. avg",'Averages Pivot Table'!$A$3,"State","NC","Category",13,"Category2","Technical")</f>
        <v>0</v>
      </c>
      <c r="E561" s="118">
        <f t="shared" si="94"/>
        <v>0</v>
      </c>
      <c r="F561" s="126">
        <f>+GETPIVOTDATA(" Old Ast. avg",'Averages Pivot Table'!$A$3,"State","NC","Category",13,"Category2","Technical")</f>
        <v>0</v>
      </c>
      <c r="G561" s="118">
        <f t="shared" si="89"/>
        <v>0</v>
      </c>
      <c r="H561" s="126">
        <f>+GETPIVOTDATA(" Old Inst. avg",'Averages Pivot Table'!$A$3,"State","NC","Category",13,"Category2","Technical")</f>
        <v>0</v>
      </c>
      <c r="I561" s="118">
        <f t="shared" si="90"/>
        <v>0</v>
      </c>
      <c r="J561" s="126">
        <f>+GETPIVOTDATA(" Old Undesg. avg",'Averages Pivot Table'!$A$3,"State","NC","Category",13,"Category2","Technical")</f>
        <v>0</v>
      </c>
      <c r="K561" s="118">
        <f t="shared" si="91"/>
        <v>0</v>
      </c>
      <c r="L561" s="126">
        <f>+GETPIVOTDATA(" Old Single Rnk avg",'Averages Pivot Table'!$A$3,"State","NC","Category",13,"Category2","Technical")</f>
        <v>0</v>
      </c>
      <c r="M561" s="118">
        <f t="shared" si="92"/>
        <v>0</v>
      </c>
      <c r="N561" s="126">
        <f>+GETPIVOTDATA(" Old All Ranks avg",'Averages Pivot Table'!$A$3,"State","NC","Category",13,"Category2","Technical")</f>
        <v>0</v>
      </c>
      <c r="O561" s="118">
        <f t="shared" si="93"/>
        <v>0</v>
      </c>
    </row>
    <row r="562" spans="1:15" ht="12.95" customHeight="1" x14ac:dyDescent="0.25">
      <c r="A562" s="132" t="s">
        <v>214</v>
      </c>
      <c r="B562" s="126">
        <f>+GETPIVOTDATA(" Old Prof avg",'Averages Pivot Table'!$A$3,"State","OK","Category",13,"Category2","Technical")</f>
        <v>0</v>
      </c>
      <c r="C562" s="118">
        <f t="shared" si="94"/>
        <v>0</v>
      </c>
      <c r="D562" s="126">
        <f>+GETPIVOTDATA(" Old Asc. avg",'Averages Pivot Table'!$A$3,"State","OK","Category",13,"Category2","Technical")</f>
        <v>0</v>
      </c>
      <c r="E562" s="118">
        <f t="shared" si="94"/>
        <v>0</v>
      </c>
      <c r="F562" s="126">
        <f>+GETPIVOTDATA(" Old Ast. avg",'Averages Pivot Table'!$A$3,"State","OK","Category",13,"Category2","Technical")</f>
        <v>0</v>
      </c>
      <c r="G562" s="118">
        <f t="shared" si="89"/>
        <v>0</v>
      </c>
      <c r="H562" s="126">
        <f>+GETPIVOTDATA(" Old Inst. avg",'Averages Pivot Table'!$A$3,"State","OK","Category",13,"Category2","Technical")</f>
        <v>0</v>
      </c>
      <c r="I562" s="118">
        <f t="shared" si="90"/>
        <v>0</v>
      </c>
      <c r="J562" s="126">
        <f>+GETPIVOTDATA(" Old Undesg. avg",'Averages Pivot Table'!$A$3,"State","OK","Category",13,"Category2","Technical")</f>
        <v>0</v>
      </c>
      <c r="K562" s="118">
        <f t="shared" si="91"/>
        <v>0</v>
      </c>
      <c r="L562" s="126">
        <f>+GETPIVOTDATA(" Old Single Rnk avg",'Averages Pivot Table'!$A$3,"State","OK","Category",13,"Category2","Technical")</f>
        <v>47745.686610537872</v>
      </c>
      <c r="M562" s="118">
        <f t="shared" si="92"/>
        <v>2</v>
      </c>
      <c r="N562" s="126">
        <f>+GETPIVOTDATA(" Old All Ranks avg",'Averages Pivot Table'!$A$3,"State","OK","Category",13,"Category2","Technical")</f>
        <v>47745.686610537872</v>
      </c>
      <c r="O562" s="118">
        <f t="shared" si="93"/>
        <v>2</v>
      </c>
    </row>
    <row r="563" spans="1:15" ht="12.95" customHeight="1" x14ac:dyDescent="0.25">
      <c r="A563" s="132" t="s">
        <v>215</v>
      </c>
      <c r="B563" s="126">
        <f>+GETPIVOTDATA(" Old Prof avg",'Averages Pivot Table'!$A$3,"State","SC","Category",13,"Category2","Technical")</f>
        <v>0</v>
      </c>
      <c r="C563" s="118">
        <f t="shared" si="94"/>
        <v>0</v>
      </c>
      <c r="D563" s="126">
        <f>+GETPIVOTDATA(" Old Asc. avg",'Averages Pivot Table'!$A$3,"State","SC","Category",13,"Category2","Technical")</f>
        <v>0</v>
      </c>
      <c r="E563" s="118">
        <f t="shared" si="94"/>
        <v>0</v>
      </c>
      <c r="F563" s="126">
        <f>+GETPIVOTDATA(" Old Ast. avg",'Averages Pivot Table'!$A$3,"State","SC","Category",13,"Category2","Technical")</f>
        <v>0</v>
      </c>
      <c r="G563" s="118">
        <f t="shared" si="89"/>
        <v>0</v>
      </c>
      <c r="H563" s="126">
        <f>+GETPIVOTDATA(" Old Inst. avg",'Averages Pivot Table'!$A$3,"State","SC","Category",13,"Category2","Technical")</f>
        <v>0</v>
      </c>
      <c r="I563" s="118">
        <f t="shared" si="90"/>
        <v>0</v>
      </c>
      <c r="J563" s="126">
        <f>+GETPIVOTDATA(" Old Undesg. avg",'Averages Pivot Table'!$A$3,"State","SC","Category",13,"Category2","Technical")</f>
        <v>0</v>
      </c>
      <c r="K563" s="118">
        <f t="shared" si="91"/>
        <v>0</v>
      </c>
      <c r="L563" s="126">
        <f>+GETPIVOTDATA(" Old Single Rnk avg",'Averages Pivot Table'!$A$3,"State","SC","Category",13,"Category2","Technical")</f>
        <v>0</v>
      </c>
      <c r="M563" s="118">
        <f t="shared" si="92"/>
        <v>0</v>
      </c>
      <c r="N563" s="126">
        <f>+GETPIVOTDATA(" Old All Ranks avg",'Averages Pivot Table'!$A$3,"State","SC","Category",13,"Category2","Technical")</f>
        <v>0</v>
      </c>
      <c r="O563" s="118">
        <f t="shared" si="93"/>
        <v>0</v>
      </c>
    </row>
    <row r="564" spans="1:15" ht="12.95" customHeight="1" x14ac:dyDescent="0.25">
      <c r="A564" s="132"/>
      <c r="B564" s="126"/>
      <c r="C564" s="118">
        <f t="shared" si="94"/>
        <v>0</v>
      </c>
      <c r="D564" s="126"/>
      <c r="E564" s="118">
        <f t="shared" si="94"/>
        <v>0</v>
      </c>
      <c r="F564" s="126"/>
      <c r="G564" s="118">
        <f t="shared" si="89"/>
        <v>0</v>
      </c>
      <c r="H564" s="126"/>
      <c r="I564" s="118">
        <f t="shared" si="90"/>
        <v>0</v>
      </c>
      <c r="J564" s="126"/>
      <c r="K564" s="118">
        <f t="shared" si="91"/>
        <v>0</v>
      </c>
      <c r="L564" s="126"/>
      <c r="M564" s="118">
        <f t="shared" si="92"/>
        <v>0</v>
      </c>
      <c r="N564" s="126"/>
      <c r="O564" s="118">
        <f t="shared" si="93"/>
        <v>0</v>
      </c>
    </row>
    <row r="565" spans="1:15" ht="12.95" customHeight="1" x14ac:dyDescent="0.25">
      <c r="A565" s="132" t="s">
        <v>216</v>
      </c>
      <c r="B565" s="563">
        <f>+GETPIVOTDATA(" Old Prof avg",'Averages Pivot Table'!$A$3,"State","TN","Category",13,"Category2","Technical")</f>
        <v>0</v>
      </c>
      <c r="C565" s="118">
        <f t="shared" si="94"/>
        <v>0</v>
      </c>
      <c r="D565" s="563">
        <f>+GETPIVOTDATA(" Old Asc. avg",'Averages Pivot Table'!$A$3,"State","TN","Category",13,"Category2","Technical")</f>
        <v>0</v>
      </c>
      <c r="E565" s="118">
        <f t="shared" si="94"/>
        <v>0</v>
      </c>
      <c r="F565" s="563">
        <f>+GETPIVOTDATA(" Old Ast. avg",'Averages Pivot Table'!$A$3,"State","TN","Category",13,"Category2","Technical")</f>
        <v>0</v>
      </c>
      <c r="G565" s="118">
        <f t="shared" si="89"/>
        <v>0</v>
      </c>
      <c r="H565" s="563">
        <f>+GETPIVOTDATA(" Old Inst. avg",'Averages Pivot Table'!$A$3,"State","TN","Category",13,"Category2","Technical")</f>
        <v>0</v>
      </c>
      <c r="I565" s="118">
        <f t="shared" si="90"/>
        <v>0</v>
      </c>
      <c r="J565" s="563">
        <f>+GETPIVOTDATA(" Old Undesg. avg",'Averages Pivot Table'!$A$3,"State","TN","Category",13,"Category2","Technical")</f>
        <v>0</v>
      </c>
      <c r="K565" s="118">
        <f t="shared" si="91"/>
        <v>0</v>
      </c>
      <c r="L565" s="563">
        <f>+GETPIVOTDATA(" Old Single Rnk avg",'Averages Pivot Table'!$A$3,"State","TN","Category",13,"Category2","Technical")</f>
        <v>36905.217244990548</v>
      </c>
      <c r="M565" s="118">
        <f t="shared" si="92"/>
        <v>3</v>
      </c>
      <c r="N565" s="126">
        <f>+GETPIVOTDATA(" Old All Ranks avg",'Averages Pivot Table'!$A$3,"State","TN","Category",13,"Category2","Technical")</f>
        <v>36905.217244990548</v>
      </c>
      <c r="O565" s="118">
        <f t="shared" si="93"/>
        <v>3</v>
      </c>
    </row>
    <row r="566" spans="1:15" ht="12.95" customHeight="1" x14ac:dyDescent="0.25">
      <c r="A566" s="132" t="s">
        <v>217</v>
      </c>
      <c r="B566" s="563">
        <f>+GETPIVOTDATA(" Old Prof avg",'Averages Pivot Table'!$A$3,"State","TX","Category",13,"Category2","Technical")</f>
        <v>0</v>
      </c>
      <c r="C566" s="118">
        <f t="shared" si="94"/>
        <v>0</v>
      </c>
      <c r="D566" s="563">
        <f>+GETPIVOTDATA(" Old Asc. avg",'Averages Pivot Table'!$A$3,"State","TX","Category",13,"Category2","Technical")</f>
        <v>0</v>
      </c>
      <c r="E566" s="118">
        <f t="shared" si="94"/>
        <v>0</v>
      </c>
      <c r="F566" s="563">
        <f>+GETPIVOTDATA(" Old Ast. avg",'Averages Pivot Table'!$A$3,"State","TX","Category",13,"Category2","Technical")</f>
        <v>0</v>
      </c>
      <c r="G566" s="118">
        <f t="shared" si="89"/>
        <v>0</v>
      </c>
      <c r="H566" s="563">
        <f>+GETPIVOTDATA(" Old Inst. avg",'Averages Pivot Table'!$A$3,"State","TX","Category",13,"Category2","Technical")</f>
        <v>0</v>
      </c>
      <c r="I566" s="118">
        <f t="shared" si="90"/>
        <v>0</v>
      </c>
      <c r="J566" s="563">
        <f>+GETPIVOTDATA(" Old Undesg. avg",'Averages Pivot Table'!$A$3,"State","TX","Category",13,"Category2","Technical")</f>
        <v>0</v>
      </c>
      <c r="K566" s="118">
        <f t="shared" si="91"/>
        <v>0</v>
      </c>
      <c r="L566" s="563">
        <f>+GETPIVOTDATA(" Old Single Rnk avg",'Averages Pivot Table'!$A$3,"State","TX","Category",13,"Category2","Technical")</f>
        <v>0</v>
      </c>
      <c r="M566" s="118">
        <f t="shared" si="92"/>
        <v>0</v>
      </c>
      <c r="N566" s="126">
        <f>+GETPIVOTDATA(" Old All Ranks avg",'Averages Pivot Table'!$A$3,"State","TX","Category",13,"Category2","Technical")</f>
        <v>0</v>
      </c>
      <c r="O566" s="118">
        <f t="shared" si="93"/>
        <v>0</v>
      </c>
    </row>
    <row r="567" spans="1:15" ht="12.95" customHeight="1" x14ac:dyDescent="0.25">
      <c r="A567" s="132" t="s">
        <v>218</v>
      </c>
      <c r="B567" s="563">
        <f>+GETPIVOTDATA(" Old Prof avg",'Averages Pivot Table'!$A$3,"State","VA","Category",13,"Category2","Technical")</f>
        <v>0</v>
      </c>
      <c r="C567" s="118">
        <f t="shared" si="94"/>
        <v>0</v>
      </c>
      <c r="D567" s="563">
        <f>+GETPIVOTDATA(" Old Asc. avg",'Averages Pivot Table'!$A$3,"State","VA","Category",13,"Category2","Technical")</f>
        <v>0</v>
      </c>
      <c r="E567" s="118">
        <f t="shared" si="94"/>
        <v>0</v>
      </c>
      <c r="F567" s="563">
        <f>+GETPIVOTDATA(" Old Ast. avg",'Averages Pivot Table'!$A$3,"State","VA","Category",13,"Category2","Technical")</f>
        <v>0</v>
      </c>
      <c r="G567" s="118">
        <f t="shared" si="89"/>
        <v>0</v>
      </c>
      <c r="H567" s="563">
        <f>+GETPIVOTDATA(" Old Inst. avg",'Averages Pivot Table'!$A$3,"State","VA","Category",13,"Category2","Technical")</f>
        <v>0</v>
      </c>
      <c r="I567" s="118">
        <f t="shared" si="90"/>
        <v>0</v>
      </c>
      <c r="J567" s="563">
        <f>+GETPIVOTDATA(" Old Undesg. avg",'Averages Pivot Table'!$A$3,"State","VA","Category",13,"Category2","Technical")</f>
        <v>0</v>
      </c>
      <c r="K567" s="118">
        <f t="shared" si="91"/>
        <v>0</v>
      </c>
      <c r="L567" s="563">
        <f>+GETPIVOTDATA(" Old Single Rnk avg",'Averages Pivot Table'!$A$3,"State","VA","Category",13,"Category2","Technical")</f>
        <v>0</v>
      </c>
      <c r="M567" s="118">
        <f t="shared" si="92"/>
        <v>0</v>
      </c>
      <c r="N567" s="126">
        <f>+GETPIVOTDATA(" Old All Ranks avg",'Averages Pivot Table'!$A$3,"State","VA","Category",13,"Category2","Technical")</f>
        <v>0</v>
      </c>
      <c r="O567" s="118">
        <f t="shared" si="93"/>
        <v>0</v>
      </c>
    </row>
    <row r="568" spans="1:15" ht="12.95" customHeight="1" x14ac:dyDescent="0.25">
      <c r="A568" s="6" t="s">
        <v>219</v>
      </c>
      <c r="B568" s="566">
        <f>+GETPIVOTDATA(" Old Prof avg",'Averages Pivot Table'!$A$3,"State","WV","Category",13,"Category2","Technical")</f>
        <v>0</v>
      </c>
      <c r="C568" s="119">
        <f t="shared" si="94"/>
        <v>0</v>
      </c>
      <c r="D568" s="566">
        <f>+GETPIVOTDATA(" Old Asc. avg",'Averages Pivot Table'!$A$3,"State","WV","Category",13,"Category2","Technical")</f>
        <v>0</v>
      </c>
      <c r="E568" s="119">
        <f t="shared" si="94"/>
        <v>0</v>
      </c>
      <c r="F568" s="566">
        <f>+GETPIVOTDATA(" Old Ast. avg",'Averages Pivot Table'!$A$3,"State","WV","Category",13,"Category2","Technical")</f>
        <v>0</v>
      </c>
      <c r="G568" s="119">
        <f t="shared" si="89"/>
        <v>0</v>
      </c>
      <c r="H568" s="566">
        <f>+GETPIVOTDATA(" Old Inst. avg",'Averages Pivot Table'!$A$3,"State","WV","Category",13,"Category2","Technical")</f>
        <v>0</v>
      </c>
      <c r="I568" s="119">
        <f t="shared" si="90"/>
        <v>0</v>
      </c>
      <c r="J568" s="566">
        <f>+GETPIVOTDATA(" Old Undesg. avg",'Averages Pivot Table'!$A$3,"State","WV","Category",13,"Category2","Technical")</f>
        <v>0</v>
      </c>
      <c r="K568" s="119">
        <f t="shared" si="91"/>
        <v>0</v>
      </c>
      <c r="L568" s="566">
        <f>+GETPIVOTDATA(" Old Single Rnk avg",'Averages Pivot Table'!$A$3,"State","WV","Category",13,"Category2","Technical")</f>
        <v>0</v>
      </c>
      <c r="M568" s="119">
        <f t="shared" si="92"/>
        <v>0</v>
      </c>
      <c r="N568" s="566">
        <f>+GETPIVOTDATA(" Old All Ranks avg",'Averages Pivot Table'!$A$3,"State","WV","Category",13,"Category2","Technical")</f>
        <v>0</v>
      </c>
      <c r="O568" s="119">
        <f t="shared" si="93"/>
        <v>0</v>
      </c>
    </row>
    <row r="569" spans="1:15" ht="30" customHeight="1" x14ac:dyDescent="0.25">
      <c r="A569" s="679" t="s">
        <v>91</v>
      </c>
      <c r="B569" s="679"/>
      <c r="C569" s="679"/>
      <c r="D569" s="679"/>
      <c r="E569" s="679"/>
      <c r="F569" s="679"/>
      <c r="G569" s="679"/>
      <c r="H569" s="679"/>
      <c r="I569" s="679"/>
      <c r="J569" s="679"/>
      <c r="K569" s="679"/>
      <c r="L569" s="679"/>
      <c r="M569" s="679"/>
      <c r="N569" s="679"/>
      <c r="O569" s="679"/>
    </row>
    <row r="570" spans="1:15" x14ac:dyDescent="0.25">
      <c r="O570" s="157" t="s">
        <v>1083</v>
      </c>
    </row>
    <row r="571" spans="1:15" ht="18" x14ac:dyDescent="0.25">
      <c r="A571" s="671" t="s">
        <v>1086</v>
      </c>
      <c r="B571" s="671"/>
      <c r="C571" s="671"/>
      <c r="D571" s="671"/>
      <c r="E571" s="671"/>
      <c r="F571" s="671"/>
      <c r="G571" s="671"/>
      <c r="H571" s="671"/>
      <c r="I571" s="671"/>
      <c r="J571" s="671"/>
      <c r="K571" s="671"/>
      <c r="L571" s="671"/>
      <c r="M571" s="671"/>
      <c r="N571" s="671"/>
      <c r="O571" s="671"/>
    </row>
    <row r="572" spans="1:15" x14ac:dyDescent="0.25">
      <c r="A572" s="588"/>
      <c r="B572" s="93"/>
      <c r="C572" s="93"/>
      <c r="D572" s="93"/>
      <c r="E572" s="93"/>
      <c r="F572" s="93"/>
      <c r="G572" s="93"/>
      <c r="H572" s="93"/>
      <c r="I572" s="93"/>
      <c r="J572" s="93"/>
      <c r="K572" s="93"/>
      <c r="L572" s="93"/>
      <c r="M572" s="93"/>
      <c r="N572" s="93"/>
      <c r="O572" s="93"/>
    </row>
    <row r="573" spans="1:15" x14ac:dyDescent="0.25">
      <c r="A573" s="665" t="s">
        <v>220</v>
      </c>
      <c r="B573" s="665"/>
      <c r="C573" s="665"/>
      <c r="D573" s="665"/>
      <c r="E573" s="665"/>
      <c r="F573" s="665"/>
      <c r="G573" s="665"/>
      <c r="H573" s="665"/>
      <c r="I573" s="665"/>
      <c r="J573" s="665"/>
      <c r="K573" s="665"/>
      <c r="L573" s="665"/>
      <c r="M573" s="665"/>
      <c r="N573" s="665"/>
      <c r="O573" s="665"/>
    </row>
    <row r="574" spans="1:15" x14ac:dyDescent="0.25">
      <c r="A574" s="665" t="s">
        <v>302</v>
      </c>
      <c r="B574" s="665"/>
      <c r="C574" s="665"/>
      <c r="D574" s="665"/>
      <c r="E574" s="665"/>
      <c r="F574" s="665"/>
      <c r="G574" s="665"/>
      <c r="H574" s="665"/>
      <c r="I574" s="665"/>
      <c r="J574" s="665"/>
      <c r="K574" s="665"/>
      <c r="L574" s="665"/>
      <c r="M574" s="665"/>
      <c r="N574" s="665"/>
      <c r="O574" s="665"/>
    </row>
    <row r="575" spans="1:15" x14ac:dyDescent="0.25">
      <c r="A575" s="132"/>
      <c r="B575" s="93"/>
      <c r="C575" s="93"/>
      <c r="D575" s="93"/>
      <c r="E575" s="93"/>
      <c r="F575" s="93"/>
      <c r="G575" s="93"/>
      <c r="H575" s="93"/>
      <c r="I575" s="93"/>
      <c r="J575" s="93"/>
      <c r="K575" s="93"/>
      <c r="L575" s="93"/>
      <c r="M575" s="93"/>
      <c r="N575" s="93"/>
      <c r="O575" s="93"/>
    </row>
    <row r="576" spans="1:15" ht="33" customHeight="1" x14ac:dyDescent="0.25">
      <c r="A576" s="547"/>
      <c r="B576" s="589" t="s">
        <v>99</v>
      </c>
      <c r="C576" s="142"/>
      <c r="D576" s="590" t="s">
        <v>100</v>
      </c>
      <c r="E576" s="591"/>
      <c r="F576" s="590" t="s">
        <v>101</v>
      </c>
      <c r="G576" s="591"/>
      <c r="H576" s="589" t="s">
        <v>102</v>
      </c>
      <c r="I576" s="142"/>
      <c r="J576" s="590" t="s">
        <v>226</v>
      </c>
      <c r="K576" s="591"/>
      <c r="L576" s="142" t="s">
        <v>82</v>
      </c>
      <c r="M576" s="142"/>
      <c r="N576" s="142" t="s">
        <v>84</v>
      </c>
      <c r="O576" s="142"/>
    </row>
    <row r="577" spans="1:19" x14ac:dyDescent="0.25">
      <c r="A577" s="597"/>
      <c r="B577" s="115" t="s">
        <v>103</v>
      </c>
      <c r="C577" s="143" t="s">
        <v>193</v>
      </c>
      <c r="D577" s="115" t="s">
        <v>103</v>
      </c>
      <c r="E577" s="143" t="s">
        <v>193</v>
      </c>
      <c r="F577" s="115" t="s">
        <v>103</v>
      </c>
      <c r="G577" s="143" t="s">
        <v>193</v>
      </c>
      <c r="H577" s="115" t="s">
        <v>103</v>
      </c>
      <c r="I577" s="143" t="s">
        <v>193</v>
      </c>
      <c r="J577" s="115" t="s">
        <v>103</v>
      </c>
      <c r="K577" s="143" t="s">
        <v>193</v>
      </c>
      <c r="L577" s="115" t="s">
        <v>103</v>
      </c>
      <c r="M577" s="143" t="s">
        <v>193</v>
      </c>
      <c r="N577" s="115" t="s">
        <v>103</v>
      </c>
      <c r="O577" s="143" t="s">
        <v>193</v>
      </c>
    </row>
    <row r="578" spans="1:19" s="556" customFormat="1" ht="18" customHeight="1" x14ac:dyDescent="0.25">
      <c r="A578" s="554" t="s">
        <v>222</v>
      </c>
      <c r="B578" s="146"/>
      <c r="C578" s="146"/>
      <c r="D578" s="146"/>
      <c r="E578" s="146"/>
      <c r="F578" s="146"/>
      <c r="G578" s="146"/>
      <c r="H578" s="146"/>
      <c r="I578" s="146"/>
      <c r="J578" s="146"/>
      <c r="K578" s="146"/>
      <c r="L578" s="146"/>
      <c r="M578" s="146"/>
      <c r="N578" s="146"/>
      <c r="O578" s="133"/>
      <c r="Q578" s="558"/>
      <c r="R578" s="558"/>
      <c r="S578" s="558"/>
    </row>
    <row r="579" spans="1:19" ht="12.95" customHeight="1" x14ac:dyDescent="0.25">
      <c r="A579" s="132"/>
      <c r="B579" s="123"/>
      <c r="C579" s="150"/>
      <c r="D579" s="123"/>
      <c r="E579" s="150"/>
      <c r="F579" s="123"/>
      <c r="G579" s="150"/>
      <c r="H579" s="123"/>
      <c r="I579" s="150"/>
      <c r="J579" s="123"/>
      <c r="K579" s="150"/>
      <c r="L579" s="123"/>
      <c r="M579" s="150"/>
      <c r="N579" s="123"/>
      <c r="O579" s="134"/>
    </row>
    <row r="580" spans="1:19" ht="12.95" customHeight="1" x14ac:dyDescent="0.25">
      <c r="A580" s="132" t="s">
        <v>205</v>
      </c>
      <c r="B580" s="126"/>
      <c r="C580" s="118"/>
      <c r="D580" s="126"/>
      <c r="E580" s="118"/>
      <c r="F580" s="126"/>
      <c r="G580" s="118"/>
      <c r="H580" s="126"/>
      <c r="I580" s="118"/>
      <c r="J580" s="126"/>
      <c r="K580" s="118"/>
      <c r="L580" s="126"/>
      <c r="M580" s="118"/>
      <c r="N580" s="126"/>
      <c r="O580" s="118"/>
    </row>
    <row r="581" spans="1:19" ht="12.95" customHeight="1" x14ac:dyDescent="0.25">
      <c r="A581" s="132" t="s">
        <v>206</v>
      </c>
      <c r="B581" s="126"/>
      <c r="C581" s="118"/>
      <c r="D581" s="126"/>
      <c r="E581" s="118"/>
      <c r="F581" s="126"/>
      <c r="G581" s="118"/>
      <c r="H581" s="126"/>
      <c r="I581" s="118"/>
      <c r="J581" s="126"/>
      <c r="K581" s="118"/>
      <c r="L581" s="126"/>
      <c r="M581" s="118"/>
      <c r="N581" s="126"/>
      <c r="O581" s="118"/>
    </row>
    <row r="582" spans="1:19" ht="12.95" customHeight="1" x14ac:dyDescent="0.25">
      <c r="A582" s="132" t="s">
        <v>221</v>
      </c>
      <c r="B582" s="126"/>
      <c r="C582" s="118"/>
      <c r="D582" s="126"/>
      <c r="E582" s="118"/>
      <c r="F582" s="126"/>
      <c r="G582" s="118"/>
      <c r="H582" s="126"/>
      <c r="I582" s="118"/>
      <c r="J582" s="126"/>
      <c r="K582" s="118"/>
      <c r="L582" s="126"/>
      <c r="M582" s="118"/>
      <c r="N582" s="126"/>
      <c r="O582" s="118"/>
    </row>
    <row r="583" spans="1:19" ht="12.95" customHeight="1" x14ac:dyDescent="0.25">
      <c r="A583" s="132" t="s">
        <v>207</v>
      </c>
      <c r="B583" s="126"/>
      <c r="C583" s="118"/>
      <c r="D583" s="126"/>
      <c r="E583" s="118"/>
      <c r="F583" s="126"/>
      <c r="G583" s="118"/>
      <c r="H583" s="126"/>
      <c r="I583" s="118"/>
      <c r="J583" s="126"/>
      <c r="K583" s="118"/>
      <c r="L583" s="126"/>
      <c r="M583" s="118"/>
      <c r="N583" s="126"/>
      <c r="O583" s="118"/>
    </row>
    <row r="584" spans="1:19" ht="12.95" customHeight="1" x14ac:dyDescent="0.25">
      <c r="A584" s="132"/>
      <c r="B584" s="126"/>
      <c r="C584" s="118"/>
      <c r="D584" s="126"/>
      <c r="E584" s="118"/>
      <c r="F584" s="126"/>
      <c r="G584" s="118"/>
      <c r="H584" s="126"/>
      <c r="I584" s="118"/>
      <c r="J584" s="126"/>
      <c r="K584" s="118"/>
      <c r="L584" s="126"/>
      <c r="M584" s="118"/>
      <c r="N584" s="126"/>
      <c r="O584" s="118"/>
    </row>
    <row r="585" spans="1:19" ht="12.95" customHeight="1" x14ac:dyDescent="0.25">
      <c r="A585" s="132" t="s">
        <v>208</v>
      </c>
      <c r="B585" s="126"/>
      <c r="C585" s="118"/>
      <c r="D585" s="126"/>
      <c r="E585" s="118"/>
      <c r="F585" s="126"/>
      <c r="G585" s="118"/>
      <c r="H585" s="126"/>
      <c r="I585" s="118"/>
      <c r="J585" s="126"/>
      <c r="K585" s="118"/>
      <c r="L585" s="126"/>
      <c r="M585" s="118"/>
      <c r="N585" s="126"/>
      <c r="O585" s="118"/>
    </row>
    <row r="586" spans="1:19" ht="12.95" customHeight="1" x14ac:dyDescent="0.25">
      <c r="A586" s="132" t="s">
        <v>209</v>
      </c>
      <c r="B586" s="126"/>
      <c r="C586" s="118"/>
      <c r="D586" s="126"/>
      <c r="E586" s="118"/>
      <c r="F586" s="126"/>
      <c r="G586" s="118"/>
      <c r="H586" s="126"/>
      <c r="I586" s="118"/>
      <c r="J586" s="126"/>
      <c r="K586" s="118"/>
      <c r="L586" s="126"/>
      <c r="M586" s="118"/>
      <c r="N586" s="126"/>
      <c r="O586" s="118"/>
    </row>
    <row r="587" spans="1:19" ht="12.95" customHeight="1" x14ac:dyDescent="0.25">
      <c r="A587" s="132" t="s">
        <v>210</v>
      </c>
      <c r="B587" s="126"/>
      <c r="C587" s="118"/>
      <c r="D587" s="126"/>
      <c r="E587" s="118"/>
      <c r="F587" s="126"/>
      <c r="G587" s="118"/>
      <c r="H587" s="126"/>
      <c r="I587" s="118"/>
      <c r="J587" s="126"/>
      <c r="K587" s="118"/>
      <c r="L587" s="126"/>
      <c r="M587" s="118"/>
      <c r="N587" s="126"/>
      <c r="O587" s="118"/>
    </row>
    <row r="588" spans="1:19" ht="12.95" customHeight="1" x14ac:dyDescent="0.25">
      <c r="A588" s="132" t="s">
        <v>211</v>
      </c>
      <c r="B588" s="126"/>
      <c r="C588" s="118"/>
      <c r="D588" s="126"/>
      <c r="E588" s="118"/>
      <c r="F588" s="126"/>
      <c r="G588" s="118"/>
      <c r="H588" s="126"/>
      <c r="I588" s="118"/>
      <c r="J588" s="126"/>
      <c r="K588" s="118"/>
      <c r="L588" s="126"/>
      <c r="M588" s="118"/>
      <c r="N588" s="126"/>
      <c r="O588" s="118"/>
    </row>
    <row r="589" spans="1:19" ht="12.95" customHeight="1" x14ac:dyDescent="0.25">
      <c r="A589" s="132"/>
      <c r="B589" s="126"/>
      <c r="C589" s="118"/>
      <c r="D589" s="126"/>
      <c r="E589" s="118"/>
      <c r="F589" s="126"/>
      <c r="G589" s="118"/>
      <c r="H589" s="126"/>
      <c r="I589" s="118"/>
      <c r="J589" s="126"/>
      <c r="K589" s="118"/>
      <c r="L589" s="126"/>
      <c r="M589" s="118"/>
      <c r="N589" s="126"/>
      <c r="O589" s="118"/>
    </row>
    <row r="590" spans="1:19" ht="12.95" customHeight="1" x14ac:dyDescent="0.25">
      <c r="A590" s="132" t="s">
        <v>212</v>
      </c>
      <c r="B590" s="126"/>
      <c r="C590" s="118"/>
      <c r="D590" s="126"/>
      <c r="E590" s="118"/>
      <c r="F590" s="126"/>
      <c r="G590" s="118"/>
      <c r="H590" s="126"/>
      <c r="I590" s="118"/>
      <c r="J590" s="126"/>
      <c r="K590" s="118"/>
      <c r="L590" s="126"/>
      <c r="M590" s="118"/>
      <c r="N590" s="126"/>
      <c r="O590" s="118"/>
    </row>
    <row r="591" spans="1:19" ht="12.95" customHeight="1" x14ac:dyDescent="0.25">
      <c r="A591" s="132" t="s">
        <v>213</v>
      </c>
      <c r="B591" s="126"/>
      <c r="C591" s="118"/>
      <c r="D591" s="126"/>
      <c r="E591" s="118"/>
      <c r="F591" s="126"/>
      <c r="G591" s="118"/>
      <c r="H591" s="126"/>
      <c r="I591" s="118"/>
      <c r="J591" s="126"/>
      <c r="K591" s="118"/>
      <c r="L591" s="126"/>
      <c r="M591" s="118"/>
      <c r="N591" s="126"/>
      <c r="O591" s="118"/>
    </row>
    <row r="592" spans="1:19" ht="12.95" customHeight="1" x14ac:dyDescent="0.25">
      <c r="A592" s="132" t="s">
        <v>214</v>
      </c>
      <c r="B592" s="126"/>
      <c r="C592" s="118"/>
      <c r="D592" s="126"/>
      <c r="E592" s="118"/>
      <c r="F592" s="126"/>
      <c r="G592" s="118"/>
      <c r="H592" s="126"/>
      <c r="I592" s="118"/>
      <c r="J592" s="126"/>
      <c r="K592" s="118"/>
      <c r="L592" s="126"/>
      <c r="M592" s="118"/>
      <c r="N592" s="126"/>
      <c r="O592" s="118"/>
    </row>
    <row r="593" spans="1:16" ht="12.95" customHeight="1" x14ac:dyDescent="0.25">
      <c r="A593" s="132" t="s">
        <v>215</v>
      </c>
      <c r="B593" s="126"/>
      <c r="C593" s="118"/>
      <c r="D593" s="126"/>
      <c r="E593" s="118"/>
      <c r="F593" s="126"/>
      <c r="G593" s="118"/>
      <c r="H593" s="126"/>
      <c r="I593" s="118"/>
      <c r="J593" s="126"/>
      <c r="K593" s="118"/>
      <c r="L593" s="126"/>
      <c r="M593" s="118"/>
      <c r="N593" s="126"/>
      <c r="O593" s="118"/>
    </row>
    <row r="594" spans="1:16" ht="12.95" customHeight="1" x14ac:dyDescent="0.25">
      <c r="A594" s="132"/>
      <c r="B594" s="126"/>
      <c r="C594" s="118"/>
      <c r="D594" s="126"/>
      <c r="E594" s="118"/>
      <c r="F594" s="126"/>
      <c r="G594" s="118"/>
      <c r="H594" s="126"/>
      <c r="I594" s="118"/>
      <c r="J594" s="126"/>
      <c r="K594" s="118"/>
      <c r="L594" s="126"/>
      <c r="M594" s="118"/>
      <c r="N594" s="126"/>
      <c r="O594" s="118"/>
    </row>
    <row r="595" spans="1:16" ht="12.95" customHeight="1" x14ac:dyDescent="0.25">
      <c r="A595" s="132" t="s">
        <v>216</v>
      </c>
      <c r="B595" s="563"/>
      <c r="C595" s="118"/>
      <c r="D595" s="563"/>
      <c r="E595" s="118"/>
      <c r="F595" s="563"/>
      <c r="G595" s="118"/>
      <c r="H595" s="563"/>
      <c r="I595" s="118"/>
      <c r="J595" s="563"/>
      <c r="K595" s="118"/>
      <c r="L595" s="563"/>
      <c r="M595" s="118"/>
      <c r="N595" s="126"/>
      <c r="O595" s="118"/>
    </row>
    <row r="596" spans="1:16" ht="12.95" customHeight="1" x14ac:dyDescent="0.25">
      <c r="A596" s="132" t="s">
        <v>217</v>
      </c>
      <c r="B596" s="563"/>
      <c r="C596" s="118"/>
      <c r="D596" s="563"/>
      <c r="E596" s="118"/>
      <c r="F596" s="563"/>
      <c r="G596" s="118"/>
      <c r="H596" s="563"/>
      <c r="I596" s="118"/>
      <c r="J596" s="563"/>
      <c r="K596" s="118"/>
      <c r="L596" s="563"/>
      <c r="M596" s="118"/>
      <c r="N596" s="126"/>
      <c r="O596" s="118"/>
    </row>
    <row r="597" spans="1:16" ht="12.95" customHeight="1" x14ac:dyDescent="0.25">
      <c r="A597" s="132" t="s">
        <v>218</v>
      </c>
      <c r="B597" s="563"/>
      <c r="C597" s="118"/>
      <c r="D597" s="563"/>
      <c r="E597" s="118"/>
      <c r="F597" s="563"/>
      <c r="G597" s="118"/>
      <c r="H597" s="563"/>
      <c r="I597" s="118"/>
      <c r="J597" s="563"/>
      <c r="K597" s="118"/>
      <c r="L597" s="563"/>
      <c r="M597" s="118"/>
      <c r="N597" s="126"/>
      <c r="O597" s="118"/>
    </row>
    <row r="598" spans="1:16" ht="12.95" customHeight="1" x14ac:dyDescent="0.25">
      <c r="A598" s="6" t="s">
        <v>219</v>
      </c>
      <c r="B598" s="566"/>
      <c r="C598" s="119"/>
      <c r="D598" s="566"/>
      <c r="E598" s="119"/>
      <c r="F598" s="566"/>
      <c r="G598" s="119"/>
      <c r="H598" s="566"/>
      <c r="I598" s="119"/>
      <c r="J598" s="566"/>
      <c r="K598" s="119"/>
      <c r="L598" s="566"/>
      <c r="M598" s="119"/>
      <c r="N598" s="566"/>
      <c r="O598" s="119"/>
    </row>
    <row r="599" spans="1:16" ht="30" customHeight="1" x14ac:dyDescent="0.25">
      <c r="A599" s="672" t="s">
        <v>92</v>
      </c>
      <c r="B599" s="678"/>
      <c r="C599" s="678"/>
      <c r="D599" s="678"/>
      <c r="E599" s="678"/>
      <c r="F599" s="678"/>
      <c r="G599" s="678"/>
      <c r="H599" s="678"/>
      <c r="I599" s="678"/>
      <c r="J599" s="678"/>
      <c r="K599" s="678"/>
      <c r="L599" s="678"/>
      <c r="M599" s="678"/>
      <c r="N599" s="678"/>
      <c r="O599" s="678"/>
    </row>
    <row r="600" spans="1:16" x14ac:dyDescent="0.25">
      <c r="O600" s="157" t="s">
        <v>1053</v>
      </c>
      <c r="P600" s="598"/>
    </row>
  </sheetData>
  <mergeCells count="59">
    <mergeCell ref="A63:I63"/>
    <mergeCell ref="A29:O29"/>
    <mergeCell ref="A33:M33"/>
    <mergeCell ref="A34:M34"/>
    <mergeCell ref="A59:K59"/>
    <mergeCell ref="A153:M153"/>
    <mergeCell ref="A64:I64"/>
    <mergeCell ref="A93:M93"/>
    <mergeCell ref="A94:M94"/>
    <mergeCell ref="A119:M119"/>
    <mergeCell ref="A123:M123"/>
    <mergeCell ref="A124:M124"/>
    <mergeCell ref="A149:M149"/>
    <mergeCell ref="A89:G89"/>
    <mergeCell ref="A243:M243"/>
    <mergeCell ref="A154:M154"/>
    <mergeCell ref="A179:M179"/>
    <mergeCell ref="A183:M183"/>
    <mergeCell ref="A184:M184"/>
    <mergeCell ref="A209:M209"/>
    <mergeCell ref="A213:M213"/>
    <mergeCell ref="A214:M214"/>
    <mergeCell ref="A239:M239"/>
    <mergeCell ref="A333:O333"/>
    <mergeCell ref="A244:M244"/>
    <mergeCell ref="A269:M269"/>
    <mergeCell ref="A273:M273"/>
    <mergeCell ref="A274:M274"/>
    <mergeCell ref="A299:M299"/>
    <mergeCell ref="A303:O303"/>
    <mergeCell ref="A304:O304"/>
    <mergeCell ref="A329:O329"/>
    <mergeCell ref="A423:O423"/>
    <mergeCell ref="A334:O334"/>
    <mergeCell ref="A359:O359"/>
    <mergeCell ref="A363:O363"/>
    <mergeCell ref="A364:O364"/>
    <mergeCell ref="A389:O389"/>
    <mergeCell ref="A393:O393"/>
    <mergeCell ref="A394:O394"/>
    <mergeCell ref="A419:O419"/>
    <mergeCell ref="A513:O513"/>
    <mergeCell ref="A424:O424"/>
    <mergeCell ref="A449:O449"/>
    <mergeCell ref="A453:O453"/>
    <mergeCell ref="A454:O454"/>
    <mergeCell ref="A479:O479"/>
    <mergeCell ref="A483:O483"/>
    <mergeCell ref="A484:O484"/>
    <mergeCell ref="A509:O509"/>
    <mergeCell ref="A571:O571"/>
    <mergeCell ref="A573:O573"/>
    <mergeCell ref="A574:O574"/>
    <mergeCell ref="A599:O599"/>
    <mergeCell ref="A514:O514"/>
    <mergeCell ref="A539:O539"/>
    <mergeCell ref="A543:O543"/>
    <mergeCell ref="A544:O544"/>
    <mergeCell ref="A569:O569"/>
  </mergeCells>
  <printOptions horizontalCentered="1"/>
  <pageMargins left="0.5" right="0.5" top="1" bottom="0.75" header="0.75" footer="0.5"/>
  <pageSetup scale="89" firstPageNumber="143" orientation="landscape" useFirstPageNumber="1" r:id="rId1"/>
  <headerFooter alignWithMargins="0">
    <oddHeader>&amp;R&amp;"Arial,Regular"&amp;8SREB-State Data Exchange</oddHeader>
    <oddFooter>&amp;C&amp;"Arial,Regular"&amp;10C-&amp;P</oddFooter>
  </headerFooter>
  <rowBreaks count="19" manualBreakCount="19">
    <brk id="30" max="16383" man="1"/>
    <brk id="60" max="16383" man="1"/>
    <brk id="90" max="16383" man="1"/>
    <brk id="120" max="16383" man="1"/>
    <brk id="150" max="16383" man="1"/>
    <brk id="180" max="16383" man="1"/>
    <brk id="210" max="16383" man="1"/>
    <brk id="240" max="16383" man="1"/>
    <brk id="270" max="16383" man="1"/>
    <brk id="300" max="16383" man="1"/>
    <brk id="330" max="16383" man="1"/>
    <brk id="360" max="16383" man="1"/>
    <brk id="390" max="16383" man="1"/>
    <brk id="420" max="16383" man="1"/>
    <brk id="450" max="14" man="1"/>
    <brk id="480" max="16383" man="1"/>
    <brk id="510" max="16383" man="1"/>
    <brk id="540" max="16383" man="1"/>
    <brk id="570"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16"/>
  </sheetPr>
  <dimension ref="A1:AJ130"/>
  <sheetViews>
    <sheetView showGridLines="0" showZeros="0" view="pageBreakPreview" topLeftCell="A74" zoomScaleNormal="75" zoomScaleSheetLayoutView="100" workbookViewId="0">
      <selection activeCell="AH17" sqref="AH17"/>
    </sheetView>
  </sheetViews>
  <sheetFormatPr defaultColWidth="8.875" defaultRowHeight="15" x14ac:dyDescent="0.2"/>
  <cols>
    <col min="1" max="1" width="5.375" style="7" customWidth="1"/>
    <col min="2" max="2" width="15.625" style="19" customWidth="1"/>
    <col min="3" max="3" width="6.25" style="7" bestFit="1" customWidth="1"/>
    <col min="4" max="4" width="5.875" style="7" customWidth="1"/>
    <col min="5" max="5" width="5.75" style="7" customWidth="1"/>
    <col min="6" max="6" width="5.25" style="7" customWidth="1"/>
    <col min="7" max="7" width="5.75" style="7" customWidth="1"/>
    <col min="8" max="8" width="5.5" style="7" customWidth="1"/>
    <col min="9" max="9" width="5.5" style="7" bestFit="1" customWidth="1"/>
    <col min="10" max="10" width="5.875" style="7" customWidth="1"/>
    <col min="11" max="11" width="5.625" style="7" customWidth="1"/>
    <col min="12" max="13" width="6.25" style="7" customWidth="1"/>
    <col min="14" max="16" width="5.875" style="7" customWidth="1"/>
    <col min="17" max="17" width="6.625" style="19" customWidth="1"/>
    <col min="18" max="18" width="3.625" style="53" customWidth="1"/>
    <col min="19" max="24" width="7.25" style="46" customWidth="1"/>
    <col min="25" max="25" width="7.625" style="46" customWidth="1"/>
    <col min="26" max="26" width="6.75" style="46" customWidth="1"/>
    <col min="27" max="27" width="7.25" style="46" customWidth="1"/>
    <col min="28" max="28" width="8.125" style="46" customWidth="1"/>
    <col min="29" max="30" width="6.5" style="46" customWidth="1"/>
    <col min="31" max="31" width="8.375" style="46" customWidth="1"/>
    <col min="32" max="32" width="6.75" style="46" customWidth="1"/>
    <col min="33" max="33" width="7.875" style="46" customWidth="1"/>
    <col min="34" max="34" width="6.375" style="63" customWidth="1"/>
    <col min="35" max="35" width="5.375" style="46" customWidth="1"/>
    <col min="36" max="36" width="8.875" style="46" customWidth="1"/>
    <col min="37" max="16384" width="8.875" style="7"/>
  </cols>
  <sheetData>
    <row r="1" spans="1:36" customFormat="1" ht="15.75" x14ac:dyDescent="0.25">
      <c r="A1" s="7"/>
      <c r="B1" s="162"/>
      <c r="C1" s="162"/>
      <c r="D1" s="162"/>
      <c r="E1" s="162"/>
      <c r="F1" s="162"/>
      <c r="G1" s="162"/>
      <c r="H1" s="162"/>
      <c r="I1" s="163"/>
      <c r="J1" s="162"/>
      <c r="K1" s="162"/>
      <c r="L1" s="162"/>
      <c r="M1" s="163"/>
      <c r="N1" s="165"/>
      <c r="O1" s="164"/>
      <c r="P1" s="166"/>
      <c r="Q1" s="166"/>
    </row>
    <row r="2" spans="1:36" customFormat="1" ht="15.75" x14ac:dyDescent="0.25">
      <c r="A2" s="7"/>
      <c r="B2" s="162"/>
      <c r="C2" s="162"/>
      <c r="D2" s="162"/>
      <c r="E2" s="162"/>
      <c r="F2" s="162"/>
      <c r="G2" s="162"/>
      <c r="H2" s="162"/>
      <c r="I2" s="163"/>
      <c r="J2" s="162"/>
      <c r="K2" s="162"/>
      <c r="L2" s="162"/>
      <c r="M2" s="163"/>
      <c r="N2" s="165"/>
      <c r="O2" s="164"/>
      <c r="P2" s="166"/>
      <c r="Q2" s="166"/>
    </row>
    <row r="3" spans="1:36" ht="18" x14ac:dyDescent="0.25">
      <c r="A3" s="161" t="s">
        <v>1085</v>
      </c>
      <c r="B3" s="168"/>
      <c r="C3" s="26"/>
      <c r="D3" s="26"/>
      <c r="E3" s="26"/>
      <c r="F3" s="26"/>
      <c r="G3" s="26"/>
      <c r="H3" s="26"/>
      <c r="I3" s="26"/>
      <c r="J3" s="26"/>
      <c r="K3" s="26"/>
      <c r="L3" s="26"/>
      <c r="M3" s="26"/>
      <c r="N3" s="26"/>
      <c r="O3" s="26"/>
      <c r="P3" s="26"/>
      <c r="Q3" s="25"/>
      <c r="R3" s="51" t="s">
        <v>223</v>
      </c>
      <c r="S3" s="58"/>
      <c r="T3" s="58"/>
      <c r="U3" s="58"/>
      <c r="V3" s="58"/>
      <c r="W3" s="58"/>
      <c r="X3" s="58"/>
      <c r="Y3" s="58"/>
      <c r="Z3" s="58"/>
      <c r="AA3" s="58"/>
      <c r="AB3" s="58"/>
      <c r="AC3" s="58"/>
      <c r="AD3" s="58"/>
      <c r="AE3" s="58"/>
      <c r="AF3" s="58"/>
      <c r="AG3" s="58"/>
      <c r="AH3" s="59"/>
    </row>
    <row r="4" spans="1:36" ht="18" x14ac:dyDescent="0.25">
      <c r="A4" s="167" t="s">
        <v>258</v>
      </c>
      <c r="B4" s="168"/>
      <c r="C4" s="26"/>
      <c r="D4" s="26"/>
      <c r="E4" s="26"/>
      <c r="F4" s="26"/>
      <c r="G4" s="26"/>
      <c r="H4" s="26"/>
      <c r="I4" s="26"/>
      <c r="J4" s="26"/>
      <c r="K4" s="26"/>
      <c r="L4" s="26"/>
      <c r="M4" s="26"/>
      <c r="N4" s="26"/>
      <c r="O4" s="26"/>
      <c r="P4" s="26"/>
      <c r="Q4" s="25"/>
      <c r="R4" s="51" t="s">
        <v>223</v>
      </c>
      <c r="S4" s="58"/>
      <c r="T4" s="58"/>
      <c r="U4" s="58"/>
      <c r="V4" s="58"/>
      <c r="W4" s="58"/>
      <c r="X4" s="58"/>
      <c r="Y4" s="58"/>
      <c r="Z4" s="58"/>
      <c r="AA4" s="58"/>
      <c r="AB4" s="58"/>
      <c r="AC4" s="58"/>
      <c r="AD4" s="58"/>
      <c r="AE4" s="58"/>
      <c r="AF4" s="58"/>
      <c r="AG4" s="58"/>
      <c r="AH4" s="59"/>
    </row>
    <row r="5" spans="1:36" s="1" customFormat="1" ht="18.75" customHeight="1" x14ac:dyDescent="0.3">
      <c r="A5" s="167" t="s">
        <v>1052</v>
      </c>
      <c r="B5" s="27"/>
      <c r="C5" s="28"/>
      <c r="D5" s="28"/>
      <c r="E5" s="28"/>
      <c r="F5" s="28"/>
      <c r="G5" s="28"/>
      <c r="H5" s="28"/>
      <c r="I5" s="28"/>
      <c r="J5" s="28"/>
      <c r="K5" s="28"/>
      <c r="L5" s="28"/>
      <c r="M5" s="28"/>
      <c r="N5" s="28"/>
      <c r="O5" s="28"/>
      <c r="P5" s="28"/>
      <c r="Q5" s="27"/>
      <c r="R5" s="52" t="s">
        <v>223</v>
      </c>
      <c r="S5" s="60"/>
      <c r="T5" s="60"/>
      <c r="U5" s="60"/>
      <c r="V5" s="60"/>
      <c r="W5" s="60"/>
      <c r="X5" s="60"/>
      <c r="Y5" s="60"/>
      <c r="Z5" s="60"/>
      <c r="AA5" s="60"/>
      <c r="AB5" s="60"/>
      <c r="AC5" s="60"/>
      <c r="AD5" s="60"/>
      <c r="AE5" s="60"/>
      <c r="AF5" s="60"/>
      <c r="AG5" s="60"/>
      <c r="AH5" s="61"/>
      <c r="AI5" s="62"/>
      <c r="AJ5" s="62"/>
    </row>
    <row r="6" spans="1:36" s="1" customFormat="1" ht="15.75" customHeight="1" x14ac:dyDescent="0.3">
      <c r="A6" s="169" t="s">
        <v>80</v>
      </c>
      <c r="B6" s="27"/>
      <c r="C6" s="28"/>
      <c r="D6" s="28"/>
      <c r="E6" s="28"/>
      <c r="F6" s="28"/>
      <c r="G6" s="28"/>
      <c r="H6" s="28"/>
      <c r="I6" s="28"/>
      <c r="J6" s="28"/>
      <c r="K6" s="28"/>
      <c r="L6" s="28"/>
      <c r="M6" s="28"/>
      <c r="N6" s="28"/>
      <c r="O6" s="28"/>
      <c r="P6" s="28"/>
      <c r="Q6" s="27"/>
      <c r="R6" s="52" t="s">
        <v>223</v>
      </c>
      <c r="S6" s="108"/>
      <c r="T6" s="60"/>
      <c r="U6" s="60"/>
      <c r="V6" s="60"/>
      <c r="W6" s="60"/>
      <c r="X6" s="60"/>
      <c r="Y6" s="60"/>
      <c r="Z6" s="60"/>
      <c r="AA6" s="60"/>
      <c r="AB6" s="60"/>
      <c r="AC6" s="60"/>
      <c r="AD6" s="60"/>
      <c r="AE6" s="60"/>
      <c r="AF6" s="60"/>
      <c r="AG6" s="60"/>
      <c r="AH6" s="61"/>
      <c r="AI6" s="62"/>
      <c r="AJ6" s="62"/>
    </row>
    <row r="7" spans="1:36" ht="15.75" customHeight="1" x14ac:dyDescent="0.2">
      <c r="A7" s="8"/>
      <c r="R7" s="53" t="s">
        <v>223</v>
      </c>
    </row>
    <row r="8" spans="1:36" x14ac:dyDescent="0.2">
      <c r="A8" s="29"/>
      <c r="B8" s="9"/>
      <c r="C8" s="36" t="s">
        <v>81</v>
      </c>
      <c r="D8" s="30"/>
      <c r="E8" s="30"/>
      <c r="F8" s="30"/>
      <c r="G8" s="30"/>
      <c r="H8" s="30"/>
      <c r="I8" s="30"/>
      <c r="J8" s="30"/>
      <c r="K8" s="30"/>
      <c r="L8" s="30"/>
      <c r="M8" s="30"/>
      <c r="N8" s="30"/>
      <c r="O8" s="30"/>
      <c r="P8" s="30"/>
      <c r="Q8" s="30"/>
      <c r="R8" s="54"/>
      <c r="S8" s="36" t="s">
        <v>96</v>
      </c>
      <c r="T8" s="64"/>
      <c r="U8" s="64"/>
      <c r="V8" s="64"/>
      <c r="W8" s="64"/>
      <c r="X8" s="64"/>
      <c r="Y8" s="64"/>
      <c r="Z8" s="64"/>
      <c r="AA8" s="64"/>
      <c r="AB8" s="64"/>
      <c r="AC8" s="64"/>
      <c r="AD8" s="64"/>
      <c r="AE8" s="64"/>
      <c r="AF8" s="64"/>
      <c r="AG8" s="64"/>
      <c r="AH8" s="64"/>
    </row>
    <row r="9" spans="1:36" x14ac:dyDescent="0.2">
      <c r="A9" s="31"/>
      <c r="B9" s="42"/>
      <c r="C9" s="37" t="s">
        <v>86</v>
      </c>
      <c r="D9" s="35"/>
      <c r="E9" s="35"/>
      <c r="F9" s="35"/>
      <c r="G9" s="35"/>
      <c r="H9" s="35"/>
      <c r="I9" s="35"/>
      <c r="J9" s="34" t="s">
        <v>87</v>
      </c>
      <c r="K9" s="48"/>
      <c r="L9" s="48"/>
      <c r="M9" s="48"/>
      <c r="N9" s="49"/>
      <c r="O9" s="34" t="s">
        <v>57</v>
      </c>
      <c r="P9" s="48"/>
      <c r="Q9" s="35"/>
      <c r="S9" s="37" t="s">
        <v>86</v>
      </c>
      <c r="T9" s="65"/>
      <c r="U9" s="65"/>
      <c r="V9" s="65"/>
      <c r="W9" s="65"/>
      <c r="X9" s="65"/>
      <c r="Y9" s="65"/>
      <c r="Z9" s="66" t="s">
        <v>87</v>
      </c>
      <c r="AA9" s="67"/>
      <c r="AB9" s="67"/>
      <c r="AC9" s="67"/>
      <c r="AD9" s="67"/>
      <c r="AE9" s="68"/>
      <c r="AF9" s="66" t="s">
        <v>57</v>
      </c>
      <c r="AG9" s="67"/>
      <c r="AH9" s="65"/>
    </row>
    <row r="10" spans="1:36" ht="41.25" customHeight="1" x14ac:dyDescent="0.2">
      <c r="A10" s="43"/>
      <c r="B10" s="44"/>
      <c r="C10" s="45">
        <v>1</v>
      </c>
      <c r="D10" s="32">
        <v>2</v>
      </c>
      <c r="E10" s="32">
        <v>3</v>
      </c>
      <c r="F10" s="32">
        <v>4</v>
      </c>
      <c r="G10" s="32">
        <v>5</v>
      </c>
      <c r="H10" s="32">
        <v>6</v>
      </c>
      <c r="I10" s="50" t="s">
        <v>224</v>
      </c>
      <c r="J10" s="38" t="s">
        <v>71</v>
      </c>
      <c r="K10" s="32">
        <v>1</v>
      </c>
      <c r="L10" s="32">
        <v>2</v>
      </c>
      <c r="M10" s="32">
        <v>3</v>
      </c>
      <c r="N10" s="50" t="s">
        <v>225</v>
      </c>
      <c r="O10" s="38">
        <v>1</v>
      </c>
      <c r="P10" s="38">
        <v>2</v>
      </c>
      <c r="Q10" s="85" t="s">
        <v>192</v>
      </c>
      <c r="R10" s="55"/>
      <c r="S10" s="69">
        <v>1</v>
      </c>
      <c r="T10" s="70">
        <v>2</v>
      </c>
      <c r="U10" s="70">
        <v>3</v>
      </c>
      <c r="V10" s="70">
        <v>4</v>
      </c>
      <c r="W10" s="70">
        <v>5</v>
      </c>
      <c r="X10" s="70">
        <v>6</v>
      </c>
      <c r="Y10" s="72" t="s">
        <v>88</v>
      </c>
      <c r="Z10" s="71" t="s">
        <v>71</v>
      </c>
      <c r="AA10" s="70">
        <v>1</v>
      </c>
      <c r="AB10" s="70">
        <v>2</v>
      </c>
      <c r="AC10" s="70">
        <v>3</v>
      </c>
      <c r="AD10" s="71" t="s">
        <v>324</v>
      </c>
      <c r="AE10" s="72" t="s">
        <v>192</v>
      </c>
      <c r="AF10" s="71">
        <v>1</v>
      </c>
      <c r="AG10" s="71">
        <v>2</v>
      </c>
      <c r="AH10" s="86" t="s">
        <v>192</v>
      </c>
    </row>
    <row r="11" spans="1:36" x14ac:dyDescent="0.2">
      <c r="A11" s="18" t="s">
        <v>85</v>
      </c>
      <c r="B11" s="15" t="s">
        <v>99</v>
      </c>
      <c r="C11" s="16">
        <f t="shared" ref="C11:D16" si="0">IF(S$17&gt;0,(S11/S$17),0)</f>
        <v>0.32749725112069694</v>
      </c>
      <c r="D11" s="17">
        <f t="shared" si="0"/>
        <v>0.24735049205147616</v>
      </c>
      <c r="E11" s="17">
        <f t="shared" ref="D11:M17" si="1">IF(U$17&gt;0,(U11/U$17),0)</f>
        <v>0.24216524216524216</v>
      </c>
      <c r="F11" s="17">
        <f t="shared" si="1"/>
        <v>0.2103762827822121</v>
      </c>
      <c r="G11" s="17">
        <f t="shared" si="1"/>
        <v>0.20620961952620245</v>
      </c>
      <c r="H11" s="39">
        <f t="shared" si="1"/>
        <v>0.18449030644152595</v>
      </c>
      <c r="I11" s="16">
        <f t="shared" si="1"/>
        <v>0.27550643133744573</v>
      </c>
      <c r="J11" s="16">
        <f t="shared" si="1"/>
        <v>4.9136786188579015E-2</v>
      </c>
      <c r="K11" s="17">
        <f t="shared" si="1"/>
        <v>0.12134563804969349</v>
      </c>
      <c r="L11" s="17">
        <f t="shared" si="1"/>
        <v>9.1176711096573715E-2</v>
      </c>
      <c r="M11" s="17">
        <f t="shared" si="1"/>
        <v>6.0873215785054578E-2</v>
      </c>
      <c r="N11" s="16">
        <f t="shared" ref="N11:P17" si="2">IF(AE$17&gt;0,(AE11/AE$17),0)</f>
        <v>0.10439571323864424</v>
      </c>
      <c r="O11" s="91">
        <f t="shared" si="2"/>
        <v>2.8429073856975382E-2</v>
      </c>
      <c r="P11" s="152">
        <f t="shared" si="2"/>
        <v>0</v>
      </c>
      <c r="Q11" s="91">
        <f t="shared" ref="Q11:Q17" si="3">IF(AH$17&gt;0,(AH11/AH$17),0)</f>
        <v>1.9897435897435898E-2</v>
      </c>
      <c r="R11" s="83"/>
      <c r="S11" s="73">
        <f>+GETPIVOTDATA(" Total # Prof New",'NEW Counts Pivot Table'!$A$3,"Category",1,"Category2","Four-Year")</f>
        <v>15488</v>
      </c>
      <c r="T11" s="74">
        <f>+GETPIVOTDATA(" Total # Prof New",'NEW Counts Pivot Table'!$A$3,"Category",2,"Category2","Four-Year")</f>
        <v>2614</v>
      </c>
      <c r="U11" s="74">
        <f>+GETPIVOTDATA(" Total # Prof New",'NEW Counts Pivot Table'!$A$3,"Category",3,"Category2","Four-Year")</f>
        <v>6630</v>
      </c>
      <c r="V11" s="74">
        <f>+GETPIVOTDATA(" Total # Prof New",'NEW Counts Pivot Table'!$A$3,"Category",4,"Category2","Four-Year")</f>
        <v>1845</v>
      </c>
      <c r="W11" s="74">
        <f>+GETPIVOTDATA(" Total # Prof New",'NEW Counts Pivot Table'!$A$3,"Category",5,"Category2","Four-Year")</f>
        <v>1149</v>
      </c>
      <c r="X11" s="74">
        <f>+GETPIVOTDATA(" Total # Prof New",'NEW Counts Pivot Table'!$A$3,"Category",6,"Category2","Four-Year")</f>
        <v>590</v>
      </c>
      <c r="Y11" s="75">
        <f>+GETPIVOTDATA(" Total # Prof New",'NEW Counts Pivot Table'!$A$3,"Category2","Four-Year")</f>
        <v>28316</v>
      </c>
      <c r="Z11" s="73">
        <f>+GETPIVOTDATA(" Total # Prof New",'NEW Counts Pivot Table'!$A$3,"Category",7,"Category2","Two-Year")</f>
        <v>185</v>
      </c>
      <c r="AA11" s="74">
        <f>+GETPIVOTDATA(" Total # Prof New",'NEW Counts Pivot Table'!$A$3,"Category",8,"Category2","Two-Year")</f>
        <v>2710</v>
      </c>
      <c r="AB11" s="74">
        <f>+GETPIVOTDATA(" Total # Prof New",'NEW Counts Pivot Table'!$A$3,"Category",9,"Category2","Two-Year")</f>
        <v>1115</v>
      </c>
      <c r="AC11" s="74">
        <f>+GETPIVOTDATA(" Total # Prof New",'NEW Counts Pivot Table'!$A$3,"Category",10,"Category2","Two-Year")</f>
        <v>290</v>
      </c>
      <c r="AD11" s="74">
        <f>+GETPIVOTDATA(" Total # Prof New",'NEW Counts Pivot Table'!$A$3,"Category",11,"Category2","Two-Year")</f>
        <v>443</v>
      </c>
      <c r="AE11" s="75">
        <f>+GETPIVOTDATA(" Total # Prof New",'NEW Counts Pivot Table'!$A$3,"Category2","Two-Year")</f>
        <v>4743</v>
      </c>
      <c r="AF11" s="73">
        <f>+GETPIVOTDATA(" Total # Prof New",'NEW Counts Pivot Table'!$A$3,"Category",12,"Category2","Technical Institutes")</f>
        <v>97</v>
      </c>
      <c r="AG11" s="74">
        <f>+GETPIVOTDATA(" Total # Prof New",'NEW Counts Pivot Table'!$A$3,"Category",13,"Category2","Technical Institutes")</f>
        <v>0</v>
      </c>
      <c r="AH11" s="73">
        <f>+GETPIVOTDATA(" Total # Prof New",'NEW Counts Pivot Table'!$A$3,"Category2","Technical Institutes")</f>
        <v>97</v>
      </c>
    </row>
    <row r="12" spans="1:36" x14ac:dyDescent="0.2">
      <c r="A12" s="10"/>
      <c r="B12" s="18" t="s">
        <v>100</v>
      </c>
      <c r="C12" s="12">
        <f t="shared" si="0"/>
        <v>0.27063773999830837</v>
      </c>
      <c r="D12" s="14">
        <f t="shared" si="0"/>
        <v>0.27715745647236939</v>
      </c>
      <c r="E12" s="14">
        <f t="shared" si="1"/>
        <v>0.26093944042661993</v>
      </c>
      <c r="F12" s="14">
        <f t="shared" si="1"/>
        <v>0.25849486887115164</v>
      </c>
      <c r="G12" s="14">
        <f t="shared" si="1"/>
        <v>0.26561378320172291</v>
      </c>
      <c r="H12" s="40">
        <f t="shared" si="1"/>
        <v>0.25328330206378985</v>
      </c>
      <c r="I12" s="12">
        <f t="shared" si="1"/>
        <v>0.26687617972717897</v>
      </c>
      <c r="J12" s="12">
        <f t="shared" si="1"/>
        <v>5.790172642762284E-2</v>
      </c>
      <c r="K12" s="14">
        <f t="shared" si="1"/>
        <v>0.10258407998961173</v>
      </c>
      <c r="L12" s="14">
        <f t="shared" si="1"/>
        <v>9.6900809551067141E-2</v>
      </c>
      <c r="M12" s="14">
        <f t="shared" si="1"/>
        <v>5.1427371956339209E-2</v>
      </c>
      <c r="N12" s="12">
        <f t="shared" si="2"/>
        <v>0.10208461269256419</v>
      </c>
      <c r="O12" s="12">
        <f t="shared" si="2"/>
        <v>1.7584994138335287E-2</v>
      </c>
      <c r="P12" s="14">
        <f t="shared" si="2"/>
        <v>0</v>
      </c>
      <c r="Q12" s="12">
        <f t="shared" si="3"/>
        <v>1.2307692307692308E-2</v>
      </c>
      <c r="R12" s="56"/>
      <c r="S12" s="76">
        <f>+GETPIVOTDATA(" Tot # Asc. Prof New",'NEW Counts Pivot Table'!$A$3,"Category",1,"Category2","Four-Year")</f>
        <v>12799</v>
      </c>
      <c r="T12" s="77">
        <f>+GETPIVOTDATA(" Tot # Asc. Prof New",'NEW Counts Pivot Table'!$A$3,"Category",2,"Category2","Four-Year")</f>
        <v>2929</v>
      </c>
      <c r="U12" s="77">
        <f>+GETPIVOTDATA(" Tot # Asc. Prof New",'NEW Counts Pivot Table'!$A$3,"Category",3,"Category2","Four-Year")</f>
        <v>7144</v>
      </c>
      <c r="V12" s="77">
        <f>+GETPIVOTDATA(" Tot # Asc. Prof New",'NEW Counts Pivot Table'!$A$3,"Category",4,"Category2","Four-Year")</f>
        <v>2267</v>
      </c>
      <c r="W12" s="77">
        <f>+GETPIVOTDATA(" Tot # Asc. Prof New",'NEW Counts Pivot Table'!$A$3,"Category",5,"Category2","Four-Year")</f>
        <v>1480</v>
      </c>
      <c r="X12" s="77">
        <f>+GETPIVOTDATA(" Tot # Asc. Prof New",'NEW Counts Pivot Table'!$A$3,"Category",6,"Category2","Four-Year")</f>
        <v>810</v>
      </c>
      <c r="Y12" s="78">
        <f>+GETPIVOTDATA(" Tot # Asc. Prof New",'NEW Counts Pivot Table'!$A$3,"Category2","Four-Year")</f>
        <v>27429</v>
      </c>
      <c r="Z12" s="76">
        <f>+GETPIVOTDATA(" Tot # Asc. Prof New",'NEW Counts Pivot Table'!$A$3,"Category",7,"Category2","Two-Year")</f>
        <v>218</v>
      </c>
      <c r="AA12" s="77">
        <f>+GETPIVOTDATA(" Tot # Asc. Prof New",'NEW Counts Pivot Table'!$A$3,"Category",8,"Category2","Two-Year")</f>
        <v>2291</v>
      </c>
      <c r="AB12" s="77">
        <f>+GETPIVOTDATA(" Tot # Asc. Prof New",'NEW Counts Pivot Table'!$A$3,"Category",9,"Category2","Two-Year")</f>
        <v>1185</v>
      </c>
      <c r="AC12" s="77">
        <f>+GETPIVOTDATA(" Tot # Asc. Prof New",'NEW Counts Pivot Table'!$A$3,"Category",10,"Category2","Two-Year")</f>
        <v>245</v>
      </c>
      <c r="AD12" s="77">
        <f>+GETPIVOTDATA(" Tot # Asc. Prof New",'NEW Counts Pivot Table'!$A$3,"Category",11,"Category2","Two-Year")</f>
        <v>699</v>
      </c>
      <c r="AE12" s="78">
        <f>+GETPIVOTDATA(" Tot # Asc. Prof New",'NEW Counts Pivot Table'!$A$3,"Category2","Two-Year")</f>
        <v>4638</v>
      </c>
      <c r="AF12" s="76">
        <f>+GETPIVOTDATA(" Tot # Asc. Prof New",'NEW Counts Pivot Table'!$A$3,"Category",12,"Category2","Technical Institutes")</f>
        <v>60</v>
      </c>
      <c r="AG12" s="77">
        <f>+GETPIVOTDATA(" Tot # Asc. Prof New",'NEW Counts Pivot Table'!$A$3,"Category",13,"Category2","Technical Institutes")</f>
        <v>0</v>
      </c>
      <c r="AH12" s="76">
        <f>+GETPIVOTDATA(" Tot # Asc. Prof New",'NEW Counts Pivot Table'!$A$3,"Category2","Technical Institutes")</f>
        <v>60</v>
      </c>
    </row>
    <row r="13" spans="1:36" x14ac:dyDescent="0.2">
      <c r="A13" s="10"/>
      <c r="B13" s="18" t="s">
        <v>101</v>
      </c>
      <c r="C13" s="12">
        <f t="shared" si="0"/>
        <v>0.23350672418167978</v>
      </c>
      <c r="D13" s="14">
        <f t="shared" si="0"/>
        <v>0.244890234670704</v>
      </c>
      <c r="E13" s="14">
        <f t="shared" si="1"/>
        <v>0.286288260647235</v>
      </c>
      <c r="F13" s="14">
        <f t="shared" si="1"/>
        <v>0.34321550741163054</v>
      </c>
      <c r="G13" s="14">
        <f t="shared" si="1"/>
        <v>0.3165829145728643</v>
      </c>
      <c r="H13" s="40">
        <f t="shared" si="1"/>
        <v>0.3608505315822389</v>
      </c>
      <c r="I13" s="12">
        <f t="shared" si="1"/>
        <v>0.26656482904901829</v>
      </c>
      <c r="J13" s="12">
        <f t="shared" si="1"/>
        <v>7.8353253652058433E-2</v>
      </c>
      <c r="K13" s="14">
        <f t="shared" si="1"/>
        <v>7.8001513462201494E-2</v>
      </c>
      <c r="L13" s="14">
        <f t="shared" si="1"/>
        <v>9.2648622127729174E-2</v>
      </c>
      <c r="M13" s="14">
        <f t="shared" si="1"/>
        <v>8.2283795130142737E-2</v>
      </c>
      <c r="N13" s="12">
        <f t="shared" si="2"/>
        <v>9.3324441098851268E-2</v>
      </c>
      <c r="O13" s="12">
        <f t="shared" si="2"/>
        <v>2.2274325908558032E-2</v>
      </c>
      <c r="P13" s="14">
        <f t="shared" si="2"/>
        <v>0</v>
      </c>
      <c r="Q13" s="12">
        <f t="shared" si="3"/>
        <v>1.558974358974359E-2</v>
      </c>
      <c r="R13" s="56"/>
      <c r="S13" s="76">
        <f>+GETPIVOTDATA(" Tot # Ast. Prof New",'NEW Counts Pivot Table'!$A$3,"Category",1,"Category2","Four-Year")</f>
        <v>11043</v>
      </c>
      <c r="T13" s="77">
        <f>+GETPIVOTDATA(" Tot # Ast. Prof New",'NEW Counts Pivot Table'!$A$3,"Category",2,"Category2","Four-Year")</f>
        <v>2588</v>
      </c>
      <c r="U13" s="77">
        <f>+GETPIVOTDATA(" Tot # Ast. Prof New",'NEW Counts Pivot Table'!$A$3,"Category",3,"Category2","Four-Year")</f>
        <v>7838</v>
      </c>
      <c r="V13" s="77">
        <f>+GETPIVOTDATA(" Tot # Ast. Prof New",'NEW Counts Pivot Table'!$A$3,"Category",4,"Category2","Four-Year")</f>
        <v>3010</v>
      </c>
      <c r="W13" s="77">
        <f>+GETPIVOTDATA(" Tot # Ast. Prof New",'NEW Counts Pivot Table'!$A$3,"Category",5,"Category2","Four-Year")</f>
        <v>1764</v>
      </c>
      <c r="X13" s="77">
        <f>+GETPIVOTDATA(" Tot # Ast. Prof New",'NEW Counts Pivot Table'!$A$3,"Category",6,"Category2","Four-Year")</f>
        <v>1154</v>
      </c>
      <c r="Y13" s="78">
        <f>+GETPIVOTDATA(" Tot # Ast. Prof New",'NEW Counts Pivot Table'!$A$3,"Category2","Four-Year")</f>
        <v>27397</v>
      </c>
      <c r="Z13" s="76">
        <f>+GETPIVOTDATA(" Tot # Ast. Prof New",'NEW Counts Pivot Table'!$A$3,"Category",7,"Category2","Two-Year")</f>
        <v>295</v>
      </c>
      <c r="AA13" s="77">
        <f>+GETPIVOTDATA(" Tot # Ast. Prof New",'NEW Counts Pivot Table'!$A$3,"Category",8,"Category2","Two-Year")</f>
        <v>1742</v>
      </c>
      <c r="AB13" s="77">
        <f>+GETPIVOTDATA(" Tot # Ast. Prof New",'NEW Counts Pivot Table'!$A$3,"Category",9,"Category2","Two-Year")</f>
        <v>1133</v>
      </c>
      <c r="AC13" s="77">
        <f>+GETPIVOTDATA(" Tot # Ast. Prof New",'NEW Counts Pivot Table'!$A$3,"Category",10,"Category2","Two-Year")</f>
        <v>392</v>
      </c>
      <c r="AD13" s="77">
        <f>+GETPIVOTDATA(" Tot # Ast. Prof New",'NEW Counts Pivot Table'!$A$3,"Category",11,"Category2","Two-Year")</f>
        <v>678</v>
      </c>
      <c r="AE13" s="78">
        <f>+GETPIVOTDATA(" Tot # Ast. Prof New",'NEW Counts Pivot Table'!$A$3,"Category2","Two-Year")</f>
        <v>4240</v>
      </c>
      <c r="AF13" s="76">
        <f>+GETPIVOTDATA(" Tot # Ast. Prof New",'NEW Counts Pivot Table'!$A$3,"Category",12,"Category2","Technical Institutes")</f>
        <v>76</v>
      </c>
      <c r="AG13" s="77">
        <f>+GETPIVOTDATA(" Tot # Ast. Prof New",'NEW Counts Pivot Table'!$A$3,"Category",13,"Category2","Technical Institutes")</f>
        <v>0</v>
      </c>
      <c r="AH13" s="76">
        <f>+GETPIVOTDATA(" Tot # Ast. Prof New",'NEW Counts Pivot Table'!$A$3,"Category2","Technical Institutes")</f>
        <v>76</v>
      </c>
    </row>
    <row r="14" spans="1:36" x14ac:dyDescent="0.2">
      <c r="A14" s="10"/>
      <c r="B14" s="18" t="s">
        <v>102</v>
      </c>
      <c r="C14" s="12">
        <f t="shared" si="0"/>
        <v>7.2380106571936054E-2</v>
      </c>
      <c r="D14" s="14">
        <f t="shared" si="0"/>
        <v>9.727479182437547E-2</v>
      </c>
      <c r="E14" s="14">
        <f t="shared" si="1"/>
        <v>0.10570531083351596</v>
      </c>
      <c r="F14" s="14">
        <f t="shared" si="1"/>
        <v>0.10935005701254276</v>
      </c>
      <c r="G14" s="14">
        <f t="shared" si="1"/>
        <v>0.12132089016511127</v>
      </c>
      <c r="H14" s="40">
        <f t="shared" si="1"/>
        <v>0.14915572232645402</v>
      </c>
      <c r="I14" s="12">
        <f t="shared" si="1"/>
        <v>9.2013855105178149E-2</v>
      </c>
      <c r="J14" s="12">
        <f t="shared" si="1"/>
        <v>0.15112881806108897</v>
      </c>
      <c r="K14" s="14">
        <f t="shared" si="1"/>
        <v>0.15291341473789788</v>
      </c>
      <c r="L14" s="14">
        <f t="shared" si="1"/>
        <v>0.16460871698421783</v>
      </c>
      <c r="M14" s="14">
        <f t="shared" si="1"/>
        <v>0.17086481947942905</v>
      </c>
      <c r="N14" s="12">
        <f t="shared" si="2"/>
        <v>0.16135883907916951</v>
      </c>
      <c r="O14" s="12">
        <f t="shared" si="2"/>
        <v>0.15709261430246191</v>
      </c>
      <c r="P14" s="14">
        <f t="shared" si="2"/>
        <v>0</v>
      </c>
      <c r="Q14" s="12">
        <f t="shared" si="3"/>
        <v>0.10994871794871795</v>
      </c>
      <c r="R14" s="56"/>
      <c r="S14" s="76">
        <f>+GETPIVOTDATA(" Tot # Instr. New",'NEW Counts Pivot Table'!$A$3,"Category",1,"Category2","Four-Year")</f>
        <v>3423</v>
      </c>
      <c r="T14" s="77">
        <f>+GETPIVOTDATA(" Tot # Instr. New",'NEW Counts Pivot Table'!$A$3,"Category",2,"Category2","Four-Year")</f>
        <v>1028</v>
      </c>
      <c r="U14" s="77">
        <f>+GETPIVOTDATA(" Tot # Instr. New",'NEW Counts Pivot Table'!$A$3,"Category",3,"Category2","Four-Year")</f>
        <v>2894</v>
      </c>
      <c r="V14" s="77">
        <f>+GETPIVOTDATA(" Tot # Instr. New",'NEW Counts Pivot Table'!$A$3,"Category",4,"Category2","Four-Year")</f>
        <v>959</v>
      </c>
      <c r="W14" s="77">
        <f>+GETPIVOTDATA(" Tot # Instr. New",'NEW Counts Pivot Table'!$A$3,"Category",5,"Category2","Four-Year")</f>
        <v>676</v>
      </c>
      <c r="X14" s="77">
        <f>+GETPIVOTDATA(" Tot # Instr. New",'NEW Counts Pivot Table'!$A$3,"Category",6,"Category2","Four-Year")</f>
        <v>477</v>
      </c>
      <c r="Y14" s="78">
        <f>+GETPIVOTDATA(" Tot # Instr. New",'NEW Counts Pivot Table'!$A$3,"Category2","Four-Year")</f>
        <v>9457</v>
      </c>
      <c r="Z14" s="76">
        <f>+GETPIVOTDATA(" Tot # Instr. New",'NEW Counts Pivot Table'!$A$3,"Category",7,"Category2","Two-Year")</f>
        <v>569</v>
      </c>
      <c r="AA14" s="77">
        <f>+GETPIVOTDATA(" Tot # Instr. New",'NEW Counts Pivot Table'!$A$3,"Category",8,"Category2","Two-Year")</f>
        <v>3415</v>
      </c>
      <c r="AB14" s="77">
        <f>+GETPIVOTDATA(" Tot # Instr. New",'NEW Counts Pivot Table'!$A$3,"Category",9,"Category2","Two-Year")</f>
        <v>2013</v>
      </c>
      <c r="AC14" s="77">
        <f>+GETPIVOTDATA(" Tot # Instr. New",'NEW Counts Pivot Table'!$A$3,"Category",10,"Category2","Two-Year")</f>
        <v>814</v>
      </c>
      <c r="AD14" s="77">
        <f>+GETPIVOTDATA(" Tot # Instr. New",'NEW Counts Pivot Table'!$A$3,"Category",11,"Category2","Two-Year")</f>
        <v>520</v>
      </c>
      <c r="AE14" s="78">
        <f>+GETPIVOTDATA(" Tot # Instr. New",'NEW Counts Pivot Table'!$A$3,"Category2","Two-Year")</f>
        <v>7331</v>
      </c>
      <c r="AF14" s="76">
        <f>+GETPIVOTDATA(" Tot # Instr. New",'NEW Counts Pivot Table'!$A$3,"Category",12,"Category2","Technical Institutes")</f>
        <v>536</v>
      </c>
      <c r="AG14" s="77">
        <f>+GETPIVOTDATA(" Tot # Instr. New",'NEW Counts Pivot Table'!$A$3,"Category",13,"Category2","Technical Institutes")</f>
        <v>0</v>
      </c>
      <c r="AH14" s="76">
        <f>+GETPIVOTDATA(" Tot # Instr. New",'NEW Counts Pivot Table'!$A$3,"Category2","Technical Institutes")</f>
        <v>536</v>
      </c>
    </row>
    <row r="15" spans="1:36" x14ac:dyDescent="0.2">
      <c r="A15" s="10"/>
      <c r="B15" s="18" t="s">
        <v>83</v>
      </c>
      <c r="C15" s="12">
        <f t="shared" si="0"/>
        <v>9.5978178127378841E-2</v>
      </c>
      <c r="D15" s="14">
        <f t="shared" si="0"/>
        <v>0.13332702498107493</v>
      </c>
      <c r="E15" s="14">
        <f t="shared" si="1"/>
        <v>0.10490174592738695</v>
      </c>
      <c r="F15" s="14">
        <f t="shared" si="1"/>
        <v>7.8563283922462937E-2</v>
      </c>
      <c r="G15" s="14">
        <f t="shared" si="1"/>
        <v>9.0272792534099061E-2</v>
      </c>
      <c r="H15" s="40">
        <f t="shared" si="1"/>
        <v>5.2220137585991241E-2</v>
      </c>
      <c r="I15" s="12">
        <f t="shared" si="1"/>
        <v>9.9038704781178849E-2</v>
      </c>
      <c r="J15" s="12">
        <f t="shared" si="1"/>
        <v>1.2217795484727756E-2</v>
      </c>
      <c r="K15" s="14">
        <f t="shared" si="1"/>
        <v>5.5747350321722657E-2</v>
      </c>
      <c r="L15" s="14">
        <f t="shared" si="1"/>
        <v>5.9285305421538967E-2</v>
      </c>
      <c r="M15" s="14">
        <f t="shared" si="1"/>
        <v>3.6104114189756509E-2</v>
      </c>
      <c r="N15" s="12">
        <f t="shared" si="2"/>
        <v>4.8202954246812334E-2</v>
      </c>
      <c r="O15" s="12">
        <f t="shared" si="2"/>
        <v>1.7584994138335288E-3</v>
      </c>
      <c r="P15" s="153">
        <f t="shared" si="2"/>
        <v>0</v>
      </c>
      <c r="Q15" s="154">
        <f t="shared" si="3"/>
        <v>1.2307692307692308E-3</v>
      </c>
      <c r="R15" s="56"/>
      <c r="S15" s="76">
        <f>++GETPIVOTDATA(" Tot # Undes. New",'NEW Counts Pivot Table'!$A$3,"Category",1,"Category2","Four-Year")</f>
        <v>4539</v>
      </c>
      <c r="T15" s="77">
        <f>+GETPIVOTDATA(" Tot # Undes. New",'NEW Counts Pivot Table'!$A$3,"Category",2,"Category2","Four-Year")</f>
        <v>1409</v>
      </c>
      <c r="U15" s="77">
        <f>+GETPIVOTDATA(" Tot # Undes. New",'NEW Counts Pivot Table'!$A$3,"Category",3,"Category2","Four-Year")</f>
        <v>2872</v>
      </c>
      <c r="V15" s="77">
        <f>+GETPIVOTDATA(" Tot # Undes. New",'NEW Counts Pivot Table'!$A$3,"Category",4,"Category2","Four-Year")</f>
        <v>689</v>
      </c>
      <c r="W15" s="77">
        <f>+GETPIVOTDATA(" Tot # Undes. New",'NEW Counts Pivot Table'!$A$3,"Category",5,"Category2","Four-Year")</f>
        <v>503</v>
      </c>
      <c r="X15" s="77">
        <f>+GETPIVOTDATA(" Tot # Undes. New",'NEW Counts Pivot Table'!$A$3,"Category",6,"Category2","Four-Year")</f>
        <v>167</v>
      </c>
      <c r="Y15" s="78">
        <f>+GETPIVOTDATA(" Tot # Undes. New",'NEW Counts Pivot Table'!$A$3,"Category2","Four-Year")</f>
        <v>10179</v>
      </c>
      <c r="Z15" s="76">
        <f>+GETPIVOTDATA(" Tot # Undes. New",'NEW Counts Pivot Table'!$A$3,"Category",7,"Category2","Two-Year")</f>
        <v>46</v>
      </c>
      <c r="AA15" s="77">
        <f>+GETPIVOTDATA(" Tot # Undes. New",'NEW Counts Pivot Table'!$A$3,"Category",8,"Category2","Two-Year")</f>
        <v>1245</v>
      </c>
      <c r="AB15" s="77">
        <f>+GETPIVOTDATA(" Tot # Undes. New",'NEW Counts Pivot Table'!$A$3,"Category",9,"Category2","Two-Year")</f>
        <v>725</v>
      </c>
      <c r="AC15" s="77">
        <f>+GETPIVOTDATA(" Tot # Undes. New",'NEW Counts Pivot Table'!$A$3,"Category",10,"Category2","Two-Year")</f>
        <v>172</v>
      </c>
      <c r="AD15" s="77">
        <f>+GETPIVOTDATA(" Tot # Undes. New",'NEW Counts Pivot Table'!$A$3,"Category",11,"Category2","Two-Year")</f>
        <v>2</v>
      </c>
      <c r="AE15" s="78">
        <f>+GETPIVOTDATA(" Tot # Undes. New",'NEW Counts Pivot Table'!$A$3,"Category2","Two-Year")</f>
        <v>2190</v>
      </c>
      <c r="AF15" s="76">
        <f>+GETPIVOTDATA(" Tot # Undes. New",'NEW Counts Pivot Table'!$A$3,"Category",12,"Category2","Technical Institutes")</f>
        <v>6</v>
      </c>
      <c r="AG15" s="77">
        <f>+GETPIVOTDATA(" Tot # Undes. New",'NEW Counts Pivot Table'!$A$3,"Category",13,"Category2","Technical Institutes")</f>
        <v>0</v>
      </c>
      <c r="AH15" s="76">
        <f>+GETPIVOTDATA(" Tot # Undes. New",'NEW Counts Pivot Table'!$A$3,"Category2","Technical Institutes")</f>
        <v>6</v>
      </c>
    </row>
    <row r="16" spans="1:36" x14ac:dyDescent="0.2">
      <c r="A16" s="10"/>
      <c r="B16" s="18" t="s">
        <v>82</v>
      </c>
      <c r="C16" s="12">
        <f t="shared" si="0"/>
        <v>0</v>
      </c>
      <c r="D16" s="153">
        <f t="shared" si="0"/>
        <v>0</v>
      </c>
      <c r="E16" s="14">
        <f t="shared" si="1"/>
        <v>0</v>
      </c>
      <c r="F16" s="153">
        <f t="shared" si="1"/>
        <v>0</v>
      </c>
      <c r="G16" s="153">
        <f t="shared" si="1"/>
        <v>0</v>
      </c>
      <c r="H16" s="40">
        <f t="shared" si="1"/>
        <v>0</v>
      </c>
      <c r="I16" s="12">
        <f t="shared" si="1"/>
        <v>0</v>
      </c>
      <c r="J16" s="12">
        <f t="shared" si="1"/>
        <v>0.65126162018592293</v>
      </c>
      <c r="K16" s="14">
        <f t="shared" si="1"/>
        <v>0.48940800343887275</v>
      </c>
      <c r="L16" s="14">
        <f t="shared" si="1"/>
        <v>0.49537983481887315</v>
      </c>
      <c r="M16" s="14">
        <f t="shared" si="1"/>
        <v>0.59844668345927787</v>
      </c>
      <c r="N16" s="12">
        <f t="shared" si="2"/>
        <v>0.49063343964395845</v>
      </c>
      <c r="O16" s="12">
        <f t="shared" si="2"/>
        <v>0.77286049237983589</v>
      </c>
      <c r="P16" s="14">
        <f t="shared" si="2"/>
        <v>1</v>
      </c>
      <c r="Q16" s="12">
        <f t="shared" si="3"/>
        <v>0.84102564102564104</v>
      </c>
      <c r="R16" s="56"/>
      <c r="S16" s="76">
        <f>+GETPIVOTDATA(" Tot # Single Rnk New",'NEW Counts Pivot Table'!$A$3,"Category",1,"Category2","Four-Year")</f>
        <v>0</v>
      </c>
      <c r="T16" s="77">
        <f>+GETPIVOTDATA(" Tot # Single Rnk New",'NEW Counts Pivot Table'!$A$3,"Category",2,"Category2","Four-Year")</f>
        <v>0</v>
      </c>
      <c r="U16" s="77">
        <f>+GETPIVOTDATA(" Tot # Single Rnk New",'NEW Counts Pivot Table'!$A$3,"Category",3,"Category2","Four-Year")</f>
        <v>0</v>
      </c>
      <c r="V16" s="77">
        <f>+GETPIVOTDATA(" Tot # Single Rnk New",'NEW Counts Pivot Table'!$A$3,"Category",4,"Category2","Four-Year")</f>
        <v>0</v>
      </c>
      <c r="W16" s="77">
        <f>+GETPIVOTDATA(" Tot # Single Rnk New",'NEW Counts Pivot Table'!$A$3,"Category",5,"Category2","Four-Year")</f>
        <v>0</v>
      </c>
      <c r="X16" s="77">
        <f>+GETPIVOTDATA(" Tot # Single Rnk New",'NEW Counts Pivot Table'!$A$3,"Category",6,"Category2","Four-Year")</f>
        <v>0</v>
      </c>
      <c r="Y16" s="78">
        <f>+GETPIVOTDATA(" Tot # Single Rnk New",'NEW Counts Pivot Table'!$A$3,"Category2","Four-Year")</f>
        <v>0</v>
      </c>
      <c r="Z16" s="76">
        <f>+GETPIVOTDATA(" Tot # Single Rnk New",'NEW Counts Pivot Table'!$A$3,"Category",7,"Category2","Two-Year")</f>
        <v>2452</v>
      </c>
      <c r="AA16" s="77">
        <f>+GETPIVOTDATA(" Tot # Single Rnk New",'NEW Counts Pivot Table'!$A$3,"Category",8,"Category2","Two-Year")</f>
        <v>10929.900000000001</v>
      </c>
      <c r="AB16" s="77">
        <f>+GETPIVOTDATA(" Tot # Single Rnk New",'NEW Counts Pivot Table'!$A$3,"Category",9,"Category2","Two-Year")</f>
        <v>6058</v>
      </c>
      <c r="AC16" s="77">
        <f>+GETPIVOTDATA(" Tot # Single Rnk New",'NEW Counts Pivot Table'!$A$3,"Category",10,"Category2","Two-Year")</f>
        <v>2851</v>
      </c>
      <c r="AD16" s="77">
        <f>+GETPIVOTDATA(" Tot # Single Rnk New",'NEW Counts Pivot Table'!$A$3,"Category",11,"Category2","Two-Year")</f>
        <v>0</v>
      </c>
      <c r="AE16" s="78">
        <f>+GETPIVOTDATA(" Tot # Single Rnk New",'NEW Counts Pivot Table'!$A$3,"Category2","Two-Year")</f>
        <v>22290.9</v>
      </c>
      <c r="AF16" s="76">
        <f>+GETPIVOTDATA(" Tot # Single Rnk New",'NEW Counts Pivot Table'!$A$3,"Category",12,"Category2","Technical Institutes")</f>
        <v>2637</v>
      </c>
      <c r="AG16" s="77">
        <f>+GETPIVOTDATA(" Tot # Single Rnk New",'NEW Counts Pivot Table'!$A$3,"Category",13,"Category2","Technical Institutes")</f>
        <v>1463</v>
      </c>
      <c r="AH16" s="76">
        <f>+GETPIVOTDATA(" Tot # Single Rnk New",'NEW Counts Pivot Table'!$A$3,"Category2","Technical Institutes")</f>
        <v>4100</v>
      </c>
    </row>
    <row r="17" spans="1:36" s="33" customFormat="1" x14ac:dyDescent="0.25">
      <c r="A17" s="109" t="s">
        <v>223</v>
      </c>
      <c r="B17" s="110" t="s">
        <v>84</v>
      </c>
      <c r="C17" s="13">
        <f>IF(S$17&gt;0,(S17/S$17),0)</f>
        <v>1</v>
      </c>
      <c r="D17" s="11">
        <f t="shared" si="1"/>
        <v>1</v>
      </c>
      <c r="E17" s="11">
        <f t="shared" si="1"/>
        <v>1</v>
      </c>
      <c r="F17" s="11">
        <f t="shared" si="1"/>
        <v>1</v>
      </c>
      <c r="G17" s="11">
        <f t="shared" si="1"/>
        <v>1</v>
      </c>
      <c r="H17" s="41">
        <f t="shared" si="1"/>
        <v>1</v>
      </c>
      <c r="I17" s="13">
        <f t="shared" si="1"/>
        <v>1</v>
      </c>
      <c r="J17" s="13">
        <f t="shared" si="1"/>
        <v>1</v>
      </c>
      <c r="K17" s="11">
        <f t="shared" si="1"/>
        <v>1</v>
      </c>
      <c r="L17" s="11">
        <f t="shared" si="1"/>
        <v>1</v>
      </c>
      <c r="M17" s="11">
        <f t="shared" si="1"/>
        <v>1</v>
      </c>
      <c r="N17" s="13">
        <f t="shared" si="2"/>
        <v>1</v>
      </c>
      <c r="O17" s="13">
        <f t="shared" si="2"/>
        <v>1</v>
      </c>
      <c r="P17" s="11">
        <f t="shared" si="2"/>
        <v>1</v>
      </c>
      <c r="Q17" s="13">
        <f t="shared" si="3"/>
        <v>1</v>
      </c>
      <c r="R17" s="57"/>
      <c r="S17" s="79">
        <f>+GETPIVOTDATA(" All Ranks # New",'NEW Counts Pivot Table'!$A$3,"Category",1,"Category2","Four-Year")</f>
        <v>47292</v>
      </c>
      <c r="T17" s="80">
        <f>+GETPIVOTDATA(" All Ranks # New",'NEW Counts Pivot Table'!$A$3,"Category",2,"Category2","Four-Year")</f>
        <v>10568</v>
      </c>
      <c r="U17" s="80">
        <f>+GETPIVOTDATA(" All Ranks # New",'NEW Counts Pivot Table'!$A$3,"Category",3,"Category2","Four-Year")</f>
        <v>27378</v>
      </c>
      <c r="V17" s="80">
        <f>+GETPIVOTDATA(" All Ranks # New",'NEW Counts Pivot Table'!$A$3,"Category",4,"Category2","Four-Year")</f>
        <v>8770</v>
      </c>
      <c r="W17" s="80">
        <f>+GETPIVOTDATA(" All Ranks # New",'NEW Counts Pivot Table'!$A$3,"Category",5,"Category2","Four-Year")</f>
        <v>5572</v>
      </c>
      <c r="X17" s="80">
        <f>+GETPIVOTDATA(" All Ranks # New",'NEW Counts Pivot Table'!$A$3,"Category",6,"Category2","Four-Year")</f>
        <v>3198</v>
      </c>
      <c r="Y17" s="81">
        <f>+GETPIVOTDATA(" All Ranks # New",'NEW Counts Pivot Table'!$A$3,"Category2","Four-Year")</f>
        <v>102778</v>
      </c>
      <c r="Z17" s="79">
        <f>+GETPIVOTDATA(" All Ranks # New",'NEW Counts Pivot Table'!$A$3,"Category",7,"Category2","Two-Year")</f>
        <v>3765</v>
      </c>
      <c r="AA17" s="80">
        <f>+GETPIVOTDATA(" All Ranks # New",'NEW Counts Pivot Table'!$A$3,"Category",8,"Category2","Two-Year")</f>
        <v>22332.9</v>
      </c>
      <c r="AB17" s="80">
        <f>+GETPIVOTDATA(" All Ranks # New",'NEW Counts Pivot Table'!$A$3,"Category",9,"Category2","Two-Year")</f>
        <v>12229</v>
      </c>
      <c r="AC17" s="80">
        <f>+GETPIVOTDATA(" All Ranks # New",'NEW Counts Pivot Table'!$A$3,"Category",10,"Category2","Two-Year")</f>
        <v>4764</v>
      </c>
      <c r="AD17" s="80">
        <f>+GETPIVOTDATA(" All Ranks # New",'NEW Counts Pivot Table'!$A$3,"Category",11,"Category2","Two-Year")</f>
        <v>2342</v>
      </c>
      <c r="AE17" s="81">
        <f>+GETPIVOTDATA(" All Ranks # New",'NEW Counts Pivot Table'!$A$3,"Category2","Two-Year")</f>
        <v>45432.9</v>
      </c>
      <c r="AF17" s="79">
        <f>+GETPIVOTDATA(" All Ranks # New",'NEW Counts Pivot Table'!$A$3,"Category",12,"Category2","Technical Institutes")</f>
        <v>3412</v>
      </c>
      <c r="AG17" s="80">
        <f>+GETPIVOTDATA(" All Ranks # New",'NEW Counts Pivot Table'!$A$3,"Category",13,"Category2","Technical Institutes")</f>
        <v>1463</v>
      </c>
      <c r="AH17" s="79">
        <f>+GETPIVOTDATA(" All Ranks # New",'NEW Counts Pivot Table'!$A$3,"Category2","Technical Institutes")</f>
        <v>4875</v>
      </c>
      <c r="AI17" s="82"/>
      <c r="AJ17" s="82"/>
    </row>
    <row r="18" spans="1:36" x14ac:dyDescent="0.2">
      <c r="A18" s="18" t="s">
        <v>97</v>
      </c>
      <c r="B18" s="15" t="s">
        <v>99</v>
      </c>
      <c r="C18" s="16">
        <f t="shared" ref="C18:L24" si="4">IF(S$24&gt;0,(S18/S$24),0)</f>
        <v>0.30714725816389404</v>
      </c>
      <c r="D18" s="17">
        <f t="shared" si="4"/>
        <v>0.2581699346405229</v>
      </c>
      <c r="E18" s="17">
        <f t="shared" si="4"/>
        <v>0.20671494404213298</v>
      </c>
      <c r="F18" s="17">
        <f t="shared" si="4"/>
        <v>0.28862973760932947</v>
      </c>
      <c r="G18" s="17">
        <f t="shared" si="4"/>
        <v>0.189873417721519</v>
      </c>
      <c r="H18" s="39">
        <f t="shared" si="4"/>
        <v>0.23529411764705882</v>
      </c>
      <c r="I18" s="16">
        <f t="shared" si="4"/>
        <v>0.27191972363875638</v>
      </c>
      <c r="J18" s="16">
        <f t="shared" si="4"/>
        <v>0</v>
      </c>
      <c r="K18" s="17">
        <f t="shared" si="4"/>
        <v>0</v>
      </c>
      <c r="L18" s="17">
        <f t="shared" si="4"/>
        <v>0</v>
      </c>
      <c r="M18" s="17">
        <f t="shared" ref="M18:M24" si="5">IF(AC$24&gt;0,(AC18/AC$24),0)</f>
        <v>0</v>
      </c>
      <c r="N18" s="16">
        <f t="shared" ref="N18:P24" si="6">IF(AE$24&gt;0,(AE18/AE$24),0)</f>
        <v>0</v>
      </c>
      <c r="O18" s="91">
        <f t="shared" si="6"/>
        <v>0</v>
      </c>
      <c r="P18" s="17">
        <f t="shared" si="6"/>
        <v>0</v>
      </c>
      <c r="Q18" s="91">
        <f t="shared" ref="Q18:Q24" si="7">IF(AH$24&gt;0,(AH18/AH$24),0)</f>
        <v>0</v>
      </c>
      <c r="R18" s="83"/>
      <c r="S18" s="73">
        <f>+GETPIVOTDATA(" Total # Prof New",'NEW Counts Pivot Table'!$A$3,"State","AL","Category",1,"Category2","Four-Year")</f>
        <v>997</v>
      </c>
      <c r="T18" s="74">
        <f>+GETPIVOTDATA(" Total # Prof New",'NEW Counts Pivot Table'!$A$3,"State","AL","Category",2,"Category2","Four-Year")</f>
        <v>79</v>
      </c>
      <c r="U18" s="74">
        <f>+GETPIVOTDATA(" Total # Prof New",'NEW Counts Pivot Table'!$A$3,"State","AL","Category",3,"Category2","Four-Year")</f>
        <v>314</v>
      </c>
      <c r="V18" s="74">
        <f>+GETPIVOTDATA(" Total # Prof New",'NEW Counts Pivot Table'!$A$3,"State","AL","Category",4,"Category2","Four-Year")</f>
        <v>198</v>
      </c>
      <c r="W18" s="74">
        <f>+GETPIVOTDATA(" Total # Prof New",'NEW Counts Pivot Table'!$A$3,"State","AL","Category",5,"Category2","Four-Year")</f>
        <v>45</v>
      </c>
      <c r="X18" s="74">
        <f>+GETPIVOTDATA(" Total # Prof New",'NEW Counts Pivot Table'!$A$3,"State","AL","Category",6,"Category2","Four-Year")</f>
        <v>20</v>
      </c>
      <c r="Y18" s="75">
        <f>+GETPIVOTDATA(" Total # Prof New",'NEW Counts Pivot Table'!$A$3,"State","AL","Category2","Four-Year")</f>
        <v>1653</v>
      </c>
      <c r="Z18" s="73">
        <f>+GETPIVOTDATA(" Total # Prof New",'NEW Counts Pivot Table'!$A$3,"State","AR","Category",7,"Category2","Two-Year")</f>
        <v>0</v>
      </c>
      <c r="AA18" s="74">
        <f>+GETPIVOTDATA(" Total # Prof New",'NEW Counts Pivot Table'!$A$3,"State","AR","Category",8,"Category2","Two-Year")</f>
        <v>0</v>
      </c>
      <c r="AB18" s="74">
        <f>+GETPIVOTDATA(" Total # Prof New",'NEW Counts Pivot Table'!$A$3,"State","DE","Category",9,"Category2","Two-Year")</f>
        <v>0</v>
      </c>
      <c r="AC18" s="74">
        <f>+GETPIVOTDATA(" Total # Prof New",'NEW Counts Pivot Table'!$A$3,"State","DE","Category",10,"Category2","Two-Year")</f>
        <v>0</v>
      </c>
      <c r="AD18" s="74">
        <f>+GETPIVOTDATA(" Total # Prof New",'NEW Counts Pivot Table'!$A$3,"State","AL","Category",11,"Category2","Two-Year")</f>
        <v>0</v>
      </c>
      <c r="AE18" s="75">
        <f>+GETPIVOTDATA(" Total # Prof New",'NEW Counts Pivot Table'!$A$3,"State","AL","Category2","Two-Year")</f>
        <v>0</v>
      </c>
      <c r="AF18" s="73">
        <f>+GETPIVOTDATA(" Total # Prof New",'NEW Counts Pivot Table'!$A$3,"State","AL","Category",12,"Category2","Technical Institutes")</f>
        <v>0</v>
      </c>
      <c r="AG18" s="74">
        <f>+GETPIVOTDATA(" Total # Prof New",'NEW Counts Pivot Table'!$A$3,"State","AL","Category",13,"Category2","Technical Institutes")</f>
        <v>0</v>
      </c>
      <c r="AH18" s="73">
        <f>+GETPIVOTDATA(" Total # Prof New",'NEW Counts Pivot Table'!$A$3,"State","AL","Category2","Technical Institutes")</f>
        <v>0</v>
      </c>
    </row>
    <row r="19" spans="1:36" x14ac:dyDescent="0.2">
      <c r="A19" s="10"/>
      <c r="B19" s="18" t="s">
        <v>100</v>
      </c>
      <c r="C19" s="12">
        <f t="shared" si="4"/>
        <v>0.28157732593961798</v>
      </c>
      <c r="D19" s="14">
        <f t="shared" si="4"/>
        <v>0.28104575163398693</v>
      </c>
      <c r="E19" s="14">
        <f t="shared" si="4"/>
        <v>0.24094799210006584</v>
      </c>
      <c r="F19" s="14">
        <f t="shared" si="4"/>
        <v>0.24781341107871721</v>
      </c>
      <c r="G19" s="14">
        <f t="shared" si="4"/>
        <v>0.27004219409282698</v>
      </c>
      <c r="H19" s="40">
        <f t="shared" si="4"/>
        <v>0.27058823529411763</v>
      </c>
      <c r="I19" s="12">
        <f t="shared" si="4"/>
        <v>0.26698470143115643</v>
      </c>
      <c r="J19" s="12">
        <f t="shared" si="4"/>
        <v>0</v>
      </c>
      <c r="K19" s="14">
        <f t="shared" si="4"/>
        <v>0</v>
      </c>
      <c r="L19" s="14">
        <f t="shared" si="4"/>
        <v>0</v>
      </c>
      <c r="M19" s="14">
        <f t="shared" si="5"/>
        <v>0</v>
      </c>
      <c r="N19" s="12">
        <f t="shared" si="6"/>
        <v>0</v>
      </c>
      <c r="O19" s="12">
        <f t="shared" si="6"/>
        <v>0</v>
      </c>
      <c r="P19" s="14">
        <f t="shared" si="6"/>
        <v>0</v>
      </c>
      <c r="Q19" s="12">
        <f t="shared" si="7"/>
        <v>0</v>
      </c>
      <c r="R19" s="56"/>
      <c r="S19" s="76">
        <f>+GETPIVOTDATA(" Tot # Asc. Prof New",'NEW Counts Pivot Table'!$A$3,"State","AL","Category",1,"Category2","Four-Year")</f>
        <v>914</v>
      </c>
      <c r="T19" s="77">
        <f>+GETPIVOTDATA(" Tot # Asc. Prof New",'NEW Counts Pivot Table'!$A$3,"State","AL","Category",2,"Category2","Four-Year")</f>
        <v>86</v>
      </c>
      <c r="U19" s="77">
        <f>+GETPIVOTDATA(" Tot # Asc. Prof New",'NEW Counts Pivot Table'!$A$3,"State","AL","Category",3,"Category2","Four-Year")</f>
        <v>366</v>
      </c>
      <c r="V19" s="77">
        <f>+GETPIVOTDATA(" Tot # Asc. Prof New",'NEW Counts Pivot Table'!$A$3,"State","AL","Category",4,"Category2","Four-Year")</f>
        <v>170</v>
      </c>
      <c r="W19" s="77">
        <f>+GETPIVOTDATA(" Tot # Asc. Prof New",'NEW Counts Pivot Table'!$A$3,"State","AL","Category",5,"Category2","Four-Year")</f>
        <v>64</v>
      </c>
      <c r="X19" s="77">
        <f>+GETPIVOTDATA(" Tot # Asc. Prof New",'NEW Counts Pivot Table'!$A$3,"State","AL","Category",6,"Category2","Four-Year")</f>
        <v>23</v>
      </c>
      <c r="Y19" s="78">
        <f>+GETPIVOTDATA(" Tot # Asc. Prof New",'NEW Counts Pivot Table'!$A$3,"State","AL","Category2","Four-Year")</f>
        <v>1623</v>
      </c>
      <c r="Z19" s="76">
        <f>+GETPIVOTDATA(" Tot # Asc. Prof New",'NEW Counts Pivot Table'!$A$3,"State","AR","Category",7,"Category2","Two-Year")</f>
        <v>0</v>
      </c>
      <c r="AA19" s="77">
        <f>+GETPIVOTDATA(" Tot # Asc. Prof New",'NEW Counts Pivot Table'!$A$3,"State","AR","Category",8,"Category2","Two-Year")</f>
        <v>0</v>
      </c>
      <c r="AB19" s="77">
        <f>+GETPIVOTDATA(" Tot # Asc. Prof New",'NEW Counts Pivot Table'!$A$3,"State","DE","Category",9,"Category2","Two-Year")</f>
        <v>0</v>
      </c>
      <c r="AC19" s="77">
        <f>+GETPIVOTDATA(" Tot # Asc. Prof New",'NEW Counts Pivot Table'!$A$3,"State","DE","Category",10,"Category2","Two-Year")</f>
        <v>0</v>
      </c>
      <c r="AD19" s="77">
        <f>+GETPIVOTDATA(" Tot # Asc. Prof New",'NEW Counts Pivot Table'!$A$3,"State","AL","Category",11,"Category2","Two-Year")</f>
        <v>0</v>
      </c>
      <c r="AE19" s="78">
        <f>+GETPIVOTDATA(" Tot # Asc. Prof New",'NEW Counts Pivot Table'!$A$3,"State","AL","Category2","Two-Year")</f>
        <v>0</v>
      </c>
      <c r="AF19" s="76">
        <f>+GETPIVOTDATA(" Tot # Asc. Prof New",'NEW Counts Pivot Table'!$A$3,"State","AL","Category",12,"Category2","Technical Institutes")</f>
        <v>0</v>
      </c>
      <c r="AG19" s="77">
        <f>+GETPIVOTDATA(" Tot # Asc. Prof New",'NEW Counts Pivot Table'!$A$3,"State","AL","Category",13,"Category2","Technical Institutes")</f>
        <v>0</v>
      </c>
      <c r="AH19" s="76">
        <f>+GETPIVOTDATA(" Tot # Asc. Prof New",'NEW Counts Pivot Table'!$A$3,"State","AL","Category2","Technical Institutes")</f>
        <v>0</v>
      </c>
    </row>
    <row r="20" spans="1:36" x14ac:dyDescent="0.2">
      <c r="A20" s="10"/>
      <c r="B20" s="18" t="s">
        <v>101</v>
      </c>
      <c r="C20" s="12">
        <f t="shared" si="4"/>
        <v>0.27325939617991374</v>
      </c>
      <c r="D20" s="14">
        <f t="shared" si="4"/>
        <v>0.28431372549019607</v>
      </c>
      <c r="E20" s="14">
        <f t="shared" si="4"/>
        <v>0.32587228439763</v>
      </c>
      <c r="F20" s="14">
        <f t="shared" si="4"/>
        <v>0.32069970845481049</v>
      </c>
      <c r="G20" s="14">
        <f t="shared" si="4"/>
        <v>0.43881856540084391</v>
      </c>
      <c r="H20" s="40">
        <f t="shared" si="4"/>
        <v>0.45882352941176469</v>
      </c>
      <c r="I20" s="12">
        <f t="shared" si="4"/>
        <v>0.30136535614410265</v>
      </c>
      <c r="J20" s="12">
        <f t="shared" si="4"/>
        <v>0</v>
      </c>
      <c r="K20" s="14">
        <f t="shared" si="4"/>
        <v>0</v>
      </c>
      <c r="L20" s="14">
        <f t="shared" si="4"/>
        <v>0</v>
      </c>
      <c r="M20" s="14">
        <f t="shared" si="5"/>
        <v>0</v>
      </c>
      <c r="N20" s="12">
        <f t="shared" si="6"/>
        <v>0</v>
      </c>
      <c r="O20" s="12">
        <f t="shared" si="6"/>
        <v>0</v>
      </c>
      <c r="P20" s="14">
        <f t="shared" si="6"/>
        <v>0</v>
      </c>
      <c r="Q20" s="12">
        <f t="shared" si="7"/>
        <v>0</v>
      </c>
      <c r="R20" s="56"/>
      <c r="S20" s="76">
        <f>+GETPIVOTDATA(" Tot # Ast. Prof New",'NEW Counts Pivot Table'!$A$3,"State","AL","Category",1,"Category2","Four-Year")</f>
        <v>887</v>
      </c>
      <c r="T20" s="77">
        <f>+GETPIVOTDATA(" Tot # Ast. Prof New",'NEW Counts Pivot Table'!$A$3,"State","AL","Category",2,"Category2","Four-Year")</f>
        <v>87</v>
      </c>
      <c r="U20" s="77">
        <f>+GETPIVOTDATA(" Tot # Ast. Prof New",'NEW Counts Pivot Table'!$A$3,"State","AL","Category",3,"Category2","Four-Year")</f>
        <v>495</v>
      </c>
      <c r="V20" s="77">
        <f>+GETPIVOTDATA(" Tot # Ast. Prof New",'NEW Counts Pivot Table'!$A$3,"State","AL","Category",4,"Category2","Four-Year")</f>
        <v>220</v>
      </c>
      <c r="W20" s="77">
        <f>+GETPIVOTDATA(" Tot # Ast. Prof New",'NEW Counts Pivot Table'!$A$3,"State","AL","Category",5,"Category2","Four-Year")</f>
        <v>104</v>
      </c>
      <c r="X20" s="77">
        <f>+GETPIVOTDATA(" Tot # Ast. Prof New",'NEW Counts Pivot Table'!$A$3,"State","AL","Category",6,"Category2","Four-Year")</f>
        <v>39</v>
      </c>
      <c r="Y20" s="78">
        <f>+GETPIVOTDATA(" Tot # Ast. Prof New",'NEW Counts Pivot Table'!$A$3,"State","AL","Category2","Four-Year")</f>
        <v>1832</v>
      </c>
      <c r="Z20" s="76">
        <f>+GETPIVOTDATA(" Tot # Ast. Prof New",'NEW Counts Pivot Table'!$A$3,"State","AR","Category",7,"Category2","Two-Year")</f>
        <v>0</v>
      </c>
      <c r="AA20" s="77">
        <f>+GETPIVOTDATA(" Tot # Ast. Prof New",'NEW Counts Pivot Table'!$A$3,"State","AR","Category",8,"Category2","Two-Year")</f>
        <v>0</v>
      </c>
      <c r="AB20" s="77">
        <f>+GETPIVOTDATA(" Tot # Ast. Prof New",'NEW Counts Pivot Table'!$A$3,"State","DE","Category",9,"Category2","Two-Year")</f>
        <v>0</v>
      </c>
      <c r="AC20" s="77">
        <f>+GETPIVOTDATA(" Tot # Ast. Prof New",'NEW Counts Pivot Table'!$A$3,"State","DE","Category",10,"Category2","Two-Year")</f>
        <v>0</v>
      </c>
      <c r="AD20" s="77">
        <f>+GETPIVOTDATA(" Tot # Ast. Prof New",'NEW Counts Pivot Table'!$A$3,"State","AL","Category",11,"Category2","Two-Year")</f>
        <v>0</v>
      </c>
      <c r="AE20" s="78">
        <f>+GETPIVOTDATA(" Tot # Ast. Prof New",'NEW Counts Pivot Table'!$A$3,"State","AL","Category2","Two-Year")</f>
        <v>0</v>
      </c>
      <c r="AF20" s="76">
        <f>+GETPIVOTDATA(" Tot # Ast. Prof New",'NEW Counts Pivot Table'!$A$3,"State","AL","Category",12,"Category2","Technical Institutes")</f>
        <v>0</v>
      </c>
      <c r="AG20" s="77">
        <f>+GETPIVOTDATA(" Tot # Ast. Prof New",'NEW Counts Pivot Table'!$A$3,"State","AL","Category",13,"Category2","Technical Institutes")</f>
        <v>0</v>
      </c>
      <c r="AH20" s="76">
        <f>+GETPIVOTDATA(" Tot # Ast. Prof New",'NEW Counts Pivot Table'!$A$3,"State","AL","Category2","Technical Institutes")</f>
        <v>0</v>
      </c>
    </row>
    <row r="21" spans="1:36" x14ac:dyDescent="0.2">
      <c r="A21" s="10"/>
      <c r="B21" s="18" t="s">
        <v>102</v>
      </c>
      <c r="C21" s="12">
        <f t="shared" si="4"/>
        <v>0.13031423290203328</v>
      </c>
      <c r="D21" s="14">
        <f t="shared" si="4"/>
        <v>4.5751633986928102E-2</v>
      </c>
      <c r="E21" s="14">
        <f t="shared" si="4"/>
        <v>0.17972350230414746</v>
      </c>
      <c r="F21" s="14">
        <f t="shared" si="4"/>
        <v>0.14139941690962099</v>
      </c>
      <c r="G21" s="14">
        <f t="shared" si="4"/>
        <v>6.3291139240506333E-2</v>
      </c>
      <c r="H21" s="40">
        <f t="shared" si="4"/>
        <v>3.5294117647058823E-2</v>
      </c>
      <c r="I21" s="12">
        <f t="shared" si="4"/>
        <v>0.13571311070899819</v>
      </c>
      <c r="J21" s="12">
        <f t="shared" si="4"/>
        <v>0</v>
      </c>
      <c r="K21" s="14">
        <f t="shared" si="4"/>
        <v>0</v>
      </c>
      <c r="L21" s="14">
        <f t="shared" si="4"/>
        <v>0</v>
      </c>
      <c r="M21" s="14">
        <f t="shared" si="5"/>
        <v>0</v>
      </c>
      <c r="N21" s="12">
        <f t="shared" si="6"/>
        <v>0</v>
      </c>
      <c r="O21" s="12">
        <f t="shared" si="6"/>
        <v>0</v>
      </c>
      <c r="P21" s="14">
        <f t="shared" si="6"/>
        <v>0</v>
      </c>
      <c r="Q21" s="12">
        <f t="shared" si="7"/>
        <v>0</v>
      </c>
      <c r="R21" s="56"/>
      <c r="S21" s="76">
        <f>+GETPIVOTDATA(" Tot # Instr. New",'NEW Counts Pivot Table'!$A$3,"State","AL","Category",1,"Category2","Four-Year")</f>
        <v>423</v>
      </c>
      <c r="T21" s="77">
        <f>+GETPIVOTDATA(" Tot # Instr. New",'NEW Counts Pivot Table'!$A$3,"State","AL","Category",2,"Category2","Four-Year")</f>
        <v>14</v>
      </c>
      <c r="U21" s="77">
        <f>+GETPIVOTDATA(" Tot # Instr. New",'NEW Counts Pivot Table'!$A$3,"State","AL","Category",3,"Category2","Four-Year")</f>
        <v>273</v>
      </c>
      <c r="V21" s="77">
        <f>+GETPIVOTDATA(" Tot # Instr. New",'NEW Counts Pivot Table'!$A$3,"State","AL","Category",4,"Category2","Four-Year")</f>
        <v>97</v>
      </c>
      <c r="W21" s="77">
        <f>+GETPIVOTDATA(" Tot # Instr. New",'NEW Counts Pivot Table'!$A$3,"State","AL","Category",5,"Category2","Four-Year")</f>
        <v>15</v>
      </c>
      <c r="X21" s="77">
        <f>+GETPIVOTDATA(" Tot # Instr. New",'NEW Counts Pivot Table'!$A$3,"State","AL","Category",6,"Category2","Four-Year")</f>
        <v>3</v>
      </c>
      <c r="Y21" s="78">
        <f>+GETPIVOTDATA(" Tot # Instr. New",'NEW Counts Pivot Table'!$A$3,"State","AL","Category2","Four-Year")</f>
        <v>825</v>
      </c>
      <c r="Z21" s="76">
        <f>+GETPIVOTDATA(" Tot # Instr. New",'NEW Counts Pivot Table'!$A$3,"State","AR","Category",7,"Category2","Two-Year")</f>
        <v>0</v>
      </c>
      <c r="AA21" s="77">
        <f>+GETPIVOTDATA(" Tot # Instr. New",'NEW Counts Pivot Table'!$A$3,"State","AR","Category",8,"Category2","Two-Year")</f>
        <v>0</v>
      </c>
      <c r="AB21" s="77">
        <f>+GETPIVOTDATA(" Tot # Instr. New",'NEW Counts Pivot Table'!$A$3,"State","DE","Category",9,"Category2","Two-Year")</f>
        <v>0</v>
      </c>
      <c r="AC21" s="77">
        <f>+GETPIVOTDATA(" Tot # Instr. New",'NEW Counts Pivot Table'!$A$3,"State","DE","Category",10,"Category2","Two-Year")</f>
        <v>0</v>
      </c>
      <c r="AD21" s="77">
        <f>+GETPIVOTDATA(" Tot # Instr. New",'NEW Counts Pivot Table'!$A$3,"State","AL","Category",11,"Category2","Two-Year")</f>
        <v>0</v>
      </c>
      <c r="AE21" s="78">
        <f>+GETPIVOTDATA(" Tot # Instr. New",'NEW Counts Pivot Table'!$A$3,"State","AL","Category2","Two-Year")</f>
        <v>0</v>
      </c>
      <c r="AF21" s="76">
        <f>+GETPIVOTDATA(" Tot # Instr. New",'NEW Counts Pivot Table'!$A$3,"State","AL","Category",12,"Category2","Technical Institutes")</f>
        <v>0</v>
      </c>
      <c r="AG21" s="77">
        <f>+GETPIVOTDATA(" Tot # Instr. New",'NEW Counts Pivot Table'!$A$3,"State","AL","Category",13,"Category2","Technical Institutes")</f>
        <v>0</v>
      </c>
      <c r="AH21" s="76">
        <f>+GETPIVOTDATA(" Tot # Instr. New",'NEW Counts Pivot Table'!$A$3,"State","AL","Category2","Technical Institutes")</f>
        <v>0</v>
      </c>
    </row>
    <row r="22" spans="1:36" x14ac:dyDescent="0.2">
      <c r="A22" s="10"/>
      <c r="B22" s="18" t="s">
        <v>83</v>
      </c>
      <c r="C22" s="12">
        <f t="shared" si="4"/>
        <v>7.7017868145409733E-3</v>
      </c>
      <c r="D22" s="14">
        <f t="shared" si="4"/>
        <v>0.13071895424836602</v>
      </c>
      <c r="E22" s="14">
        <f t="shared" si="4"/>
        <v>4.6741277156023699E-2</v>
      </c>
      <c r="F22" s="153">
        <f t="shared" si="4"/>
        <v>1.4577259475218659E-3</v>
      </c>
      <c r="G22" s="14">
        <f t="shared" si="4"/>
        <v>3.7974683544303799E-2</v>
      </c>
      <c r="H22" s="40">
        <f t="shared" si="4"/>
        <v>0</v>
      </c>
      <c r="I22" s="12">
        <f t="shared" si="4"/>
        <v>2.4017108076986347E-2</v>
      </c>
      <c r="J22" s="12">
        <f t="shared" si="4"/>
        <v>0</v>
      </c>
      <c r="K22" s="14">
        <f t="shared" si="4"/>
        <v>0</v>
      </c>
      <c r="L22" s="14">
        <f t="shared" si="4"/>
        <v>0</v>
      </c>
      <c r="M22" s="14">
        <f t="shared" si="5"/>
        <v>0</v>
      </c>
      <c r="N22" s="12">
        <f t="shared" si="6"/>
        <v>0</v>
      </c>
      <c r="O22" s="12">
        <f t="shared" si="6"/>
        <v>0</v>
      </c>
      <c r="P22" s="14">
        <f t="shared" si="6"/>
        <v>0</v>
      </c>
      <c r="Q22" s="12">
        <f t="shared" si="7"/>
        <v>0</v>
      </c>
      <c r="R22" s="56"/>
      <c r="S22" s="76">
        <f>++GETPIVOTDATA(" Tot # Undes. New",'NEW Counts Pivot Table'!$A$3,"State","AL","Category",1,"Category2","Four-Year")</f>
        <v>25</v>
      </c>
      <c r="T22" s="77">
        <f>+GETPIVOTDATA(" Tot # Undes. New",'NEW Counts Pivot Table'!$A$3,"State","AL","Category",2,"Category2","Four-Year")</f>
        <v>40</v>
      </c>
      <c r="U22" s="77">
        <f>+GETPIVOTDATA(" Tot # Undes. New",'NEW Counts Pivot Table'!$A$3,"State","AL","Category",3,"Category2","Four-Year")</f>
        <v>71</v>
      </c>
      <c r="V22" s="77">
        <f>+GETPIVOTDATA(" Tot # Undes. New",'NEW Counts Pivot Table'!$A$3,"State","AL","Category",4,"Category2","Four-Year")</f>
        <v>1</v>
      </c>
      <c r="W22" s="77">
        <f>+GETPIVOTDATA(" Tot # Undes. New",'NEW Counts Pivot Table'!$A$3,"State","AL","Category",5,"Category2","Four-Year")</f>
        <v>9</v>
      </c>
      <c r="X22" s="77">
        <f>+GETPIVOTDATA(" Tot # Undes. New",'NEW Counts Pivot Table'!$A$3,"State","AL","Category",6,"Category2","Four-Year")</f>
        <v>0</v>
      </c>
      <c r="Y22" s="78">
        <f>+GETPIVOTDATA(" Tot # Undes. New",'NEW Counts Pivot Table'!$A$3,"State","AL","Category2","Four-Year")</f>
        <v>146</v>
      </c>
      <c r="Z22" s="76">
        <f>+GETPIVOTDATA(" Tot # Undes. New",'NEW Counts Pivot Table'!$A$3,"State","AR","Category",7,"Category2","Two-Year")</f>
        <v>0</v>
      </c>
      <c r="AA22" s="77">
        <f>+GETPIVOTDATA(" Tot # Undes. New",'NEW Counts Pivot Table'!$A$3,"State","AR","Category",8,"Category2","Two-Year")</f>
        <v>0</v>
      </c>
      <c r="AB22" s="77">
        <f>+GETPIVOTDATA(" Tot # Undes. New",'NEW Counts Pivot Table'!$A$3,"State","DE","Category",9,"Category2","Two-Year")</f>
        <v>0</v>
      </c>
      <c r="AC22" s="77">
        <f>+GETPIVOTDATA(" Tot # Undes. New",'NEW Counts Pivot Table'!$A$3,"State","DE","Category",10,"Category2","Two-Year")</f>
        <v>0</v>
      </c>
      <c r="AD22" s="77">
        <f>+GETPIVOTDATA(" Tot # Undes. New",'NEW Counts Pivot Table'!$A$3,"State","AL","Category",11,"Category2","Two-Year")</f>
        <v>0</v>
      </c>
      <c r="AE22" s="78">
        <f>+GETPIVOTDATA(" Tot # Undes. New",'NEW Counts Pivot Table'!$A$3,"State","AL","Category2","Two-Year")</f>
        <v>0</v>
      </c>
      <c r="AF22" s="76">
        <f>+GETPIVOTDATA(" Tot # Undes. New",'NEW Counts Pivot Table'!$A$3,"State","AL","Category",12,"Category2","Technical Institutes")</f>
        <v>0</v>
      </c>
      <c r="AG22" s="77">
        <f>+GETPIVOTDATA(" Tot # Undes. New",'NEW Counts Pivot Table'!$A$3,"State","AL","Category",13,"Category2","Technical Institutes")</f>
        <v>0</v>
      </c>
      <c r="AH22" s="76">
        <f>+GETPIVOTDATA(" Tot # Undes. New",'NEW Counts Pivot Table'!$A$3,"State","AL","Category2","Technical Institutes")</f>
        <v>0</v>
      </c>
    </row>
    <row r="23" spans="1:36" x14ac:dyDescent="0.2">
      <c r="A23" s="10"/>
      <c r="B23" s="18" t="s">
        <v>82</v>
      </c>
      <c r="C23" s="12">
        <f t="shared" si="4"/>
        <v>0</v>
      </c>
      <c r="D23" s="14">
        <f t="shared" si="4"/>
        <v>0</v>
      </c>
      <c r="E23" s="103">
        <f t="shared" si="4"/>
        <v>0</v>
      </c>
      <c r="F23" s="14">
        <f t="shared" si="4"/>
        <v>0</v>
      </c>
      <c r="G23" s="153">
        <f t="shared" si="4"/>
        <v>0</v>
      </c>
      <c r="H23" s="40">
        <f t="shared" si="4"/>
        <v>0</v>
      </c>
      <c r="I23" s="102">
        <f t="shared" si="4"/>
        <v>0</v>
      </c>
      <c r="J23" s="12">
        <f t="shared" si="4"/>
        <v>0</v>
      </c>
      <c r="K23" s="14">
        <f t="shared" si="4"/>
        <v>1</v>
      </c>
      <c r="L23" s="14">
        <f t="shared" si="4"/>
        <v>1</v>
      </c>
      <c r="M23" s="14">
        <f t="shared" si="5"/>
        <v>1</v>
      </c>
      <c r="N23" s="12">
        <f t="shared" si="6"/>
        <v>1</v>
      </c>
      <c r="O23" s="12">
        <f t="shared" si="6"/>
        <v>1</v>
      </c>
      <c r="P23" s="14">
        <f t="shared" si="6"/>
        <v>1</v>
      </c>
      <c r="Q23" s="12">
        <f t="shared" si="7"/>
        <v>1</v>
      </c>
      <c r="R23" s="56"/>
      <c r="S23" s="76">
        <f>+GETPIVOTDATA(" Tot # Single Rnk New",'NEW Counts Pivot Table'!$A$3,"State","AL","Category",1,"Category2","Four-Year")</f>
        <v>0</v>
      </c>
      <c r="T23" s="77">
        <f>+GETPIVOTDATA(" Tot # Single Rnk New",'NEW Counts Pivot Table'!$A$3,"State","AL","Category",2,"Category2","Four-Year")</f>
        <v>0</v>
      </c>
      <c r="U23" s="77">
        <f>+GETPIVOTDATA(" Tot # Single Rnk New",'NEW Counts Pivot Table'!$A$3,"State","AL","Category",3,"Category2","Four-Year")</f>
        <v>0</v>
      </c>
      <c r="V23" s="77">
        <f>+GETPIVOTDATA(" Tot # Single Rnk New",'NEW Counts Pivot Table'!$A$3,"State","AL","Category",4,"Category2","Four-Year")</f>
        <v>0</v>
      </c>
      <c r="W23" s="77">
        <f>+GETPIVOTDATA(" Tot # Single Rnk New",'NEW Counts Pivot Table'!$A$3,"State","AL","Category",5,"Category2","Four-Year")</f>
        <v>0</v>
      </c>
      <c r="X23" s="77">
        <f>+GETPIVOTDATA(" Tot # Single Rnk New",'NEW Counts Pivot Table'!$A$3,"State","AL","Category",6,"Category2","Four-Year")</f>
        <v>0</v>
      </c>
      <c r="Y23" s="78">
        <f>+GETPIVOTDATA(" Tot # Single Rnk New",'NEW Counts Pivot Table'!$A$3,"State","AL","Category2","Four-Year")</f>
        <v>0</v>
      </c>
      <c r="Z23" s="76">
        <f>+GETPIVOTDATA(" Tot # Single Rnk New",'NEW Counts Pivot Table'!$A$3,"State","AR","Category",7,"Category2","Two-Year")</f>
        <v>0</v>
      </c>
      <c r="AA23" s="77">
        <f>+GETPIVOTDATA(" Tot # Single Rnk New",'NEW Counts Pivot Table'!$A$3,"State","AR","Category",8,"Category2","Two-Year")</f>
        <v>327</v>
      </c>
      <c r="AB23" s="77">
        <f>+GETPIVOTDATA(" Tot # Single Rnk New",'NEW Counts Pivot Table'!$A$3,"State","DE","Category",9,"Category2","Two-Year")</f>
        <v>122</v>
      </c>
      <c r="AC23" s="77">
        <f>+GETPIVOTDATA(" Tot # Single Rnk New",'NEW Counts Pivot Table'!$A$3,"State","DE","Category",10,"Category2","Two-Year")</f>
        <v>85</v>
      </c>
      <c r="AD23" s="77">
        <f>+GETPIVOTDATA(" Tot # Single Rnk New",'NEW Counts Pivot Table'!$A$3,"State","AL","Category",11,"Category2","Two-Year")</f>
        <v>0</v>
      </c>
      <c r="AE23" s="78">
        <f>+GETPIVOTDATA(" Tot # Single Rnk New",'NEW Counts Pivot Table'!$A$3,"State","AL","Category2","Two-Year")</f>
        <v>1773</v>
      </c>
      <c r="AF23" s="76">
        <f>+GETPIVOTDATA(" Tot # Single Rnk New",'NEW Counts Pivot Table'!$A$3,"State","AL","Category",12,"Category2","Technical Institutes")</f>
        <v>60</v>
      </c>
      <c r="AG23" s="77">
        <f>+GETPIVOTDATA(" Tot # Single Rnk New",'NEW Counts Pivot Table'!$A$3,"State","AL","Category",13,"Category2","Technical Institutes")</f>
        <v>89</v>
      </c>
      <c r="AH23" s="76">
        <f>+GETPIVOTDATA(" Tot # Single Rnk New",'NEW Counts Pivot Table'!$A$3,"State","AL","Category2","Technical Institutes")</f>
        <v>149</v>
      </c>
    </row>
    <row r="24" spans="1:36" s="33" customFormat="1" x14ac:dyDescent="0.25">
      <c r="A24" s="109"/>
      <c r="B24" s="110" t="s">
        <v>84</v>
      </c>
      <c r="C24" s="13">
        <f t="shared" si="4"/>
        <v>1</v>
      </c>
      <c r="D24" s="11">
        <f t="shared" si="4"/>
        <v>1</v>
      </c>
      <c r="E24" s="11">
        <f t="shared" si="4"/>
        <v>1</v>
      </c>
      <c r="F24" s="11">
        <f t="shared" si="4"/>
        <v>1</v>
      </c>
      <c r="G24" s="11">
        <f t="shared" si="4"/>
        <v>1</v>
      </c>
      <c r="H24" s="41">
        <f t="shared" si="4"/>
        <v>1</v>
      </c>
      <c r="I24" s="13">
        <f t="shared" si="4"/>
        <v>1</v>
      </c>
      <c r="J24" s="13">
        <f t="shared" si="4"/>
        <v>0</v>
      </c>
      <c r="K24" s="11">
        <f t="shared" si="4"/>
        <v>1</v>
      </c>
      <c r="L24" s="11">
        <f t="shared" si="4"/>
        <v>1</v>
      </c>
      <c r="M24" s="11">
        <f t="shared" si="5"/>
        <v>1</v>
      </c>
      <c r="N24" s="13">
        <f t="shared" si="6"/>
        <v>1</v>
      </c>
      <c r="O24" s="13">
        <f t="shared" si="6"/>
        <v>1</v>
      </c>
      <c r="P24" s="11">
        <f t="shared" si="6"/>
        <v>1</v>
      </c>
      <c r="Q24" s="13">
        <f t="shared" si="7"/>
        <v>1</v>
      </c>
      <c r="R24" s="57"/>
      <c r="S24" s="79">
        <f>+GETPIVOTDATA(" All Ranks # New",'NEW Counts Pivot Table'!$A$3,"State","AL","Category",1,"Category2","Four-Year")</f>
        <v>3246</v>
      </c>
      <c r="T24" s="80">
        <f>+GETPIVOTDATA(" All Ranks # New",'NEW Counts Pivot Table'!$A$3,"State","AL","Category",2,"Category2","Four-Year")</f>
        <v>306</v>
      </c>
      <c r="U24" s="80">
        <f>+GETPIVOTDATA(" All Ranks # New",'NEW Counts Pivot Table'!$A$3,"State","AL","Category",3,"Category2","Four-Year")</f>
        <v>1519</v>
      </c>
      <c r="V24" s="80">
        <f>+GETPIVOTDATA(" All Ranks # New",'NEW Counts Pivot Table'!$A$3,"State","AL","Category",4,"Category2","Four-Year")</f>
        <v>686</v>
      </c>
      <c r="W24" s="80">
        <f>+GETPIVOTDATA(" All Ranks # New",'NEW Counts Pivot Table'!$A$3,"State","AL","Category",5,"Category2","Four-Year")</f>
        <v>237</v>
      </c>
      <c r="X24" s="80">
        <f>+GETPIVOTDATA(" All Ranks # New",'NEW Counts Pivot Table'!$A$3,"State","AL","Category",6,"Category2","Four-Year")</f>
        <v>85</v>
      </c>
      <c r="Y24" s="81">
        <f>+GETPIVOTDATA(" All Ranks # New",'NEW Counts Pivot Table'!$A$3,"State","AL","Category2","Four-Year")</f>
        <v>6079</v>
      </c>
      <c r="Z24" s="79">
        <f>+GETPIVOTDATA(" All Ranks # New",'NEW Counts Pivot Table'!$A$3,"State","AR","Category",7,"Category2","Two-Year")</f>
        <v>0</v>
      </c>
      <c r="AA24" s="80">
        <f>+GETPIVOTDATA(" All Ranks # New",'NEW Counts Pivot Table'!$A$3,"State","AR","Category",8,"Category2","Two-Year")</f>
        <v>327</v>
      </c>
      <c r="AB24" s="80">
        <f>+GETPIVOTDATA(" All Ranks # New",'NEW Counts Pivot Table'!$A$3,"State","DE","Category",9,"Category2","Two-Year")</f>
        <v>122</v>
      </c>
      <c r="AC24" s="80">
        <f>+GETPIVOTDATA(" All Ranks # New",'NEW Counts Pivot Table'!$A$3,"State","DE","Category",10,"Category2","Two-Year")</f>
        <v>85</v>
      </c>
      <c r="AD24" s="80">
        <f>+GETPIVOTDATA(" All Ranks # New",'NEW Counts Pivot Table'!$A$3,"State","AL","Category",11,"Category2","Two-Year")</f>
        <v>0</v>
      </c>
      <c r="AE24" s="81">
        <f>+GETPIVOTDATA(" All Ranks # New",'NEW Counts Pivot Table'!$A$3,"State","AL","Category2","Two-Year")</f>
        <v>1773</v>
      </c>
      <c r="AF24" s="79">
        <f>+GETPIVOTDATA(" All Ranks # New",'NEW Counts Pivot Table'!$A$3,"State","AL","Category",12,"Category2","Technical Institutes")</f>
        <v>60</v>
      </c>
      <c r="AG24" s="80">
        <f>+GETPIVOTDATA(" All Ranks # New",'NEW Counts Pivot Table'!$A$3,"State","AL","Category",13,"Category2","Technical Institutes")</f>
        <v>89</v>
      </c>
      <c r="AH24" s="79">
        <f>+GETPIVOTDATA(" All Ranks # New",'NEW Counts Pivot Table'!$A$3,"State","AL","Category2","Technical Institutes")</f>
        <v>149</v>
      </c>
      <c r="AI24" s="82"/>
      <c r="AJ24" s="82"/>
    </row>
    <row r="25" spans="1:36" x14ac:dyDescent="0.2">
      <c r="A25" s="18" t="s">
        <v>105</v>
      </c>
      <c r="B25" s="15" t="s">
        <v>99</v>
      </c>
      <c r="C25" s="16">
        <f t="shared" ref="C25:L31" si="8">IF(S$31&gt;0,(S25/S$31),0)</f>
        <v>0.36482412060301506</v>
      </c>
      <c r="D25" s="17">
        <f t="shared" si="8"/>
        <v>0</v>
      </c>
      <c r="E25" s="17">
        <f t="shared" si="8"/>
        <v>0.22347480106100795</v>
      </c>
      <c r="F25" s="17">
        <f t="shared" si="8"/>
        <v>0.21739130434782608</v>
      </c>
      <c r="G25" s="17">
        <f t="shared" si="8"/>
        <v>0.12987012987012986</v>
      </c>
      <c r="H25" s="39">
        <f t="shared" si="8"/>
        <v>9.7387173396674589E-2</v>
      </c>
      <c r="I25" s="16">
        <f t="shared" si="8"/>
        <v>0.24207415368081678</v>
      </c>
      <c r="J25" s="16">
        <f t="shared" si="8"/>
        <v>0</v>
      </c>
      <c r="K25" s="17">
        <f t="shared" si="8"/>
        <v>0</v>
      </c>
      <c r="L25" s="17">
        <f t="shared" si="8"/>
        <v>0</v>
      </c>
      <c r="M25" s="17">
        <f t="shared" ref="M25:M31" si="9">IF(AC$31&gt;0,(AC25/AC$31),0)</f>
        <v>0</v>
      </c>
      <c r="N25" s="91">
        <f t="shared" ref="N25:P31" si="10">IF(AE$31&gt;0,(AE25/AE$31),0)</f>
        <v>1.3783597518952447E-2</v>
      </c>
      <c r="O25" s="91">
        <f t="shared" si="10"/>
        <v>0</v>
      </c>
      <c r="P25" s="17">
        <f t="shared" si="10"/>
        <v>0</v>
      </c>
      <c r="Q25" s="91">
        <f t="shared" ref="Q25:Q31" si="11">IF(AH$31&gt;0,(AH25/AH$31),0)</f>
        <v>0</v>
      </c>
      <c r="R25" s="83"/>
      <c r="S25" s="73">
        <f>+GETPIVOTDATA(" Total # Prof New",'NEW Counts Pivot Table'!$A$3,"State","AR","Category",1,"Category2","Four-Year")</f>
        <v>363</v>
      </c>
      <c r="T25" s="74">
        <f>+GETPIVOTDATA(" Total # Prof New",'NEW Counts Pivot Table'!$A$3,"State","AR","Category",2,"Category2","Four-Year")</f>
        <v>0</v>
      </c>
      <c r="U25" s="74">
        <f>+GETPIVOTDATA(" Total # Prof New",'NEW Counts Pivot Table'!$A$3,"State","AR","Category",3,"Category2","Four-Year")</f>
        <v>337</v>
      </c>
      <c r="V25" s="74">
        <f>+GETPIVOTDATA(" Total # Prof New",'NEW Counts Pivot Table'!$A$3,"State","AR","Category",4,"Category2","Four-Year")</f>
        <v>140</v>
      </c>
      <c r="W25" s="74">
        <f>+GETPIVOTDATA(" Total # Prof New",'NEW Counts Pivot Table'!$A$3,"State","AR","Category",5,"Category2","Four-Year")</f>
        <v>20</v>
      </c>
      <c r="X25" s="74">
        <f>+GETPIVOTDATA(" Total # Prof New",'NEW Counts Pivot Table'!$A$3,"State","AR","Category",6,"Category2","Four-Year")</f>
        <v>41</v>
      </c>
      <c r="Y25" s="75">
        <f>+GETPIVOTDATA(" Total # Prof New",'NEW Counts Pivot Table'!$A$3,"State","AR","Category2","Four-Year")</f>
        <v>901</v>
      </c>
      <c r="Z25" s="73">
        <f>+GETPIVOTDATA(" Total # Prof New",'NEW Counts Pivot Table'!$A$3,"State","AR","Category",7,"Category2","Two-Year")</f>
        <v>0</v>
      </c>
      <c r="AA25" s="74">
        <f>+GETPIVOTDATA(" Total # Prof New",'NEW Counts Pivot Table'!$A$3,"State","AR","Category",8,"Category2","Two-Year")</f>
        <v>0</v>
      </c>
      <c r="AB25" s="74">
        <f>+GETPIVOTDATA(" Total # Prof New",'NEW Counts Pivot Table'!$A$3,"State","DE","Category",9,"Category2","Two-Year")</f>
        <v>0</v>
      </c>
      <c r="AC25" s="74">
        <f>+GETPIVOTDATA(" Total # Prof New",'NEW Counts Pivot Table'!$A$3,"State","DE","Category",10,"Category2","Two-Year")</f>
        <v>0</v>
      </c>
      <c r="AD25" s="74">
        <f>+GETPIVOTDATA(" Total # Prof New",'NEW Counts Pivot Table'!$A$3,"State","AR","Category",11,"Category2","Two-Year")</f>
        <v>0</v>
      </c>
      <c r="AE25" s="75">
        <f>+GETPIVOTDATA(" Total # Prof New",'NEW Counts Pivot Table'!$A$3,"State","AR","Category2","Two-Year")</f>
        <v>20</v>
      </c>
      <c r="AF25" s="73">
        <f>+GETPIVOTDATA(" Total # Prof New",'NEW Counts Pivot Table'!$A$3,"State","AR","Category",12,"Category2","Technical Institutes")</f>
        <v>0</v>
      </c>
      <c r="AG25" s="74">
        <f>+GETPIVOTDATA(" Total # Prof New",'NEW Counts Pivot Table'!$A$3,"State","AR","Category",13,"Category2","Technical Institutes")</f>
        <v>0</v>
      </c>
      <c r="AH25" s="73">
        <f>+GETPIVOTDATA(" Total # Prof New",'NEW Counts Pivot Table'!$A$3,"State","AR","Category2","Technical Institutes")</f>
        <v>0</v>
      </c>
    </row>
    <row r="26" spans="1:36" x14ac:dyDescent="0.2">
      <c r="A26" s="10"/>
      <c r="B26" s="18" t="s">
        <v>100</v>
      </c>
      <c r="C26" s="12">
        <f t="shared" si="8"/>
        <v>0.2150753768844221</v>
      </c>
      <c r="D26" s="14">
        <f t="shared" si="8"/>
        <v>0</v>
      </c>
      <c r="E26" s="14">
        <f t="shared" si="8"/>
        <v>0.24933687002652519</v>
      </c>
      <c r="F26" s="14">
        <f t="shared" si="8"/>
        <v>0.21583850931677018</v>
      </c>
      <c r="G26" s="14">
        <f t="shared" si="8"/>
        <v>0.29220779220779219</v>
      </c>
      <c r="H26" s="40">
        <f t="shared" si="8"/>
        <v>0.2161520190023753</v>
      </c>
      <c r="I26" s="12">
        <f t="shared" si="8"/>
        <v>0.23240193444384741</v>
      </c>
      <c r="J26" s="12">
        <f t="shared" si="8"/>
        <v>0</v>
      </c>
      <c r="K26" s="14">
        <f t="shared" si="8"/>
        <v>0</v>
      </c>
      <c r="L26" s="14">
        <f t="shared" si="8"/>
        <v>0</v>
      </c>
      <c r="M26" s="14">
        <f t="shared" si="9"/>
        <v>0</v>
      </c>
      <c r="N26" s="12">
        <f t="shared" si="10"/>
        <v>9.6485182632667123E-3</v>
      </c>
      <c r="O26" s="12">
        <f t="shared" si="10"/>
        <v>0</v>
      </c>
      <c r="P26" s="14">
        <f t="shared" si="10"/>
        <v>0</v>
      </c>
      <c r="Q26" s="12">
        <f t="shared" si="11"/>
        <v>0</v>
      </c>
      <c r="R26" s="56"/>
      <c r="S26" s="76">
        <f>+GETPIVOTDATA(" Tot # Asc. Prof New",'NEW Counts Pivot Table'!$A$3,"State","AR","Category",1,"Category2","Four-Year")</f>
        <v>214</v>
      </c>
      <c r="T26" s="77">
        <f>+GETPIVOTDATA(" Tot # Asc. Prof New",'NEW Counts Pivot Table'!$A$3,"State","AR","Category",2,"Category2","Four-Year")</f>
        <v>0</v>
      </c>
      <c r="U26" s="77">
        <f>+GETPIVOTDATA(" Tot # Asc. Prof New",'NEW Counts Pivot Table'!$A$3,"State","AR","Category",3,"Category2","Four-Year")</f>
        <v>376</v>
      </c>
      <c r="V26" s="77">
        <f>+GETPIVOTDATA(" Tot # Asc. Prof New",'NEW Counts Pivot Table'!$A$3,"State","AR","Category",4,"Category2","Four-Year")</f>
        <v>139</v>
      </c>
      <c r="W26" s="77">
        <f>+GETPIVOTDATA(" Tot # Asc. Prof New",'NEW Counts Pivot Table'!$A$3,"State","AR","Category",5,"Category2","Four-Year")</f>
        <v>45</v>
      </c>
      <c r="X26" s="77">
        <f>+GETPIVOTDATA(" Tot # Asc. Prof New",'NEW Counts Pivot Table'!$A$3,"State","AR","Category",6,"Category2","Four-Year")</f>
        <v>91</v>
      </c>
      <c r="Y26" s="78">
        <f>+GETPIVOTDATA(" Tot # Asc. Prof New",'NEW Counts Pivot Table'!$A$3,"State","AR","Category2","Four-Year")</f>
        <v>865</v>
      </c>
      <c r="Z26" s="76">
        <f>+GETPIVOTDATA(" Tot # Asc. Prof New",'NEW Counts Pivot Table'!$A$3,"State","AR","Category",7,"Category2","Two-Year")</f>
        <v>0</v>
      </c>
      <c r="AA26" s="77">
        <f>+GETPIVOTDATA(" Tot # Asc. Prof New",'NEW Counts Pivot Table'!$A$3,"State","AR","Category",8,"Category2","Two-Year")</f>
        <v>0</v>
      </c>
      <c r="AB26" s="77">
        <f>+GETPIVOTDATA(" Tot # Asc. Prof New",'NEW Counts Pivot Table'!$A$3,"State","DE","Category",9,"Category2","Two-Year")</f>
        <v>0</v>
      </c>
      <c r="AC26" s="77">
        <f>+GETPIVOTDATA(" Tot # Asc. Prof New",'NEW Counts Pivot Table'!$A$3,"State","DE","Category",10,"Category2","Two-Year")</f>
        <v>0</v>
      </c>
      <c r="AD26" s="77">
        <f>+GETPIVOTDATA(" Tot # Asc. Prof New",'NEW Counts Pivot Table'!$A$3,"State","AR","Category",11,"Category2","Two-Year")</f>
        <v>0</v>
      </c>
      <c r="AE26" s="78">
        <f>+GETPIVOTDATA(" Tot # Asc. Prof New",'NEW Counts Pivot Table'!$A$3,"State","AR","Category2","Two-Year")</f>
        <v>14</v>
      </c>
      <c r="AF26" s="76">
        <f>+GETPIVOTDATA(" Tot # Asc. Prof New",'NEW Counts Pivot Table'!$A$3,"State","AR","Category",12,"Category2","Technical Institutes")</f>
        <v>0</v>
      </c>
      <c r="AG26" s="77">
        <f>+GETPIVOTDATA(" Tot # Asc. Prof New",'NEW Counts Pivot Table'!$A$3,"State","AR","Category",13,"Category2","Technical Institutes")</f>
        <v>0</v>
      </c>
      <c r="AH26" s="76">
        <f>+GETPIVOTDATA(" Tot # Asc. Prof New",'NEW Counts Pivot Table'!$A$3,"State","AR","Category2","Technical Institutes")</f>
        <v>0</v>
      </c>
    </row>
    <row r="27" spans="1:36" x14ac:dyDescent="0.2">
      <c r="A27" s="10"/>
      <c r="B27" s="18" t="s">
        <v>101</v>
      </c>
      <c r="C27" s="12">
        <f t="shared" si="8"/>
        <v>0.16783919597989949</v>
      </c>
      <c r="D27" s="14">
        <f t="shared" si="8"/>
        <v>0</v>
      </c>
      <c r="E27" s="14">
        <f t="shared" si="8"/>
        <v>0.27387267904509283</v>
      </c>
      <c r="F27" s="14">
        <f t="shared" si="8"/>
        <v>0.34161490683229812</v>
      </c>
      <c r="G27" s="14">
        <f t="shared" si="8"/>
        <v>0.14935064935064934</v>
      </c>
      <c r="H27" s="40">
        <f t="shared" si="8"/>
        <v>0.36342042755344417</v>
      </c>
      <c r="I27" s="12">
        <f t="shared" si="8"/>
        <v>0.26222461042450296</v>
      </c>
      <c r="J27" s="12">
        <f t="shared" si="8"/>
        <v>0</v>
      </c>
      <c r="K27" s="14">
        <f t="shared" si="8"/>
        <v>0</v>
      </c>
      <c r="L27" s="14">
        <f t="shared" si="8"/>
        <v>0</v>
      </c>
      <c r="M27" s="14">
        <f t="shared" si="9"/>
        <v>0</v>
      </c>
      <c r="N27" s="12">
        <f t="shared" si="10"/>
        <v>5.2377670572019294E-2</v>
      </c>
      <c r="O27" s="12">
        <f t="shared" si="10"/>
        <v>0</v>
      </c>
      <c r="P27" s="14">
        <f t="shared" si="10"/>
        <v>0</v>
      </c>
      <c r="Q27" s="12">
        <f t="shared" si="11"/>
        <v>0</v>
      </c>
      <c r="R27" s="56"/>
      <c r="S27" s="76">
        <f>+GETPIVOTDATA(" Tot # Ast. Prof New",'NEW Counts Pivot Table'!$A$3,"State","AR","Category",1,"Category2","Four-Year")</f>
        <v>167</v>
      </c>
      <c r="T27" s="77">
        <f>+GETPIVOTDATA(" Tot # Ast. Prof New",'NEW Counts Pivot Table'!$A$3,"State","AR","Category",2,"Category2","Four-Year")</f>
        <v>0</v>
      </c>
      <c r="U27" s="77">
        <f>+GETPIVOTDATA(" Tot # Ast. Prof New",'NEW Counts Pivot Table'!$A$3,"State","AR","Category",3,"Category2","Four-Year")</f>
        <v>413</v>
      </c>
      <c r="V27" s="77">
        <f>+GETPIVOTDATA(" Tot # Ast. Prof New",'NEW Counts Pivot Table'!$A$3,"State","AR","Category",4,"Category2","Four-Year")</f>
        <v>220</v>
      </c>
      <c r="W27" s="77">
        <f>+GETPIVOTDATA(" Tot # Ast. Prof New",'NEW Counts Pivot Table'!$A$3,"State","AR","Category",5,"Category2","Four-Year")</f>
        <v>23</v>
      </c>
      <c r="X27" s="77">
        <f>+GETPIVOTDATA(" Tot # Ast. Prof New",'NEW Counts Pivot Table'!$A$3,"State","AR","Category",6,"Category2","Four-Year")</f>
        <v>153</v>
      </c>
      <c r="Y27" s="78">
        <f>+GETPIVOTDATA(" Tot # Ast. Prof New",'NEW Counts Pivot Table'!$A$3,"State","AR","Category2","Four-Year")</f>
        <v>976</v>
      </c>
      <c r="Z27" s="76">
        <f>+GETPIVOTDATA(" Tot # Ast. Prof New",'NEW Counts Pivot Table'!$A$3,"State","AR","Category",7,"Category2","Two-Year")</f>
        <v>0</v>
      </c>
      <c r="AA27" s="77">
        <f>+GETPIVOTDATA(" Tot # Ast. Prof New",'NEW Counts Pivot Table'!$A$3,"State","AR","Category",8,"Category2","Two-Year")</f>
        <v>0</v>
      </c>
      <c r="AB27" s="77">
        <f>+GETPIVOTDATA(" Tot # Ast. Prof New",'NEW Counts Pivot Table'!$A$3,"State","DE","Category",9,"Category2","Two-Year")</f>
        <v>0</v>
      </c>
      <c r="AC27" s="77">
        <f>+GETPIVOTDATA(" Tot # Ast. Prof New",'NEW Counts Pivot Table'!$A$3,"State","DE","Category",10,"Category2","Two-Year")</f>
        <v>0</v>
      </c>
      <c r="AD27" s="77">
        <f>+GETPIVOTDATA(" Tot # Ast. Prof New",'NEW Counts Pivot Table'!$A$3,"State","AR","Category",11,"Category2","Two-Year")</f>
        <v>0</v>
      </c>
      <c r="AE27" s="78">
        <f>+GETPIVOTDATA(" Tot # Ast. Prof New",'NEW Counts Pivot Table'!$A$3,"State","AR","Category2","Two-Year")</f>
        <v>76</v>
      </c>
      <c r="AF27" s="76">
        <f>+GETPIVOTDATA(" Tot # Ast. Prof New",'NEW Counts Pivot Table'!$A$3,"State","AR","Category",12,"Category2","Technical Institutes")</f>
        <v>0</v>
      </c>
      <c r="AG27" s="77">
        <f>+GETPIVOTDATA(" Tot # Ast. Prof New",'NEW Counts Pivot Table'!$A$3,"State","AR","Category",13,"Category2","Technical Institutes")</f>
        <v>0</v>
      </c>
      <c r="AH27" s="76">
        <f>+GETPIVOTDATA(" Tot # Ast. Prof New",'NEW Counts Pivot Table'!$A$3,"State","AR","Category2","Technical Institutes")</f>
        <v>0</v>
      </c>
    </row>
    <row r="28" spans="1:36" x14ac:dyDescent="0.2">
      <c r="A28" s="10"/>
      <c r="B28" s="18" t="s">
        <v>102</v>
      </c>
      <c r="C28" s="12">
        <f t="shared" si="8"/>
        <v>0.17889447236180905</v>
      </c>
      <c r="D28" s="14">
        <f t="shared" si="8"/>
        <v>0</v>
      </c>
      <c r="E28" s="14">
        <f t="shared" si="8"/>
        <v>0.19893899204244031</v>
      </c>
      <c r="F28" s="14">
        <f t="shared" si="8"/>
        <v>0.15062111801242237</v>
      </c>
      <c r="G28" s="14">
        <f t="shared" si="8"/>
        <v>0.18831168831168832</v>
      </c>
      <c r="H28" s="40">
        <f t="shared" si="8"/>
        <v>0.30166270783847982</v>
      </c>
      <c r="I28" s="12">
        <f t="shared" si="8"/>
        <v>0.19639978506179473</v>
      </c>
      <c r="J28" s="12">
        <f t="shared" si="8"/>
        <v>0</v>
      </c>
      <c r="K28" s="14">
        <f t="shared" si="8"/>
        <v>0</v>
      </c>
      <c r="L28" s="14">
        <f t="shared" si="8"/>
        <v>0</v>
      </c>
      <c r="M28" s="14">
        <f t="shared" si="9"/>
        <v>0</v>
      </c>
      <c r="N28" s="12">
        <f t="shared" si="10"/>
        <v>0.12749827705031014</v>
      </c>
      <c r="O28" s="12">
        <f t="shared" si="10"/>
        <v>0</v>
      </c>
      <c r="P28" s="14">
        <f t="shared" si="10"/>
        <v>0</v>
      </c>
      <c r="Q28" s="12">
        <f t="shared" si="11"/>
        <v>0</v>
      </c>
      <c r="R28" s="56"/>
      <c r="S28" s="76">
        <f>+GETPIVOTDATA(" Tot # Instr. New",'NEW Counts Pivot Table'!$A$3,"State","AR","Category",1,"Category2","Four-Year")</f>
        <v>178</v>
      </c>
      <c r="T28" s="77">
        <f>+GETPIVOTDATA(" Tot # Instr. New",'NEW Counts Pivot Table'!$A$3,"State","AR","Category",2,"Category2","Four-Year")</f>
        <v>0</v>
      </c>
      <c r="U28" s="77">
        <f>+GETPIVOTDATA(" Tot # Instr. New",'NEW Counts Pivot Table'!$A$3,"State","AR","Category",3,"Category2","Four-Year")</f>
        <v>300</v>
      </c>
      <c r="V28" s="77">
        <f>+GETPIVOTDATA(" Tot # Instr. New",'NEW Counts Pivot Table'!$A$3,"State","AR","Category",4,"Category2","Four-Year")</f>
        <v>97</v>
      </c>
      <c r="W28" s="77">
        <f>+GETPIVOTDATA(" Tot # Instr. New",'NEW Counts Pivot Table'!$A$3,"State","AR","Category",5,"Category2","Four-Year")</f>
        <v>29</v>
      </c>
      <c r="X28" s="77">
        <f>+GETPIVOTDATA(" Tot # Instr. New",'NEW Counts Pivot Table'!$A$3,"State","AR","Category",6,"Category2","Four-Year")</f>
        <v>127</v>
      </c>
      <c r="Y28" s="78">
        <f>+GETPIVOTDATA(" Tot # Instr. New",'NEW Counts Pivot Table'!$A$3,"State","AR","Category2","Four-Year")</f>
        <v>731</v>
      </c>
      <c r="Z28" s="76">
        <f>+GETPIVOTDATA(" Tot # Instr. New",'NEW Counts Pivot Table'!$A$3,"State","AR","Category",7,"Category2","Two-Year")</f>
        <v>0</v>
      </c>
      <c r="AA28" s="77">
        <f>+GETPIVOTDATA(" Tot # Instr. New",'NEW Counts Pivot Table'!$A$3,"State","AR","Category",8,"Category2","Two-Year")</f>
        <v>0</v>
      </c>
      <c r="AB28" s="77">
        <f>+GETPIVOTDATA(" Tot # Instr. New",'NEW Counts Pivot Table'!$A$3,"State","DE","Category",9,"Category2","Two-Year")</f>
        <v>0</v>
      </c>
      <c r="AC28" s="77">
        <f>+GETPIVOTDATA(" Tot # Instr. New",'NEW Counts Pivot Table'!$A$3,"State","DE","Category",10,"Category2","Two-Year")</f>
        <v>0</v>
      </c>
      <c r="AD28" s="77">
        <f>+GETPIVOTDATA(" Tot # Instr. New",'NEW Counts Pivot Table'!$A$3,"State","AR","Category",11,"Category2","Two-Year")</f>
        <v>0</v>
      </c>
      <c r="AE28" s="78">
        <f>+GETPIVOTDATA(" Tot # Instr. New",'NEW Counts Pivot Table'!$A$3,"State","AR","Category2","Two-Year")</f>
        <v>185</v>
      </c>
      <c r="AF28" s="76">
        <f>+GETPIVOTDATA(" Tot # Instr. New",'NEW Counts Pivot Table'!$A$3,"State","AR","Category",12,"Category2","Technical Institutes")</f>
        <v>0</v>
      </c>
      <c r="AG28" s="77">
        <f>+GETPIVOTDATA(" Tot # Instr. New",'NEW Counts Pivot Table'!$A$3,"State","AR","Category",13,"Category2","Technical Institutes")</f>
        <v>0</v>
      </c>
      <c r="AH28" s="76">
        <f>+GETPIVOTDATA(" Tot # Instr. New",'NEW Counts Pivot Table'!$A$3,"State","AR","Category2","Technical Institutes")</f>
        <v>0</v>
      </c>
    </row>
    <row r="29" spans="1:36" x14ac:dyDescent="0.2">
      <c r="A29" s="10"/>
      <c r="B29" s="18" t="s">
        <v>83</v>
      </c>
      <c r="C29" s="12">
        <f t="shared" si="8"/>
        <v>7.3366834170854267E-2</v>
      </c>
      <c r="D29" s="14">
        <f t="shared" si="8"/>
        <v>0</v>
      </c>
      <c r="E29" s="14">
        <f t="shared" si="8"/>
        <v>5.4376657824933686E-2</v>
      </c>
      <c r="F29" s="14">
        <f t="shared" si="8"/>
        <v>7.4534161490683232E-2</v>
      </c>
      <c r="G29" s="14">
        <f t="shared" si="8"/>
        <v>0.24025974025974026</v>
      </c>
      <c r="H29" s="40">
        <f t="shared" si="8"/>
        <v>2.1377672209026127E-2</v>
      </c>
      <c r="I29" s="12">
        <f t="shared" si="8"/>
        <v>6.6899516389038155E-2</v>
      </c>
      <c r="J29" s="12">
        <f t="shared" si="8"/>
        <v>0</v>
      </c>
      <c r="K29" s="14">
        <f t="shared" si="8"/>
        <v>0</v>
      </c>
      <c r="L29" s="14">
        <f t="shared" si="8"/>
        <v>0</v>
      </c>
      <c r="M29" s="14">
        <f t="shared" si="9"/>
        <v>0</v>
      </c>
      <c r="N29" s="12">
        <f t="shared" si="10"/>
        <v>0</v>
      </c>
      <c r="O29" s="12">
        <f t="shared" si="10"/>
        <v>0</v>
      </c>
      <c r="P29" s="14">
        <f t="shared" si="10"/>
        <v>0</v>
      </c>
      <c r="Q29" s="12">
        <f t="shared" si="11"/>
        <v>0</v>
      </c>
      <c r="R29" s="56"/>
      <c r="S29" s="76">
        <f>++GETPIVOTDATA(" Tot # Undes. New",'NEW Counts Pivot Table'!$A$3,"State","AR","Category",1,"Category2","Four-Year")</f>
        <v>73</v>
      </c>
      <c r="T29" s="77">
        <f>+GETPIVOTDATA(" Tot # Undes. New",'NEW Counts Pivot Table'!$A$3,"State","AR","Category",2,"Category2","Four-Year")</f>
        <v>0</v>
      </c>
      <c r="U29" s="77">
        <f>+GETPIVOTDATA(" Tot # Undes. New",'NEW Counts Pivot Table'!$A$3,"State","AR","Category",3,"Category2","Four-Year")</f>
        <v>82</v>
      </c>
      <c r="V29" s="77">
        <f>+GETPIVOTDATA(" Tot # Undes. New",'NEW Counts Pivot Table'!$A$3,"State","AR","Category",4,"Category2","Four-Year")</f>
        <v>48</v>
      </c>
      <c r="W29" s="77">
        <f>+GETPIVOTDATA(" Tot # Undes. New",'NEW Counts Pivot Table'!$A$3,"State","AR","Category",5,"Category2","Four-Year")</f>
        <v>37</v>
      </c>
      <c r="X29" s="77">
        <f>+GETPIVOTDATA(" Tot # Undes. New",'NEW Counts Pivot Table'!$A$3,"State","AR","Category",6,"Category2","Four-Year")</f>
        <v>9</v>
      </c>
      <c r="Y29" s="78">
        <f>+GETPIVOTDATA(" Tot # Undes. New",'NEW Counts Pivot Table'!$A$3,"State","AR","Category2","Four-Year")</f>
        <v>249</v>
      </c>
      <c r="Z29" s="76">
        <f>+GETPIVOTDATA(" Tot # Undes. New",'NEW Counts Pivot Table'!$A$3,"State","AR","Category",7,"Category2","Two-Year")</f>
        <v>0</v>
      </c>
      <c r="AA29" s="77">
        <f>+GETPIVOTDATA(" Tot # Undes. New",'NEW Counts Pivot Table'!$A$3,"State","AR","Category",8,"Category2","Two-Year")</f>
        <v>0</v>
      </c>
      <c r="AB29" s="77">
        <f>+GETPIVOTDATA(" Tot # Undes. New",'NEW Counts Pivot Table'!$A$3,"State","DE","Category",9,"Category2","Two-Year")</f>
        <v>0</v>
      </c>
      <c r="AC29" s="77">
        <f>+GETPIVOTDATA(" Tot # Undes. New",'NEW Counts Pivot Table'!$A$3,"State","DE","Category",10,"Category2","Two-Year")</f>
        <v>0</v>
      </c>
      <c r="AD29" s="77">
        <f>+GETPIVOTDATA(" Tot # Undes. New",'NEW Counts Pivot Table'!$A$3,"State","AR","Category",11,"Category2","Two-Year")</f>
        <v>0</v>
      </c>
      <c r="AE29" s="78">
        <f>+GETPIVOTDATA(" Tot # Undes. New",'NEW Counts Pivot Table'!$A$3,"State","AR","Category2","Two-Year")</f>
        <v>0</v>
      </c>
      <c r="AF29" s="76">
        <f>+GETPIVOTDATA(" Tot # Undes. New",'NEW Counts Pivot Table'!$A$3,"State","AR","Category",12,"Category2","Technical Institutes")</f>
        <v>0</v>
      </c>
      <c r="AG29" s="77">
        <f>+GETPIVOTDATA(" Tot # Undes. New",'NEW Counts Pivot Table'!$A$3,"State","AR","Category",13,"Category2","Technical Institutes")</f>
        <v>0</v>
      </c>
      <c r="AH29" s="76">
        <f>+GETPIVOTDATA(" Tot # Undes. New",'NEW Counts Pivot Table'!$A$3,"State","AR","Category2","Technical Institutes")</f>
        <v>0</v>
      </c>
    </row>
    <row r="30" spans="1:36" x14ac:dyDescent="0.2">
      <c r="A30" s="10"/>
      <c r="B30" s="18" t="s">
        <v>82</v>
      </c>
      <c r="C30" s="12">
        <f t="shared" si="8"/>
        <v>0</v>
      </c>
      <c r="D30" s="14">
        <f t="shared" si="8"/>
        <v>0</v>
      </c>
      <c r="E30" s="103">
        <f t="shared" si="8"/>
        <v>0</v>
      </c>
      <c r="F30" s="14">
        <f t="shared" si="8"/>
        <v>0</v>
      </c>
      <c r="G30" s="103">
        <f t="shared" si="8"/>
        <v>0</v>
      </c>
      <c r="H30" s="40">
        <f t="shared" si="8"/>
        <v>0</v>
      </c>
      <c r="I30" s="102">
        <f t="shared" si="8"/>
        <v>0</v>
      </c>
      <c r="J30" s="12">
        <f t="shared" si="8"/>
        <v>0</v>
      </c>
      <c r="K30" s="14">
        <f t="shared" si="8"/>
        <v>1</v>
      </c>
      <c r="L30" s="14">
        <f t="shared" si="8"/>
        <v>1</v>
      </c>
      <c r="M30" s="14">
        <f t="shared" si="9"/>
        <v>1</v>
      </c>
      <c r="N30" s="12">
        <f t="shared" si="10"/>
        <v>0.79669193659545146</v>
      </c>
      <c r="O30" s="12">
        <f t="shared" si="10"/>
        <v>0</v>
      </c>
      <c r="P30" s="14">
        <f t="shared" si="10"/>
        <v>0</v>
      </c>
      <c r="Q30" s="12">
        <f t="shared" si="11"/>
        <v>0</v>
      </c>
      <c r="R30" s="56"/>
      <c r="S30" s="76">
        <f>+GETPIVOTDATA(" Tot # Single Rnk New",'NEW Counts Pivot Table'!$A$3,"State","AR","Category",1,"Category2","Four-Year")</f>
        <v>0</v>
      </c>
      <c r="T30" s="77">
        <f>+GETPIVOTDATA(" Tot # Single Rnk New",'NEW Counts Pivot Table'!$A$3,"State","AR","Category",2,"Category2","Four-Year")</f>
        <v>0</v>
      </c>
      <c r="U30" s="77">
        <f>+GETPIVOTDATA(" Tot # Single Rnk New",'NEW Counts Pivot Table'!$A$3,"State","AR","Category",3,"Category2","Four-Year")</f>
        <v>0</v>
      </c>
      <c r="V30" s="77">
        <f>+GETPIVOTDATA(" Tot # Single Rnk New",'NEW Counts Pivot Table'!$A$3,"State","AR","Category",4,"Category2","Four-Year")</f>
        <v>0</v>
      </c>
      <c r="W30" s="77">
        <f>+GETPIVOTDATA(" Tot # Single Rnk New",'NEW Counts Pivot Table'!$A$3,"State","AR","Category",5,"Category2","Four-Year")</f>
        <v>0</v>
      </c>
      <c r="X30" s="77">
        <f>+GETPIVOTDATA(" Tot # Single Rnk New",'NEW Counts Pivot Table'!$A$3,"State","AR","Category",6,"Category2","Four-Year")</f>
        <v>0</v>
      </c>
      <c r="Y30" s="78">
        <f>+GETPIVOTDATA(" Tot # Single Rnk New",'NEW Counts Pivot Table'!$A$3,"State","AR","Category2","Four-Year")</f>
        <v>0</v>
      </c>
      <c r="Z30" s="76">
        <f>+GETPIVOTDATA(" Tot # Single Rnk New",'NEW Counts Pivot Table'!$A$3,"State","AR","Category",7,"Category2","Two-Year")</f>
        <v>0</v>
      </c>
      <c r="AA30" s="77">
        <f>+GETPIVOTDATA(" Tot # Single Rnk New",'NEW Counts Pivot Table'!$A$3,"State","AR","Category",8,"Category2","Two-Year")</f>
        <v>327</v>
      </c>
      <c r="AB30" s="77">
        <f>+GETPIVOTDATA(" Tot # Single Rnk New",'NEW Counts Pivot Table'!$A$3,"State","DE","Category",9,"Category2","Two-Year")</f>
        <v>122</v>
      </c>
      <c r="AC30" s="77">
        <f>+GETPIVOTDATA(" Tot # Single Rnk New",'NEW Counts Pivot Table'!$A$3,"State","DE","Category",10,"Category2","Two-Year")</f>
        <v>85</v>
      </c>
      <c r="AD30" s="77">
        <f>+GETPIVOTDATA(" Tot # Single Rnk New",'NEW Counts Pivot Table'!$A$3,"State","AR","Category",11,"Category2","Two-Year")</f>
        <v>0</v>
      </c>
      <c r="AE30" s="78">
        <f>+GETPIVOTDATA(" Tot # Single Rnk New",'NEW Counts Pivot Table'!$A$3,"State","AR","Category2","Two-Year")</f>
        <v>1156</v>
      </c>
      <c r="AF30" s="76">
        <f>+GETPIVOTDATA(" Tot # Single Rnk New",'NEW Counts Pivot Table'!$A$3,"State","AR","Category",12,"Category2","Technical Institutes")</f>
        <v>0</v>
      </c>
      <c r="AG30" s="77">
        <f>+GETPIVOTDATA(" Tot # Single Rnk New",'NEW Counts Pivot Table'!$A$3,"State","AR","Category",13,"Category2","Technical Institutes")</f>
        <v>0</v>
      </c>
      <c r="AH30" s="76">
        <f>+GETPIVOTDATA(" Tot # Single Rnk New",'NEW Counts Pivot Table'!$A$3,"State","AR","Category2","Technical Institutes")</f>
        <v>0</v>
      </c>
    </row>
    <row r="31" spans="1:36" s="33" customFormat="1" x14ac:dyDescent="0.25">
      <c r="A31" s="109"/>
      <c r="B31" s="110" t="s">
        <v>84</v>
      </c>
      <c r="C31" s="13">
        <f t="shared" si="8"/>
        <v>1</v>
      </c>
      <c r="D31" s="11">
        <f t="shared" si="8"/>
        <v>0</v>
      </c>
      <c r="E31" s="11">
        <f t="shared" si="8"/>
        <v>1</v>
      </c>
      <c r="F31" s="11">
        <f t="shared" si="8"/>
        <v>1</v>
      </c>
      <c r="G31" s="11">
        <f t="shared" si="8"/>
        <v>1</v>
      </c>
      <c r="H31" s="41">
        <f t="shared" si="8"/>
        <v>1</v>
      </c>
      <c r="I31" s="13">
        <f t="shared" si="8"/>
        <v>1</v>
      </c>
      <c r="J31" s="13">
        <f t="shared" si="8"/>
        <v>0</v>
      </c>
      <c r="K31" s="11">
        <f t="shared" si="8"/>
        <v>1</v>
      </c>
      <c r="L31" s="11">
        <f t="shared" si="8"/>
        <v>1</v>
      </c>
      <c r="M31" s="11">
        <f t="shared" si="9"/>
        <v>1</v>
      </c>
      <c r="N31" s="13">
        <f t="shared" si="10"/>
        <v>1</v>
      </c>
      <c r="O31" s="13">
        <f t="shared" si="10"/>
        <v>0</v>
      </c>
      <c r="P31" s="11">
        <f t="shared" si="10"/>
        <v>0</v>
      </c>
      <c r="Q31" s="13">
        <f t="shared" si="11"/>
        <v>0</v>
      </c>
      <c r="R31" s="57"/>
      <c r="S31" s="79">
        <f>+GETPIVOTDATA(" All Ranks # New",'NEW Counts Pivot Table'!$A$3,"State","AR","Category",1,"Category2","Four-Year")</f>
        <v>995</v>
      </c>
      <c r="T31" s="80">
        <f>+GETPIVOTDATA(" All Ranks # New",'NEW Counts Pivot Table'!$A$3,"State","AR","Category",2,"Category2","Four-Year")</f>
        <v>0</v>
      </c>
      <c r="U31" s="80">
        <f>+GETPIVOTDATA(" All Ranks # New",'NEW Counts Pivot Table'!$A$3,"State","AR","Category",3,"Category2","Four-Year")</f>
        <v>1508</v>
      </c>
      <c r="V31" s="80">
        <f>+GETPIVOTDATA(" All Ranks # New",'NEW Counts Pivot Table'!$A$3,"State","AR","Category",4,"Category2","Four-Year")</f>
        <v>644</v>
      </c>
      <c r="W31" s="80">
        <f>+GETPIVOTDATA(" All Ranks # New",'NEW Counts Pivot Table'!$A$3,"State","AR","Category",5,"Category2","Four-Year")</f>
        <v>154</v>
      </c>
      <c r="X31" s="80">
        <f>+GETPIVOTDATA(" All Ranks # New",'NEW Counts Pivot Table'!$A$3,"State","AR","Category",6,"Category2","Four-Year")</f>
        <v>421</v>
      </c>
      <c r="Y31" s="81">
        <f>+GETPIVOTDATA(" All Ranks # New",'NEW Counts Pivot Table'!$A$3,"State","AR","Category2","Four-Year")</f>
        <v>3722</v>
      </c>
      <c r="Z31" s="79">
        <f>+GETPIVOTDATA(" All Ranks # New",'NEW Counts Pivot Table'!$A$3,"State","AR","Category",7,"Category2","Two-Year")</f>
        <v>0</v>
      </c>
      <c r="AA31" s="80">
        <f>+GETPIVOTDATA(" All Ranks # New",'NEW Counts Pivot Table'!$A$3,"State","AR","Category",8,"Category2","Two-Year")</f>
        <v>327</v>
      </c>
      <c r="AB31" s="80">
        <f>+GETPIVOTDATA(" All Ranks # New",'NEW Counts Pivot Table'!$A$3,"State","DE","Category",9,"Category2","Two-Year")</f>
        <v>122</v>
      </c>
      <c r="AC31" s="80">
        <f>+GETPIVOTDATA(" All Ranks # New",'NEW Counts Pivot Table'!$A$3,"State","DE","Category",10,"Category2","Two-Year")</f>
        <v>85</v>
      </c>
      <c r="AD31" s="80">
        <f>+GETPIVOTDATA(" All Ranks # New",'NEW Counts Pivot Table'!$A$3,"State","AR","Category",11,"Category2","Two-Year")</f>
        <v>0</v>
      </c>
      <c r="AE31" s="81">
        <f>+GETPIVOTDATA(" All Ranks # New",'NEW Counts Pivot Table'!$A$3,"State","AR","Category2","Two-Year")</f>
        <v>1451</v>
      </c>
      <c r="AF31" s="79">
        <f>+GETPIVOTDATA(" All Ranks # New",'NEW Counts Pivot Table'!$A$3,"State","AR","Category",12,"Category2","Technical Institutes")</f>
        <v>0</v>
      </c>
      <c r="AG31" s="80">
        <f>+GETPIVOTDATA(" All Ranks # New",'NEW Counts Pivot Table'!$A$3,"State","AR","Category",13,"Category2","Technical Institutes")</f>
        <v>0</v>
      </c>
      <c r="AH31" s="79">
        <f>+GETPIVOTDATA(" All Ranks # New",'NEW Counts Pivot Table'!$A$3,"State","AR","Category2","Technical Institutes")</f>
        <v>0</v>
      </c>
      <c r="AI31" s="82"/>
      <c r="AJ31" s="82"/>
    </row>
    <row r="32" spans="1:36" x14ac:dyDescent="0.2">
      <c r="A32" s="18" t="s">
        <v>106</v>
      </c>
      <c r="B32" s="15" t="s">
        <v>99</v>
      </c>
      <c r="C32" s="16">
        <f t="shared" ref="C32:L38" si="12">IF(S$38&gt;0,(S32/S$38),0)</f>
        <v>0.34924845269672855</v>
      </c>
      <c r="D32" s="17">
        <f t="shared" si="12"/>
        <v>0</v>
      </c>
      <c r="E32" s="17">
        <f t="shared" si="12"/>
        <v>0</v>
      </c>
      <c r="F32" s="17">
        <f t="shared" si="12"/>
        <v>0.18840579710144928</v>
      </c>
      <c r="G32" s="17">
        <f t="shared" si="12"/>
        <v>0</v>
      </c>
      <c r="H32" s="39">
        <f t="shared" si="12"/>
        <v>0</v>
      </c>
      <c r="I32" s="16">
        <f t="shared" si="12"/>
        <v>0.32436472346786249</v>
      </c>
      <c r="J32" s="16">
        <f t="shared" si="12"/>
        <v>0</v>
      </c>
      <c r="K32" s="17">
        <f t="shared" si="12"/>
        <v>0</v>
      </c>
      <c r="L32" s="17">
        <f t="shared" si="12"/>
        <v>0</v>
      </c>
      <c r="M32" s="17">
        <f t="shared" ref="M32:M38" si="13">IF(AC$38&gt;0,(AC32/AC$38),0)</f>
        <v>0</v>
      </c>
      <c r="N32" s="16">
        <f t="shared" ref="N32:P38" si="14">IF(AE$38&gt;0,(AE32/AE$38),0)</f>
        <v>0</v>
      </c>
      <c r="O32" s="91">
        <f t="shared" si="14"/>
        <v>0</v>
      </c>
      <c r="P32" s="17">
        <f t="shared" si="14"/>
        <v>0</v>
      </c>
      <c r="Q32" s="91">
        <f t="shared" ref="Q32:Q38" si="15">IF(AH$38&gt;0,(AH32/AH$38),0)</f>
        <v>0</v>
      </c>
      <c r="R32" s="83"/>
      <c r="S32" s="73">
        <f>+GETPIVOTDATA(" Total # Prof New",'NEW Counts Pivot Table'!$A$3,"State","DE","Category",1,"Category2","Four-Year")</f>
        <v>395</v>
      </c>
      <c r="T32" s="74">
        <f>+GETPIVOTDATA(" Total # Prof New",'NEW Counts Pivot Table'!$A$3,"State","DE","Category",2,"Category2","Four-Year")</f>
        <v>0</v>
      </c>
      <c r="U32" s="74">
        <f>+GETPIVOTDATA(" Total # Prof New",'NEW Counts Pivot Table'!$A$3,"State","DE","Category",3,"Category2","Four-Year")</f>
        <v>0</v>
      </c>
      <c r="V32" s="74">
        <f>+GETPIVOTDATA(" Total # Prof New",'NEW Counts Pivot Table'!$A$3,"State","DE","Category",4,"Category2","Four-Year")</f>
        <v>39</v>
      </c>
      <c r="W32" s="74">
        <f>+GETPIVOTDATA(" Total # Prof New",'NEW Counts Pivot Table'!$A$3,"State","DE","Category",5,"Category2","Four-Year")</f>
        <v>0</v>
      </c>
      <c r="X32" s="74">
        <f>+GETPIVOTDATA(" Total # Prof New",'NEW Counts Pivot Table'!$A$3,"State","DE","Category",6,"Category2","Four-Year")</f>
        <v>0</v>
      </c>
      <c r="Y32" s="75">
        <f>+GETPIVOTDATA(" Total # Prof New",'NEW Counts Pivot Table'!$A$3,"State","DE","Category2","Four-Year")</f>
        <v>434</v>
      </c>
      <c r="Z32" s="73">
        <f>+GETPIVOTDATA(" Total # Prof New",'NEW Counts Pivot Table'!$A$3,"State","AR","Category",7,"Category2","Two-Year")</f>
        <v>0</v>
      </c>
      <c r="AA32" s="74">
        <f>+GETPIVOTDATA(" Total # Prof New",'NEW Counts Pivot Table'!$A$3,"State","AR","Category",8,"Category2","Two-Year")</f>
        <v>0</v>
      </c>
      <c r="AB32" s="74">
        <f>+GETPIVOTDATA(" Total # Prof New",'NEW Counts Pivot Table'!$A$3,"State","DE","Category",9,"Category2","Two-Year")</f>
        <v>0</v>
      </c>
      <c r="AC32" s="74">
        <f>+GETPIVOTDATA(" Total # Prof New",'NEW Counts Pivot Table'!$A$3,"State","DE","Category",10,"Category2","Two-Year")</f>
        <v>0</v>
      </c>
      <c r="AD32" s="74">
        <f>+GETPIVOTDATA(" Total # Prof New",'NEW Counts Pivot Table'!$A$3,"State","DE","Category",11,"Category2","Two-Year")</f>
        <v>0</v>
      </c>
      <c r="AE32" s="75">
        <f>+GETPIVOTDATA(" Total # Prof New",'NEW Counts Pivot Table'!$A$3,"State","DE","Category2","Two-Year")</f>
        <v>0</v>
      </c>
      <c r="AF32" s="73">
        <f>+GETPIVOTDATA(" Total # Prof New",'NEW Counts Pivot Table'!$A$3,"State","DE","Category",12,"Category2","Technical Institutes")</f>
        <v>0</v>
      </c>
      <c r="AG32" s="74">
        <f>+GETPIVOTDATA(" Total # Prof New",'NEW Counts Pivot Table'!$A$3,"State","DE","Category",13,"Category2","Technical Institutes")</f>
        <v>0</v>
      </c>
      <c r="AH32" s="73">
        <f>+GETPIVOTDATA(" Total # Prof New",'NEW Counts Pivot Table'!$A$3,"State","DE","Category2","Technical Institutes")</f>
        <v>0</v>
      </c>
    </row>
    <row r="33" spans="1:36" x14ac:dyDescent="0.2">
      <c r="A33" s="10"/>
      <c r="B33" s="18" t="s">
        <v>100</v>
      </c>
      <c r="C33" s="12">
        <f t="shared" si="12"/>
        <v>0.29531388152077809</v>
      </c>
      <c r="D33" s="14">
        <f t="shared" si="12"/>
        <v>0</v>
      </c>
      <c r="E33" s="14">
        <f t="shared" si="12"/>
        <v>0</v>
      </c>
      <c r="F33" s="14">
        <f t="shared" si="12"/>
        <v>0.43961352657004832</v>
      </c>
      <c r="G33" s="14">
        <f t="shared" si="12"/>
        <v>0</v>
      </c>
      <c r="H33" s="40">
        <f t="shared" si="12"/>
        <v>0</v>
      </c>
      <c r="I33" s="12">
        <f t="shared" si="12"/>
        <v>0.31763826606875933</v>
      </c>
      <c r="J33" s="12">
        <f t="shared" si="12"/>
        <v>0</v>
      </c>
      <c r="K33" s="14">
        <f t="shared" si="12"/>
        <v>0</v>
      </c>
      <c r="L33" s="14">
        <f t="shared" si="12"/>
        <v>0</v>
      </c>
      <c r="M33" s="14">
        <f t="shared" si="13"/>
        <v>0</v>
      </c>
      <c r="N33" s="12">
        <f t="shared" si="14"/>
        <v>0</v>
      </c>
      <c r="O33" s="12">
        <f t="shared" si="14"/>
        <v>0</v>
      </c>
      <c r="P33" s="14">
        <f t="shared" si="14"/>
        <v>0</v>
      </c>
      <c r="Q33" s="12">
        <f t="shared" si="15"/>
        <v>0</v>
      </c>
      <c r="R33" s="56"/>
      <c r="S33" s="76">
        <f>+GETPIVOTDATA(" Tot # Asc. Prof New",'NEW Counts Pivot Table'!$A$3,"State","DE","Category",1,"Category2","Four-Year")</f>
        <v>334</v>
      </c>
      <c r="T33" s="77">
        <f>+GETPIVOTDATA(" Tot # Asc. Prof New",'NEW Counts Pivot Table'!$A$3,"State","DE","Category",2,"Category2","Four-Year")</f>
        <v>0</v>
      </c>
      <c r="U33" s="77">
        <f>+GETPIVOTDATA(" Tot # Asc. Prof New",'NEW Counts Pivot Table'!$A$3,"State","DE","Category",3,"Category2","Four-Year")</f>
        <v>0</v>
      </c>
      <c r="V33" s="77">
        <f>+GETPIVOTDATA(" Tot # Asc. Prof New",'NEW Counts Pivot Table'!$A$3,"State","DE","Category",4,"Category2","Four-Year")</f>
        <v>91</v>
      </c>
      <c r="W33" s="77">
        <f>+GETPIVOTDATA(" Tot # Asc. Prof New",'NEW Counts Pivot Table'!$A$3,"State","DE","Category",5,"Category2","Four-Year")</f>
        <v>0</v>
      </c>
      <c r="X33" s="77">
        <f>+GETPIVOTDATA(" Tot # Asc. Prof New",'NEW Counts Pivot Table'!$A$3,"State","DE","Category",6,"Category2","Four-Year")</f>
        <v>0</v>
      </c>
      <c r="Y33" s="78">
        <f>+GETPIVOTDATA(" Tot # Asc. Prof New",'NEW Counts Pivot Table'!$A$3,"State","DE","Category2","Four-Year")</f>
        <v>425</v>
      </c>
      <c r="Z33" s="76">
        <f>+GETPIVOTDATA(" Tot # Asc. Prof New",'NEW Counts Pivot Table'!$A$3,"State","AR","Category",7,"Category2","Two-Year")</f>
        <v>0</v>
      </c>
      <c r="AA33" s="77">
        <f>+GETPIVOTDATA(" Tot # Asc. Prof New",'NEW Counts Pivot Table'!$A$3,"State","AR","Category",8,"Category2","Two-Year")</f>
        <v>0</v>
      </c>
      <c r="AB33" s="77">
        <f>+GETPIVOTDATA(" Tot # Asc. Prof New",'NEW Counts Pivot Table'!$A$3,"State","DE","Category",9,"Category2","Two-Year")</f>
        <v>0</v>
      </c>
      <c r="AC33" s="77">
        <f>+GETPIVOTDATA(" Tot # Asc. Prof New",'NEW Counts Pivot Table'!$A$3,"State","DE","Category",10,"Category2","Two-Year")</f>
        <v>0</v>
      </c>
      <c r="AD33" s="77">
        <f>+GETPIVOTDATA(" Tot # Asc. Prof New",'NEW Counts Pivot Table'!$A$3,"State","DE","Category",11,"Category2","Two-Year")</f>
        <v>0</v>
      </c>
      <c r="AE33" s="78">
        <f>+GETPIVOTDATA(" Tot # Asc. Prof New",'NEW Counts Pivot Table'!$A$3,"State","DE","Category2","Two-Year")</f>
        <v>0</v>
      </c>
      <c r="AF33" s="76">
        <f>+GETPIVOTDATA(" Tot # Asc. Prof New",'NEW Counts Pivot Table'!$A$3,"State","DE","Category",12,"Category2","Technical Institutes")</f>
        <v>0</v>
      </c>
      <c r="AG33" s="77">
        <f>+GETPIVOTDATA(" Tot # Asc. Prof New",'NEW Counts Pivot Table'!$A$3,"State","DE","Category",13,"Category2","Technical Institutes")</f>
        <v>0</v>
      </c>
      <c r="AH33" s="76">
        <f>+GETPIVOTDATA(" Tot # Asc. Prof New",'NEW Counts Pivot Table'!$A$3,"State","DE","Category2","Technical Institutes")</f>
        <v>0</v>
      </c>
    </row>
    <row r="34" spans="1:36" x14ac:dyDescent="0.2">
      <c r="A34" s="10"/>
      <c r="B34" s="18" t="s">
        <v>101</v>
      </c>
      <c r="C34" s="12">
        <f t="shared" si="12"/>
        <v>0.26525198938992045</v>
      </c>
      <c r="D34" s="14">
        <f t="shared" si="12"/>
        <v>0</v>
      </c>
      <c r="E34" s="14">
        <f t="shared" si="12"/>
        <v>0</v>
      </c>
      <c r="F34" s="14">
        <f t="shared" si="12"/>
        <v>0.30434782608695654</v>
      </c>
      <c r="G34" s="14">
        <f t="shared" si="12"/>
        <v>0</v>
      </c>
      <c r="H34" s="40">
        <f t="shared" si="12"/>
        <v>0</v>
      </c>
      <c r="I34" s="12">
        <f t="shared" si="12"/>
        <v>0.27130044843049328</v>
      </c>
      <c r="J34" s="12">
        <f t="shared" si="12"/>
        <v>0</v>
      </c>
      <c r="K34" s="14">
        <f t="shared" si="12"/>
        <v>0</v>
      </c>
      <c r="L34" s="14">
        <f t="shared" si="12"/>
        <v>0</v>
      </c>
      <c r="M34" s="14">
        <f t="shared" si="13"/>
        <v>0</v>
      </c>
      <c r="N34" s="12">
        <f t="shared" si="14"/>
        <v>0</v>
      </c>
      <c r="O34" s="12">
        <f t="shared" si="14"/>
        <v>0</v>
      </c>
      <c r="P34" s="14">
        <f t="shared" si="14"/>
        <v>0</v>
      </c>
      <c r="Q34" s="12">
        <f t="shared" si="15"/>
        <v>0</v>
      </c>
      <c r="R34" s="56"/>
      <c r="S34" s="76">
        <f>+GETPIVOTDATA(" Tot # Ast. Prof New",'NEW Counts Pivot Table'!$A$3,"State","DE","Category",1,"Category2","Four-Year")</f>
        <v>300</v>
      </c>
      <c r="T34" s="77">
        <f>+GETPIVOTDATA(" Tot # Ast. Prof New",'NEW Counts Pivot Table'!$A$3,"State","DE","Category",2,"Category2","Four-Year")</f>
        <v>0</v>
      </c>
      <c r="U34" s="77">
        <f>+GETPIVOTDATA(" Tot # Ast. Prof New",'NEW Counts Pivot Table'!$A$3,"State","DE","Category",3,"Category2","Four-Year")</f>
        <v>0</v>
      </c>
      <c r="V34" s="77">
        <f>+GETPIVOTDATA(" Tot # Ast. Prof New",'NEW Counts Pivot Table'!$A$3,"State","DE","Category",4,"Category2","Four-Year")</f>
        <v>63</v>
      </c>
      <c r="W34" s="77">
        <f>+GETPIVOTDATA(" Tot # Ast. Prof New",'NEW Counts Pivot Table'!$A$3,"State","DE","Category",5,"Category2","Four-Year")</f>
        <v>0</v>
      </c>
      <c r="X34" s="77">
        <f>+GETPIVOTDATA(" Tot # Ast. Prof New",'NEW Counts Pivot Table'!$A$3,"State","DE","Category",6,"Category2","Four-Year")</f>
        <v>0</v>
      </c>
      <c r="Y34" s="78">
        <f>+GETPIVOTDATA(" Tot # Ast. Prof New",'NEW Counts Pivot Table'!$A$3,"State","DE","Category2","Four-Year")</f>
        <v>363</v>
      </c>
      <c r="Z34" s="76">
        <f>+GETPIVOTDATA(" Tot # Ast. Prof New",'NEW Counts Pivot Table'!$A$3,"State","AR","Category",7,"Category2","Two-Year")</f>
        <v>0</v>
      </c>
      <c r="AA34" s="77">
        <f>+GETPIVOTDATA(" Tot # Ast. Prof New",'NEW Counts Pivot Table'!$A$3,"State","AR","Category",8,"Category2","Two-Year")</f>
        <v>0</v>
      </c>
      <c r="AB34" s="77">
        <f>+GETPIVOTDATA(" Tot # Ast. Prof New",'NEW Counts Pivot Table'!$A$3,"State","DE","Category",9,"Category2","Two-Year")</f>
        <v>0</v>
      </c>
      <c r="AC34" s="77">
        <f>+GETPIVOTDATA(" Tot # Ast. Prof New",'NEW Counts Pivot Table'!$A$3,"State","DE","Category",10,"Category2","Two-Year")</f>
        <v>0</v>
      </c>
      <c r="AD34" s="77">
        <f>+GETPIVOTDATA(" Tot # Ast. Prof New",'NEW Counts Pivot Table'!$A$3,"State","DE","Category",11,"Category2","Two-Year")</f>
        <v>0</v>
      </c>
      <c r="AE34" s="78">
        <f>+GETPIVOTDATA(" Tot # Ast. Prof New",'NEW Counts Pivot Table'!$A$3,"State","DE","Category2","Two-Year")</f>
        <v>0</v>
      </c>
      <c r="AF34" s="76">
        <f>+GETPIVOTDATA(" Tot # Ast. Prof New",'NEW Counts Pivot Table'!$A$3,"State","DE","Category",12,"Category2","Technical Institutes")</f>
        <v>0</v>
      </c>
      <c r="AG34" s="77">
        <f>+GETPIVOTDATA(" Tot # Ast. Prof New",'NEW Counts Pivot Table'!$A$3,"State","DE","Category",13,"Category2","Technical Institutes")</f>
        <v>0</v>
      </c>
      <c r="AH34" s="76">
        <f>+GETPIVOTDATA(" Tot # Ast. Prof New",'NEW Counts Pivot Table'!$A$3,"State","DE","Category2","Technical Institutes")</f>
        <v>0</v>
      </c>
    </row>
    <row r="35" spans="1:36" x14ac:dyDescent="0.2">
      <c r="A35" s="10"/>
      <c r="B35" s="18" t="s">
        <v>102</v>
      </c>
      <c r="C35" s="12">
        <f t="shared" si="12"/>
        <v>9.0185676392572939E-2</v>
      </c>
      <c r="D35" s="14">
        <f t="shared" si="12"/>
        <v>0</v>
      </c>
      <c r="E35" s="14">
        <f t="shared" si="12"/>
        <v>0</v>
      </c>
      <c r="F35" s="14">
        <f t="shared" si="12"/>
        <v>5.7971014492753624E-2</v>
      </c>
      <c r="G35" s="14">
        <f t="shared" si="12"/>
        <v>0</v>
      </c>
      <c r="H35" s="40">
        <f t="shared" si="12"/>
        <v>0</v>
      </c>
      <c r="I35" s="12">
        <f t="shared" si="12"/>
        <v>8.520179372197309E-2</v>
      </c>
      <c r="J35" s="12">
        <f t="shared" si="12"/>
        <v>0</v>
      </c>
      <c r="K35" s="14">
        <f t="shared" si="12"/>
        <v>0</v>
      </c>
      <c r="L35" s="14">
        <f t="shared" si="12"/>
        <v>0</v>
      </c>
      <c r="M35" s="14">
        <f t="shared" si="13"/>
        <v>0</v>
      </c>
      <c r="N35" s="12">
        <f t="shared" si="14"/>
        <v>0</v>
      </c>
      <c r="O35" s="12">
        <f t="shared" si="14"/>
        <v>0</v>
      </c>
      <c r="P35" s="14">
        <f t="shared" si="14"/>
        <v>0</v>
      </c>
      <c r="Q35" s="12">
        <f t="shared" si="15"/>
        <v>0</v>
      </c>
      <c r="R35" s="56"/>
      <c r="S35" s="76">
        <f>+GETPIVOTDATA(" Tot # Instr. New",'NEW Counts Pivot Table'!$A$3,"State","DE","Category",1,"Category2","Four-Year")</f>
        <v>102</v>
      </c>
      <c r="T35" s="77">
        <f>+GETPIVOTDATA(" Tot # Instr. New",'NEW Counts Pivot Table'!$A$3,"State","DE","Category",2,"Category2","Four-Year")</f>
        <v>0</v>
      </c>
      <c r="U35" s="77">
        <f>+GETPIVOTDATA(" Tot # Instr. New",'NEW Counts Pivot Table'!$A$3,"State","DE","Category",3,"Category2","Four-Year")</f>
        <v>0</v>
      </c>
      <c r="V35" s="77">
        <f>+GETPIVOTDATA(" Tot # Instr. New",'NEW Counts Pivot Table'!$A$3,"State","DE","Category",4,"Category2","Four-Year")</f>
        <v>12</v>
      </c>
      <c r="W35" s="77">
        <f>+GETPIVOTDATA(" Tot # Instr. New",'NEW Counts Pivot Table'!$A$3,"State","DE","Category",5,"Category2","Four-Year")</f>
        <v>0</v>
      </c>
      <c r="X35" s="77">
        <f>+GETPIVOTDATA(" Tot # Instr. New",'NEW Counts Pivot Table'!$A$3,"State","DE","Category",6,"Category2","Four-Year")</f>
        <v>0</v>
      </c>
      <c r="Y35" s="78">
        <f>+GETPIVOTDATA(" Tot # Instr. New",'NEW Counts Pivot Table'!$A$3,"State","DE","Category2","Four-Year")</f>
        <v>114</v>
      </c>
      <c r="Z35" s="76">
        <f>+GETPIVOTDATA(" Tot # Instr. New",'NEW Counts Pivot Table'!$A$3,"State","AR","Category",7,"Category2","Two-Year")</f>
        <v>0</v>
      </c>
      <c r="AA35" s="77">
        <f>+GETPIVOTDATA(" Tot # Instr. New",'NEW Counts Pivot Table'!$A$3,"State","AR","Category",8,"Category2","Two-Year")</f>
        <v>0</v>
      </c>
      <c r="AB35" s="77">
        <f>+GETPIVOTDATA(" Tot # Instr. New",'NEW Counts Pivot Table'!$A$3,"State","DE","Category",9,"Category2","Two-Year")</f>
        <v>0</v>
      </c>
      <c r="AC35" s="77">
        <f>+GETPIVOTDATA(" Tot # Instr. New",'NEW Counts Pivot Table'!$A$3,"State","DE","Category",10,"Category2","Two-Year")</f>
        <v>0</v>
      </c>
      <c r="AD35" s="77">
        <f>+GETPIVOTDATA(" Tot # Instr. New",'NEW Counts Pivot Table'!$A$3,"State","DE","Category",11,"Category2","Two-Year")</f>
        <v>0</v>
      </c>
      <c r="AE35" s="78">
        <f>+GETPIVOTDATA(" Tot # Instr. New",'NEW Counts Pivot Table'!$A$3,"State","DE","Category2","Two-Year")</f>
        <v>0</v>
      </c>
      <c r="AF35" s="76">
        <f>+GETPIVOTDATA(" Tot # Instr. New",'NEW Counts Pivot Table'!$A$3,"State","DE","Category",12,"Category2","Technical Institutes")</f>
        <v>0</v>
      </c>
      <c r="AG35" s="77">
        <f>+GETPIVOTDATA(" Tot # Instr. New",'NEW Counts Pivot Table'!$A$3,"State","DE","Category",13,"Category2","Technical Institutes")</f>
        <v>0</v>
      </c>
      <c r="AH35" s="76">
        <f>+GETPIVOTDATA(" Tot # Instr. New",'NEW Counts Pivot Table'!$A$3,"State","DE","Category2","Technical Institutes")</f>
        <v>0</v>
      </c>
    </row>
    <row r="36" spans="1:36" x14ac:dyDescent="0.2">
      <c r="A36" s="10"/>
      <c r="B36" s="18" t="s">
        <v>83</v>
      </c>
      <c r="C36" s="154">
        <f t="shared" si="12"/>
        <v>0</v>
      </c>
      <c r="D36" s="14">
        <f t="shared" si="12"/>
        <v>0</v>
      </c>
      <c r="E36" s="14">
        <f t="shared" si="12"/>
        <v>0</v>
      </c>
      <c r="F36" s="14">
        <f t="shared" si="12"/>
        <v>9.6618357487922701E-3</v>
      </c>
      <c r="G36" s="14">
        <f t="shared" si="12"/>
        <v>0</v>
      </c>
      <c r="H36" s="40">
        <f t="shared" si="12"/>
        <v>0</v>
      </c>
      <c r="I36" s="154">
        <f t="shared" si="12"/>
        <v>1.4947683109118087E-3</v>
      </c>
      <c r="J36" s="12">
        <f t="shared" si="12"/>
        <v>0</v>
      </c>
      <c r="K36" s="14">
        <f t="shared" si="12"/>
        <v>0</v>
      </c>
      <c r="L36" s="14">
        <f t="shared" si="12"/>
        <v>0</v>
      </c>
      <c r="M36" s="14">
        <f t="shared" si="13"/>
        <v>0</v>
      </c>
      <c r="N36" s="12">
        <f t="shared" si="14"/>
        <v>0</v>
      </c>
      <c r="O36" s="12">
        <f t="shared" si="14"/>
        <v>0</v>
      </c>
      <c r="P36" s="14">
        <f t="shared" si="14"/>
        <v>0</v>
      </c>
      <c r="Q36" s="12">
        <f t="shared" si="15"/>
        <v>0</v>
      </c>
      <c r="R36" s="56"/>
      <c r="S36" s="76">
        <f>++GETPIVOTDATA(" Tot # Undes. New",'NEW Counts Pivot Table'!$A$3,"State","DE","Category",1,"Category2","Four-Year")</f>
        <v>0</v>
      </c>
      <c r="T36" s="77">
        <f>+GETPIVOTDATA(" Tot # Undes. New",'NEW Counts Pivot Table'!$A$3,"State","DE","Category",2,"Category2","Four-Year")</f>
        <v>0</v>
      </c>
      <c r="U36" s="77">
        <f>+GETPIVOTDATA(" Tot # Undes. New",'NEW Counts Pivot Table'!$A$3,"State","DE","Category",3,"Category2","Four-Year")</f>
        <v>0</v>
      </c>
      <c r="V36" s="77">
        <f>+GETPIVOTDATA(" Tot # Undes. New",'NEW Counts Pivot Table'!$A$3,"State","DE","Category",4,"Category2","Four-Year")</f>
        <v>2</v>
      </c>
      <c r="W36" s="77">
        <f>+GETPIVOTDATA(" Tot # Undes. New",'NEW Counts Pivot Table'!$A$3,"State","DE","Category",5,"Category2","Four-Year")</f>
        <v>0</v>
      </c>
      <c r="X36" s="77">
        <f>+GETPIVOTDATA(" Tot # Undes. New",'NEW Counts Pivot Table'!$A$3,"State","DE","Category",6,"Category2","Four-Year")</f>
        <v>0</v>
      </c>
      <c r="Y36" s="78">
        <f>+GETPIVOTDATA(" Tot # Undes. New",'NEW Counts Pivot Table'!$A$3,"State","DE","Category2","Four-Year")</f>
        <v>2</v>
      </c>
      <c r="Z36" s="76">
        <f>+GETPIVOTDATA(" Tot # Undes. New",'NEW Counts Pivot Table'!$A$3,"State","AR","Category",7,"Category2","Two-Year")</f>
        <v>0</v>
      </c>
      <c r="AA36" s="77">
        <f>+GETPIVOTDATA(" Tot # Undes. New",'NEW Counts Pivot Table'!$A$3,"State","AR","Category",8,"Category2","Two-Year")</f>
        <v>0</v>
      </c>
      <c r="AB36" s="77">
        <f>+GETPIVOTDATA(" Tot # Undes. New",'NEW Counts Pivot Table'!$A$3,"State","DE","Category",9,"Category2","Two-Year")</f>
        <v>0</v>
      </c>
      <c r="AC36" s="77">
        <f>+GETPIVOTDATA(" Tot # Undes. New",'NEW Counts Pivot Table'!$A$3,"State","DE","Category",10,"Category2","Two-Year")</f>
        <v>0</v>
      </c>
      <c r="AD36" s="77">
        <f>+GETPIVOTDATA(" Tot # Undes. New",'NEW Counts Pivot Table'!$A$3,"State","DE","Category",11,"Category2","Two-Year")</f>
        <v>0</v>
      </c>
      <c r="AE36" s="78">
        <f>+GETPIVOTDATA(" Tot # Undes. New",'NEW Counts Pivot Table'!$A$3,"State","DE","Category2","Two-Year")</f>
        <v>0</v>
      </c>
      <c r="AF36" s="76">
        <f>+GETPIVOTDATA(" Tot # Undes. New",'NEW Counts Pivot Table'!$A$3,"State","DE","Category",12,"Category2","Technical Institutes")</f>
        <v>0</v>
      </c>
      <c r="AG36" s="77">
        <f>+GETPIVOTDATA(" Tot # Undes. New",'NEW Counts Pivot Table'!$A$3,"State","DE","Category",13,"Category2","Technical Institutes")</f>
        <v>0</v>
      </c>
      <c r="AH36" s="76">
        <f>+GETPIVOTDATA(" Tot # Undes. New",'NEW Counts Pivot Table'!$A$3,"State","DE","Category2","Technical Institutes")</f>
        <v>0</v>
      </c>
    </row>
    <row r="37" spans="1:36" x14ac:dyDescent="0.2">
      <c r="A37" s="10"/>
      <c r="B37" s="18" t="s">
        <v>82</v>
      </c>
      <c r="C37" s="12">
        <f t="shared" si="12"/>
        <v>0</v>
      </c>
      <c r="D37" s="14">
        <f t="shared" si="12"/>
        <v>0</v>
      </c>
      <c r="E37" s="103">
        <f t="shared" si="12"/>
        <v>0</v>
      </c>
      <c r="F37" s="14">
        <f t="shared" si="12"/>
        <v>0</v>
      </c>
      <c r="G37" s="103">
        <f t="shared" si="12"/>
        <v>0</v>
      </c>
      <c r="H37" s="40">
        <f t="shared" si="12"/>
        <v>0</v>
      </c>
      <c r="I37" s="102">
        <f t="shared" si="12"/>
        <v>0</v>
      </c>
      <c r="J37" s="12">
        <f t="shared" si="12"/>
        <v>0</v>
      </c>
      <c r="K37" s="14">
        <f t="shared" si="12"/>
        <v>1</v>
      </c>
      <c r="L37" s="14">
        <f t="shared" si="12"/>
        <v>1</v>
      </c>
      <c r="M37" s="14">
        <f t="shared" si="13"/>
        <v>1</v>
      </c>
      <c r="N37" s="12">
        <f t="shared" si="14"/>
        <v>1</v>
      </c>
      <c r="O37" s="12">
        <f t="shared" si="14"/>
        <v>0</v>
      </c>
      <c r="P37" s="14">
        <f t="shared" si="14"/>
        <v>0</v>
      </c>
      <c r="Q37" s="12">
        <f t="shared" si="15"/>
        <v>0</v>
      </c>
      <c r="R37" s="56"/>
      <c r="S37" s="76">
        <f>+GETPIVOTDATA(" Tot # Single Rnk New",'NEW Counts Pivot Table'!$A$3,"State","DE","Category",1,"Category2","Four-Year")</f>
        <v>0</v>
      </c>
      <c r="T37" s="77">
        <f>+GETPIVOTDATA(" Tot # Single Rnk New",'NEW Counts Pivot Table'!$A$3,"State","DE","Category",2,"Category2","Four-Year")</f>
        <v>0</v>
      </c>
      <c r="U37" s="77">
        <f>+GETPIVOTDATA(" Tot # Single Rnk New",'NEW Counts Pivot Table'!$A$3,"State","DE","Category",3,"Category2","Four-Year")</f>
        <v>0</v>
      </c>
      <c r="V37" s="77">
        <f>+GETPIVOTDATA(" Tot # Single Rnk New",'NEW Counts Pivot Table'!$A$3,"State","DE","Category",4,"Category2","Four-Year")</f>
        <v>0</v>
      </c>
      <c r="W37" s="77">
        <f>+GETPIVOTDATA(" Tot # Single Rnk New",'NEW Counts Pivot Table'!$A$3,"State","DE","Category",5,"Category2","Four-Year")</f>
        <v>0</v>
      </c>
      <c r="X37" s="77">
        <f>+GETPIVOTDATA(" Tot # Single Rnk New",'NEW Counts Pivot Table'!$A$3,"State","DE","Category",6,"Category2","Four-Year")</f>
        <v>0</v>
      </c>
      <c r="Y37" s="78">
        <f>+GETPIVOTDATA(" Tot # Single Rnk New",'NEW Counts Pivot Table'!$A$3,"State","DE","Category2","Four-Year")</f>
        <v>0</v>
      </c>
      <c r="Z37" s="76">
        <f>+GETPIVOTDATA(" Tot # Single Rnk New",'NEW Counts Pivot Table'!$A$3,"State","AR","Category",7,"Category2","Two-Year")</f>
        <v>0</v>
      </c>
      <c r="AA37" s="77">
        <f>+GETPIVOTDATA(" Tot # Single Rnk New",'NEW Counts Pivot Table'!$A$3,"State","AR","Category",8,"Category2","Two-Year")</f>
        <v>327</v>
      </c>
      <c r="AB37" s="77">
        <f>+GETPIVOTDATA(" Tot # Single Rnk New",'NEW Counts Pivot Table'!$A$3,"State","DE","Category",9,"Category2","Two-Year")</f>
        <v>122</v>
      </c>
      <c r="AC37" s="77">
        <f>+GETPIVOTDATA(" Tot # Single Rnk New",'NEW Counts Pivot Table'!$A$3,"State","DE","Category",10,"Category2","Two-Year")</f>
        <v>85</v>
      </c>
      <c r="AD37" s="77">
        <f>+GETPIVOTDATA(" Tot # Single Rnk New",'NEW Counts Pivot Table'!$A$3,"State","DE","Category",11,"Category2","Two-Year")</f>
        <v>0</v>
      </c>
      <c r="AE37" s="78">
        <f>+GETPIVOTDATA(" Tot # Single Rnk New",'NEW Counts Pivot Table'!$A$3,"State","DE","Category2","Two-Year")</f>
        <v>383</v>
      </c>
      <c r="AF37" s="76">
        <f>+GETPIVOTDATA(" Tot # Single Rnk New",'NEW Counts Pivot Table'!$A$3,"State","DE","Category",12,"Category2","Technical Institutes")</f>
        <v>0</v>
      </c>
      <c r="AG37" s="77">
        <f>+GETPIVOTDATA(" Tot # Single Rnk New",'NEW Counts Pivot Table'!$A$3,"State","DE","Category",13,"Category2","Technical Institutes")</f>
        <v>0</v>
      </c>
      <c r="AH37" s="76">
        <f>+GETPIVOTDATA(" Tot # Single Rnk New",'NEW Counts Pivot Table'!$A$3,"State","DE","Category2","Technical Institutes")</f>
        <v>0</v>
      </c>
    </row>
    <row r="38" spans="1:36" s="33" customFormat="1" x14ac:dyDescent="0.25">
      <c r="A38" s="109"/>
      <c r="B38" s="110" t="s">
        <v>84</v>
      </c>
      <c r="C38" s="13">
        <f t="shared" si="12"/>
        <v>1</v>
      </c>
      <c r="D38" s="11">
        <f t="shared" si="12"/>
        <v>0</v>
      </c>
      <c r="E38" s="11">
        <f t="shared" si="12"/>
        <v>0</v>
      </c>
      <c r="F38" s="11">
        <f t="shared" si="12"/>
        <v>1</v>
      </c>
      <c r="G38" s="11">
        <f t="shared" si="12"/>
        <v>0</v>
      </c>
      <c r="H38" s="41">
        <f t="shared" si="12"/>
        <v>0</v>
      </c>
      <c r="I38" s="13">
        <f t="shared" si="12"/>
        <v>1</v>
      </c>
      <c r="J38" s="13">
        <f t="shared" si="12"/>
        <v>0</v>
      </c>
      <c r="K38" s="11">
        <f t="shared" si="12"/>
        <v>1</v>
      </c>
      <c r="L38" s="11">
        <f t="shared" si="12"/>
        <v>1</v>
      </c>
      <c r="M38" s="11">
        <f t="shared" si="13"/>
        <v>1</v>
      </c>
      <c r="N38" s="13">
        <f t="shared" si="14"/>
        <v>1</v>
      </c>
      <c r="O38" s="13">
        <f t="shared" si="14"/>
        <v>0</v>
      </c>
      <c r="P38" s="11">
        <f t="shared" si="14"/>
        <v>0</v>
      </c>
      <c r="Q38" s="13">
        <f t="shared" si="15"/>
        <v>0</v>
      </c>
      <c r="R38" s="57"/>
      <c r="S38" s="79">
        <f>+GETPIVOTDATA(" All Ranks # New",'NEW Counts Pivot Table'!$A$3,"State","DE","Category",1,"Category2","Four-Year")</f>
        <v>1131</v>
      </c>
      <c r="T38" s="80">
        <f>+GETPIVOTDATA(" All Ranks # New",'NEW Counts Pivot Table'!$A$3,"State","DE","Category",2,"Category2","Four-Year")</f>
        <v>0</v>
      </c>
      <c r="U38" s="80">
        <f>+GETPIVOTDATA(" All Ranks # New",'NEW Counts Pivot Table'!$A$3,"State","DE","Category",3,"Category2","Four-Year")</f>
        <v>0</v>
      </c>
      <c r="V38" s="80">
        <f>+GETPIVOTDATA(" All Ranks # New",'NEW Counts Pivot Table'!$A$3,"State","DE","Category",4,"Category2","Four-Year")</f>
        <v>207</v>
      </c>
      <c r="W38" s="80">
        <f>+GETPIVOTDATA(" All Ranks # New",'NEW Counts Pivot Table'!$A$3,"State","DE","Category",5,"Category2","Four-Year")</f>
        <v>0</v>
      </c>
      <c r="X38" s="80">
        <f>+GETPIVOTDATA(" All Ranks # New",'NEW Counts Pivot Table'!$A$3,"State","DE","Category",6,"Category2","Four-Year")</f>
        <v>0</v>
      </c>
      <c r="Y38" s="81">
        <f>+GETPIVOTDATA(" All Ranks # New",'NEW Counts Pivot Table'!$A$3,"State","DE","Category2","Four-Year")</f>
        <v>1338</v>
      </c>
      <c r="Z38" s="79">
        <f>+GETPIVOTDATA(" All Ranks # New",'NEW Counts Pivot Table'!$A$3,"State","AR","Category",7,"Category2","Two-Year")</f>
        <v>0</v>
      </c>
      <c r="AA38" s="80">
        <f>+GETPIVOTDATA(" All Ranks # New",'NEW Counts Pivot Table'!$A$3,"State","AR","Category",8,"Category2","Two-Year")</f>
        <v>327</v>
      </c>
      <c r="AB38" s="80">
        <f>+GETPIVOTDATA(" All Ranks # New",'NEW Counts Pivot Table'!$A$3,"State","DE","Category",9,"Category2","Two-Year")</f>
        <v>122</v>
      </c>
      <c r="AC38" s="80">
        <f>+GETPIVOTDATA(" All Ranks # New",'NEW Counts Pivot Table'!$A$3,"State","DE","Category",10,"Category2","Two-Year")</f>
        <v>85</v>
      </c>
      <c r="AD38" s="80">
        <f>+GETPIVOTDATA(" All Ranks # New",'NEW Counts Pivot Table'!$A$3,"State","DE","Category",11,"Category2","Two-Year")</f>
        <v>0</v>
      </c>
      <c r="AE38" s="81">
        <f>+GETPIVOTDATA(" All Ranks # New",'NEW Counts Pivot Table'!$A$3,"State","DE","Category2","Two-Year")</f>
        <v>383</v>
      </c>
      <c r="AF38" s="79">
        <f>+GETPIVOTDATA(" All Ranks # New",'NEW Counts Pivot Table'!$A$3,"State","DE","Category",12,"Category2","Technical Institutes")</f>
        <v>0</v>
      </c>
      <c r="AG38" s="80">
        <f>+GETPIVOTDATA(" All Ranks # New",'NEW Counts Pivot Table'!$A$3,"State","DE","Category",13,"Category2","Technical Institutes")</f>
        <v>0</v>
      </c>
      <c r="AH38" s="79">
        <f>+GETPIVOTDATA(" All Ranks # New",'NEW Counts Pivot Table'!$A$3,"State","DE","Category2","Technical Institutes")</f>
        <v>0</v>
      </c>
      <c r="AI38" s="82"/>
      <c r="AJ38" s="82"/>
    </row>
    <row r="39" spans="1:36" x14ac:dyDescent="0.2">
      <c r="A39" s="18" t="s">
        <v>114</v>
      </c>
      <c r="B39" s="15" t="s">
        <v>99</v>
      </c>
      <c r="C39" s="16">
        <f t="shared" ref="C39:L45" si="16">IF(S$45&gt;0,(S39/S$45),0)</f>
        <v>0.31092974875980156</v>
      </c>
      <c r="D39" s="17">
        <f t="shared" si="16"/>
        <v>0.2572178477690289</v>
      </c>
      <c r="E39" s="17">
        <f t="shared" si="16"/>
        <v>0.23464566929133859</v>
      </c>
      <c r="F39" s="17">
        <f t="shared" si="16"/>
        <v>0.16243654822335024</v>
      </c>
      <c r="G39" s="17">
        <f t="shared" si="16"/>
        <v>0</v>
      </c>
      <c r="H39" s="39">
        <f t="shared" si="16"/>
        <v>0.37681159420289856</v>
      </c>
      <c r="I39" s="16">
        <f t="shared" si="16"/>
        <v>0.2889981701738335</v>
      </c>
      <c r="J39" s="16">
        <f t="shared" si="16"/>
        <v>0</v>
      </c>
      <c r="K39" s="17">
        <f t="shared" si="16"/>
        <v>0</v>
      </c>
      <c r="L39" s="17">
        <f t="shared" si="16"/>
        <v>0</v>
      </c>
      <c r="M39" s="17">
        <f t="shared" ref="M39:M45" si="17">IF(AC$45&gt;0,(AC39/AC$45),0)</f>
        <v>0</v>
      </c>
      <c r="N39" s="16">
        <f t="shared" ref="N39:P45" si="18">IF(AE$45&gt;0,(AE39/AE$45),0)</f>
        <v>0</v>
      </c>
      <c r="O39" s="91">
        <f t="shared" si="18"/>
        <v>0</v>
      </c>
      <c r="P39" s="17">
        <f t="shared" si="18"/>
        <v>0</v>
      </c>
      <c r="Q39" s="91">
        <f t="shared" ref="Q39:Q45" si="19">IF(AH$45&gt;0,(AH39/AH$45),0)</f>
        <v>0</v>
      </c>
      <c r="R39" s="83"/>
      <c r="S39" s="73">
        <f>+GETPIVOTDATA(" Total # Prof New",'NEW Counts Pivot Table'!$A$3,"State","FL","Category",1,"Category2","Four-Year")</f>
        <v>1943</v>
      </c>
      <c r="T39" s="74">
        <f>+GETPIVOTDATA(" Total # Prof New",'NEW Counts Pivot Table'!$A$3,"State","FL","Category",2,"Category2","Four-Year")</f>
        <v>196</v>
      </c>
      <c r="U39" s="74">
        <f>+GETPIVOTDATA(" Total # Prof New",'NEW Counts Pivot Table'!$A$3,"State","FL","Category",3,"Category2","Four-Year")</f>
        <v>298</v>
      </c>
      <c r="V39" s="74">
        <f>+GETPIVOTDATA(" Total # Prof New",'NEW Counts Pivot Table'!$A$3,"State","FL","Category",4,"Category2","Four-Year")</f>
        <v>64</v>
      </c>
      <c r="W39" s="74">
        <f>+GETPIVOTDATA(" Total # Prof New",'NEW Counts Pivot Table'!$A$3,"State","FL","Category",5,"Category2","Four-Year")</f>
        <v>0</v>
      </c>
      <c r="X39" s="74">
        <f>+GETPIVOTDATA(" Total # Prof New",'NEW Counts Pivot Table'!$A$3,"State","FL","Category",6,"Category2","Four-Year")</f>
        <v>26</v>
      </c>
      <c r="Y39" s="75">
        <f>+GETPIVOTDATA(" Total # Prof New",'NEW Counts Pivot Table'!$A$3,"State","FL","Category2","Four-Year")</f>
        <v>2527</v>
      </c>
      <c r="Z39" s="73">
        <f>+GETPIVOTDATA(" Total # Prof New",'NEW Counts Pivot Table'!$A$3,"State","AR","Category",7,"Category2","Two-Year")</f>
        <v>0</v>
      </c>
      <c r="AA39" s="74">
        <f>+GETPIVOTDATA(" Total # Prof New",'NEW Counts Pivot Table'!$A$3,"State","AR","Category",8,"Category2","Two-Year")</f>
        <v>0</v>
      </c>
      <c r="AB39" s="74">
        <f>+GETPIVOTDATA(" Total # Prof New",'NEW Counts Pivot Table'!$A$3,"State","DE","Category",9,"Category2","Two-Year")</f>
        <v>0</v>
      </c>
      <c r="AC39" s="74">
        <f>+GETPIVOTDATA(" Total # Prof New",'NEW Counts Pivot Table'!$A$3,"State","DE","Category",10,"Category2","Two-Year")</f>
        <v>0</v>
      </c>
      <c r="AD39" s="74">
        <f>+GETPIVOTDATA(" Total # Prof New",'NEW Counts Pivot Table'!$A$3,"State","FL","Category",11,"Category2","Two-Year")</f>
        <v>0</v>
      </c>
      <c r="AE39" s="75">
        <f>+GETPIVOTDATA(" Total # Prof New",'NEW Counts Pivot Table'!$A$3,"State","FL","Category2","Two-Year")</f>
        <v>0</v>
      </c>
      <c r="AF39" s="73">
        <f>+GETPIVOTDATA(" Total # Prof New",'NEW Counts Pivot Table'!$A$3,"State","FL","Category",12,"Category2","Technical Institutes")</f>
        <v>0</v>
      </c>
      <c r="AG39" s="74">
        <f>+GETPIVOTDATA(" Total # Prof New",'NEW Counts Pivot Table'!$A$3,"State","FL","Category",13,"Category2","Technical Institutes")</f>
        <v>0</v>
      </c>
      <c r="AH39" s="73">
        <f>+GETPIVOTDATA(" Total # Prof New",'NEW Counts Pivot Table'!$A$3,"State","FL","Category2","Technical Institutes")</f>
        <v>0</v>
      </c>
    </row>
    <row r="40" spans="1:36" x14ac:dyDescent="0.2">
      <c r="A40" s="10"/>
      <c r="B40" s="18" t="s">
        <v>100</v>
      </c>
      <c r="C40" s="12">
        <f t="shared" si="16"/>
        <v>0.29860777724435911</v>
      </c>
      <c r="D40" s="14">
        <f t="shared" si="16"/>
        <v>0.3005249343832021</v>
      </c>
      <c r="E40" s="14">
        <f t="shared" si="16"/>
        <v>0.31889763779527558</v>
      </c>
      <c r="F40" s="14">
        <f t="shared" si="16"/>
        <v>0.2512690355329949</v>
      </c>
      <c r="G40" s="14">
        <f t="shared" si="16"/>
        <v>0</v>
      </c>
      <c r="H40" s="40">
        <f t="shared" si="16"/>
        <v>0.27536231884057971</v>
      </c>
      <c r="I40" s="12">
        <f t="shared" si="16"/>
        <v>0.29940530649588287</v>
      </c>
      <c r="J40" s="12">
        <f t="shared" si="16"/>
        <v>0</v>
      </c>
      <c r="K40" s="14">
        <f t="shared" si="16"/>
        <v>0</v>
      </c>
      <c r="L40" s="14">
        <f t="shared" si="16"/>
        <v>0</v>
      </c>
      <c r="M40" s="14">
        <f t="shared" si="17"/>
        <v>0</v>
      </c>
      <c r="N40" s="12">
        <f t="shared" si="18"/>
        <v>0</v>
      </c>
      <c r="O40" s="12">
        <f t="shared" si="18"/>
        <v>0</v>
      </c>
      <c r="P40" s="14">
        <f t="shared" si="18"/>
        <v>0</v>
      </c>
      <c r="Q40" s="12">
        <f t="shared" si="19"/>
        <v>0</v>
      </c>
      <c r="R40" s="56"/>
      <c r="S40" s="76">
        <f>+GETPIVOTDATA(" Tot # Asc. Prof New",'NEW Counts Pivot Table'!$A$3,"State","FL","Category",1,"Category2","Four-Year")</f>
        <v>1866</v>
      </c>
      <c r="T40" s="77">
        <f>+GETPIVOTDATA(" Tot # Asc. Prof New",'NEW Counts Pivot Table'!$A$3,"State","FL","Category",2,"Category2","Four-Year")</f>
        <v>229</v>
      </c>
      <c r="U40" s="77">
        <f>+GETPIVOTDATA(" Tot # Asc. Prof New",'NEW Counts Pivot Table'!$A$3,"State","FL","Category",3,"Category2","Four-Year")</f>
        <v>405</v>
      </c>
      <c r="V40" s="77">
        <f>+GETPIVOTDATA(" Tot # Asc. Prof New",'NEW Counts Pivot Table'!$A$3,"State","FL","Category",4,"Category2","Four-Year")</f>
        <v>99</v>
      </c>
      <c r="W40" s="77">
        <f>+GETPIVOTDATA(" Tot # Asc. Prof New",'NEW Counts Pivot Table'!$A$3,"State","FL","Category",5,"Category2","Four-Year")</f>
        <v>0</v>
      </c>
      <c r="X40" s="77">
        <f>+GETPIVOTDATA(" Tot # Asc. Prof New",'NEW Counts Pivot Table'!$A$3,"State","FL","Category",6,"Category2","Four-Year")</f>
        <v>19</v>
      </c>
      <c r="Y40" s="78">
        <f>+GETPIVOTDATA(" Tot # Asc. Prof New",'NEW Counts Pivot Table'!$A$3,"State","FL","Category2","Four-Year")</f>
        <v>2618</v>
      </c>
      <c r="Z40" s="76">
        <f>+GETPIVOTDATA(" Tot # Asc. Prof New",'NEW Counts Pivot Table'!$A$3,"State","AR","Category",7,"Category2","Two-Year")</f>
        <v>0</v>
      </c>
      <c r="AA40" s="77">
        <f>+GETPIVOTDATA(" Tot # Asc. Prof New",'NEW Counts Pivot Table'!$A$3,"State","AR","Category",8,"Category2","Two-Year")</f>
        <v>0</v>
      </c>
      <c r="AB40" s="77">
        <f>+GETPIVOTDATA(" Tot # Asc. Prof New",'NEW Counts Pivot Table'!$A$3,"State","DE","Category",9,"Category2","Two-Year")</f>
        <v>0</v>
      </c>
      <c r="AC40" s="77">
        <f>+GETPIVOTDATA(" Tot # Asc. Prof New",'NEW Counts Pivot Table'!$A$3,"State","DE","Category",10,"Category2","Two-Year")</f>
        <v>0</v>
      </c>
      <c r="AD40" s="77">
        <f>+GETPIVOTDATA(" Tot # Asc. Prof New",'NEW Counts Pivot Table'!$A$3,"State","FL","Category",11,"Category2","Two-Year")</f>
        <v>0</v>
      </c>
      <c r="AE40" s="78">
        <f>+GETPIVOTDATA(" Tot # Asc. Prof New",'NEW Counts Pivot Table'!$A$3,"State","FL","Category2","Two-Year")</f>
        <v>0</v>
      </c>
      <c r="AF40" s="76">
        <f>+GETPIVOTDATA(" Tot # Asc. Prof New",'NEW Counts Pivot Table'!$A$3,"State","FL","Category",12,"Category2","Technical Institutes")</f>
        <v>0</v>
      </c>
      <c r="AG40" s="77">
        <f>+GETPIVOTDATA(" Tot # Asc. Prof New",'NEW Counts Pivot Table'!$A$3,"State","FL","Category",13,"Category2","Technical Institutes")</f>
        <v>0</v>
      </c>
      <c r="AH40" s="76">
        <f>+GETPIVOTDATA(" Tot # Asc. Prof New",'NEW Counts Pivot Table'!$A$3,"State","FL","Category2","Technical Institutes")</f>
        <v>0</v>
      </c>
    </row>
    <row r="41" spans="1:36" x14ac:dyDescent="0.2">
      <c r="A41" s="10"/>
      <c r="B41" s="18" t="s">
        <v>101</v>
      </c>
      <c r="C41" s="12">
        <f t="shared" si="16"/>
        <v>0.24355896943510963</v>
      </c>
      <c r="D41" s="14">
        <f t="shared" si="16"/>
        <v>0.1942257217847769</v>
      </c>
      <c r="E41" s="14">
        <f t="shared" si="16"/>
        <v>0.29763779527559053</v>
      </c>
      <c r="F41" s="14">
        <f t="shared" si="16"/>
        <v>0.3350253807106599</v>
      </c>
      <c r="G41" s="14">
        <f t="shared" si="16"/>
        <v>0</v>
      </c>
      <c r="H41" s="40">
        <f t="shared" si="16"/>
        <v>0.33333333333333331</v>
      </c>
      <c r="I41" s="12">
        <f t="shared" si="16"/>
        <v>0.25194419030192133</v>
      </c>
      <c r="J41" s="12">
        <f t="shared" si="16"/>
        <v>0</v>
      </c>
      <c r="K41" s="14">
        <f t="shared" si="16"/>
        <v>0</v>
      </c>
      <c r="L41" s="14">
        <f t="shared" si="16"/>
        <v>0</v>
      </c>
      <c r="M41" s="14">
        <f t="shared" si="17"/>
        <v>0</v>
      </c>
      <c r="N41" s="12">
        <f t="shared" si="18"/>
        <v>0</v>
      </c>
      <c r="O41" s="12">
        <f t="shared" si="18"/>
        <v>0</v>
      </c>
      <c r="P41" s="14">
        <f t="shared" si="18"/>
        <v>0</v>
      </c>
      <c r="Q41" s="12">
        <f t="shared" si="19"/>
        <v>0</v>
      </c>
      <c r="R41" s="56"/>
      <c r="S41" s="76">
        <f>+GETPIVOTDATA(" Tot # Ast. Prof New",'NEW Counts Pivot Table'!$A$3,"State","FL","Category",1,"Category2","Four-Year")</f>
        <v>1522</v>
      </c>
      <c r="T41" s="77">
        <f>+GETPIVOTDATA(" Tot # Ast. Prof New",'NEW Counts Pivot Table'!$A$3,"State","FL","Category",2,"Category2","Four-Year")</f>
        <v>148</v>
      </c>
      <c r="U41" s="77">
        <f>+GETPIVOTDATA(" Tot # Ast. Prof New",'NEW Counts Pivot Table'!$A$3,"State","FL","Category",3,"Category2","Four-Year")</f>
        <v>378</v>
      </c>
      <c r="V41" s="77">
        <f>+GETPIVOTDATA(" Tot # Ast. Prof New",'NEW Counts Pivot Table'!$A$3,"State","FL","Category",4,"Category2","Four-Year")</f>
        <v>132</v>
      </c>
      <c r="W41" s="77">
        <f>+GETPIVOTDATA(" Tot # Ast. Prof New",'NEW Counts Pivot Table'!$A$3,"State","FL","Category",5,"Category2","Four-Year")</f>
        <v>0</v>
      </c>
      <c r="X41" s="77">
        <f>+GETPIVOTDATA(" Tot # Ast. Prof New",'NEW Counts Pivot Table'!$A$3,"State","FL","Category",6,"Category2","Four-Year")</f>
        <v>23</v>
      </c>
      <c r="Y41" s="78">
        <f>+GETPIVOTDATA(" Tot # Ast. Prof New",'NEW Counts Pivot Table'!$A$3,"State","FL","Category2","Four-Year")</f>
        <v>2203</v>
      </c>
      <c r="Z41" s="76">
        <f>+GETPIVOTDATA(" Tot # Ast. Prof New",'NEW Counts Pivot Table'!$A$3,"State","AR","Category",7,"Category2","Two-Year")</f>
        <v>0</v>
      </c>
      <c r="AA41" s="77">
        <f>+GETPIVOTDATA(" Tot # Ast. Prof New",'NEW Counts Pivot Table'!$A$3,"State","AR","Category",8,"Category2","Two-Year")</f>
        <v>0</v>
      </c>
      <c r="AB41" s="77">
        <f>+GETPIVOTDATA(" Tot # Ast. Prof New",'NEW Counts Pivot Table'!$A$3,"State","DE","Category",9,"Category2","Two-Year")</f>
        <v>0</v>
      </c>
      <c r="AC41" s="77">
        <f>+GETPIVOTDATA(" Tot # Ast. Prof New",'NEW Counts Pivot Table'!$A$3,"State","DE","Category",10,"Category2","Two-Year")</f>
        <v>0</v>
      </c>
      <c r="AD41" s="77">
        <f>+GETPIVOTDATA(" Tot # Ast. Prof New",'NEW Counts Pivot Table'!$A$3,"State","FL","Category",11,"Category2","Two-Year")</f>
        <v>0</v>
      </c>
      <c r="AE41" s="78">
        <f>+GETPIVOTDATA(" Tot # Ast. Prof New",'NEW Counts Pivot Table'!$A$3,"State","FL","Category2","Two-Year")</f>
        <v>0</v>
      </c>
      <c r="AF41" s="76">
        <f>+GETPIVOTDATA(" Tot # Ast. Prof New",'NEW Counts Pivot Table'!$A$3,"State","FL","Category",12,"Category2","Technical Institutes")</f>
        <v>0</v>
      </c>
      <c r="AG41" s="77">
        <f>+GETPIVOTDATA(" Tot # Ast. Prof New",'NEW Counts Pivot Table'!$A$3,"State","FL","Category",13,"Category2","Technical Institutes")</f>
        <v>0</v>
      </c>
      <c r="AH41" s="76">
        <f>+GETPIVOTDATA(" Tot # Ast. Prof New",'NEW Counts Pivot Table'!$A$3,"State","FL","Category2","Technical Institutes")</f>
        <v>0</v>
      </c>
    </row>
    <row r="42" spans="1:36" x14ac:dyDescent="0.2">
      <c r="A42" s="10"/>
      <c r="B42" s="18" t="s">
        <v>102</v>
      </c>
      <c r="C42" s="12">
        <f t="shared" si="16"/>
        <v>0.11041766682669227</v>
      </c>
      <c r="D42" s="14">
        <f t="shared" si="16"/>
        <v>0.24671916010498687</v>
      </c>
      <c r="E42" s="14">
        <f t="shared" si="16"/>
        <v>0.14173228346456693</v>
      </c>
      <c r="F42" s="14">
        <f t="shared" si="16"/>
        <v>0.2512690355329949</v>
      </c>
      <c r="G42" s="14">
        <f t="shared" si="16"/>
        <v>0</v>
      </c>
      <c r="H42" s="40">
        <f t="shared" si="16"/>
        <v>1.4492753623188406E-2</v>
      </c>
      <c r="I42" s="12">
        <f t="shared" si="16"/>
        <v>0.13243366880146387</v>
      </c>
      <c r="J42" s="12">
        <f t="shared" si="16"/>
        <v>0</v>
      </c>
      <c r="K42" s="14">
        <f t="shared" si="16"/>
        <v>0</v>
      </c>
      <c r="L42" s="14">
        <f t="shared" si="16"/>
        <v>0</v>
      </c>
      <c r="M42" s="14">
        <f t="shared" si="17"/>
        <v>0</v>
      </c>
      <c r="N42" s="12">
        <f t="shared" si="18"/>
        <v>0</v>
      </c>
      <c r="O42" s="12">
        <f t="shared" si="18"/>
        <v>0</v>
      </c>
      <c r="P42" s="14">
        <f t="shared" si="18"/>
        <v>0</v>
      </c>
      <c r="Q42" s="12">
        <f t="shared" si="19"/>
        <v>0</v>
      </c>
      <c r="R42" s="56"/>
      <c r="S42" s="76">
        <f>+GETPIVOTDATA(" Tot # Instr. New",'NEW Counts Pivot Table'!$A$3,"State","FL","Category",1,"Category2","Four-Year")</f>
        <v>690</v>
      </c>
      <c r="T42" s="77">
        <f>+GETPIVOTDATA(" Tot # Instr. New",'NEW Counts Pivot Table'!$A$3,"State","FL","Category",2,"Category2","Four-Year")</f>
        <v>188</v>
      </c>
      <c r="U42" s="77">
        <f>+GETPIVOTDATA(" Tot # Instr. New",'NEW Counts Pivot Table'!$A$3,"State","FL","Category",3,"Category2","Four-Year")</f>
        <v>180</v>
      </c>
      <c r="V42" s="77">
        <f>+GETPIVOTDATA(" Tot # Instr. New",'NEW Counts Pivot Table'!$A$3,"State","FL","Category",4,"Category2","Four-Year")</f>
        <v>99</v>
      </c>
      <c r="W42" s="77">
        <f>+GETPIVOTDATA(" Tot # Instr. New",'NEW Counts Pivot Table'!$A$3,"State","FL","Category",5,"Category2","Four-Year")</f>
        <v>0</v>
      </c>
      <c r="X42" s="77">
        <f>+GETPIVOTDATA(" Tot # Instr. New",'NEW Counts Pivot Table'!$A$3,"State","FL","Category",6,"Category2","Four-Year")</f>
        <v>1</v>
      </c>
      <c r="Y42" s="78">
        <f>+GETPIVOTDATA(" Tot # Instr. New",'NEW Counts Pivot Table'!$A$3,"State","FL","Category2","Four-Year")</f>
        <v>1158</v>
      </c>
      <c r="Z42" s="76">
        <f>+GETPIVOTDATA(" Tot # Instr. New",'NEW Counts Pivot Table'!$A$3,"State","AR","Category",7,"Category2","Two-Year")</f>
        <v>0</v>
      </c>
      <c r="AA42" s="77">
        <f>+GETPIVOTDATA(" Tot # Instr. New",'NEW Counts Pivot Table'!$A$3,"State","AR","Category",8,"Category2","Two-Year")</f>
        <v>0</v>
      </c>
      <c r="AB42" s="77">
        <f>+GETPIVOTDATA(" Tot # Instr. New",'NEW Counts Pivot Table'!$A$3,"State","DE","Category",9,"Category2","Two-Year")</f>
        <v>0</v>
      </c>
      <c r="AC42" s="77">
        <f>+GETPIVOTDATA(" Tot # Instr. New",'NEW Counts Pivot Table'!$A$3,"State","DE","Category",10,"Category2","Two-Year")</f>
        <v>0</v>
      </c>
      <c r="AD42" s="77">
        <f>+GETPIVOTDATA(" Tot # Instr. New",'NEW Counts Pivot Table'!$A$3,"State","FL","Category",11,"Category2","Two-Year")</f>
        <v>0</v>
      </c>
      <c r="AE42" s="78">
        <f>+GETPIVOTDATA(" Tot # Instr. New",'NEW Counts Pivot Table'!$A$3,"State","FL","Category2","Two-Year")</f>
        <v>0</v>
      </c>
      <c r="AF42" s="76">
        <f>+GETPIVOTDATA(" Tot # Instr. New",'NEW Counts Pivot Table'!$A$3,"State","FL","Category",12,"Category2","Technical Institutes")</f>
        <v>0</v>
      </c>
      <c r="AG42" s="77">
        <f>+GETPIVOTDATA(" Tot # Instr. New",'NEW Counts Pivot Table'!$A$3,"State","FL","Category",13,"Category2","Technical Institutes")</f>
        <v>0</v>
      </c>
      <c r="AH42" s="76">
        <f>+GETPIVOTDATA(" Tot # Instr. New",'NEW Counts Pivot Table'!$A$3,"State","FL","Category2","Technical Institutes")</f>
        <v>0</v>
      </c>
    </row>
    <row r="43" spans="1:36" x14ac:dyDescent="0.2">
      <c r="A43" s="10"/>
      <c r="B43" s="18" t="s">
        <v>83</v>
      </c>
      <c r="C43" s="12">
        <f t="shared" si="16"/>
        <v>3.6485837734037449E-2</v>
      </c>
      <c r="D43" s="14">
        <f t="shared" si="16"/>
        <v>1.3123359580052493E-3</v>
      </c>
      <c r="E43" s="14">
        <f t="shared" si="16"/>
        <v>7.0866141732283464E-3</v>
      </c>
      <c r="F43" s="14">
        <f t="shared" si="16"/>
        <v>0</v>
      </c>
      <c r="G43" s="153">
        <f t="shared" si="16"/>
        <v>0</v>
      </c>
      <c r="H43" s="40">
        <f t="shared" si="16"/>
        <v>0</v>
      </c>
      <c r="I43" s="12">
        <f t="shared" si="16"/>
        <v>2.7218664226898445E-2</v>
      </c>
      <c r="J43" s="12">
        <f t="shared" si="16"/>
        <v>0</v>
      </c>
      <c r="K43" s="14">
        <f t="shared" si="16"/>
        <v>0</v>
      </c>
      <c r="L43" s="14">
        <f t="shared" si="16"/>
        <v>0</v>
      </c>
      <c r="M43" s="14">
        <f t="shared" si="17"/>
        <v>0</v>
      </c>
      <c r="N43" s="12">
        <f t="shared" si="18"/>
        <v>0</v>
      </c>
      <c r="O43" s="12">
        <f t="shared" si="18"/>
        <v>0</v>
      </c>
      <c r="P43" s="14">
        <f t="shared" si="18"/>
        <v>0</v>
      </c>
      <c r="Q43" s="12">
        <f t="shared" si="19"/>
        <v>0</v>
      </c>
      <c r="R43" s="56"/>
      <c r="S43" s="76">
        <f>++GETPIVOTDATA(" Tot # Undes. New",'NEW Counts Pivot Table'!$A$3,"State","FL","Category",1,"Category2","Four-Year")</f>
        <v>228</v>
      </c>
      <c r="T43" s="77">
        <f>+GETPIVOTDATA(" Tot # Undes. New",'NEW Counts Pivot Table'!$A$3,"State","FL","Category",2,"Category2","Four-Year")</f>
        <v>1</v>
      </c>
      <c r="U43" s="77">
        <f>+GETPIVOTDATA(" Tot # Undes. New",'NEW Counts Pivot Table'!$A$3,"State","FL","Category",3,"Category2","Four-Year")</f>
        <v>9</v>
      </c>
      <c r="V43" s="77">
        <f>+GETPIVOTDATA(" Tot # Undes. New",'NEW Counts Pivot Table'!$A$3,"State","FL","Category",4,"Category2","Four-Year")</f>
        <v>0</v>
      </c>
      <c r="W43" s="77">
        <f>+GETPIVOTDATA(" Tot # Undes. New",'NEW Counts Pivot Table'!$A$3,"State","FL","Category",5,"Category2","Four-Year")</f>
        <v>0</v>
      </c>
      <c r="X43" s="77">
        <f>+GETPIVOTDATA(" Tot # Undes. New",'NEW Counts Pivot Table'!$A$3,"State","FL","Category",6,"Category2","Four-Year")</f>
        <v>0</v>
      </c>
      <c r="Y43" s="78">
        <f>+GETPIVOTDATA(" Tot # Undes. New",'NEW Counts Pivot Table'!$A$3,"State","FL","Category2","Four-Year")</f>
        <v>238</v>
      </c>
      <c r="Z43" s="76">
        <f>+GETPIVOTDATA(" Tot # Undes. New",'NEW Counts Pivot Table'!$A$3,"State","AR","Category",7,"Category2","Two-Year")</f>
        <v>0</v>
      </c>
      <c r="AA43" s="77">
        <f>+GETPIVOTDATA(" Tot # Undes. New",'NEW Counts Pivot Table'!$A$3,"State","AR","Category",8,"Category2","Two-Year")</f>
        <v>0</v>
      </c>
      <c r="AB43" s="77">
        <f>+GETPIVOTDATA(" Tot # Undes. New",'NEW Counts Pivot Table'!$A$3,"State","DE","Category",9,"Category2","Two-Year")</f>
        <v>0</v>
      </c>
      <c r="AC43" s="77">
        <f>+GETPIVOTDATA(" Tot # Undes. New",'NEW Counts Pivot Table'!$A$3,"State","DE","Category",10,"Category2","Two-Year")</f>
        <v>0</v>
      </c>
      <c r="AD43" s="77">
        <f>+GETPIVOTDATA(" Tot # Undes. New",'NEW Counts Pivot Table'!$A$3,"State","FL","Category",11,"Category2","Two-Year")</f>
        <v>0</v>
      </c>
      <c r="AE43" s="78">
        <f>+GETPIVOTDATA(" Tot # Undes. New",'NEW Counts Pivot Table'!$A$3,"State","FL","Category2","Two-Year")</f>
        <v>0</v>
      </c>
      <c r="AF43" s="76">
        <f>+GETPIVOTDATA(" Tot # Undes. New",'NEW Counts Pivot Table'!$A$3,"State","FL","Category",12,"Category2","Technical Institutes")</f>
        <v>0</v>
      </c>
      <c r="AG43" s="77">
        <f>+GETPIVOTDATA(" Tot # Undes. New",'NEW Counts Pivot Table'!$A$3,"State","FL","Category",13,"Category2","Technical Institutes")</f>
        <v>0</v>
      </c>
      <c r="AH43" s="76">
        <f>+GETPIVOTDATA(" Tot # Undes. New",'NEW Counts Pivot Table'!$A$3,"State","FL","Category2","Technical Institutes")</f>
        <v>0</v>
      </c>
    </row>
    <row r="44" spans="1:36" x14ac:dyDescent="0.2">
      <c r="A44" s="10"/>
      <c r="B44" s="18" t="s">
        <v>82</v>
      </c>
      <c r="C44" s="12">
        <f t="shared" si="16"/>
        <v>0</v>
      </c>
      <c r="D44" s="14">
        <f t="shared" si="16"/>
        <v>0</v>
      </c>
      <c r="E44" s="103">
        <f t="shared" si="16"/>
        <v>0</v>
      </c>
      <c r="F44" s="14">
        <f t="shared" si="16"/>
        <v>0</v>
      </c>
      <c r="G44" s="103">
        <f t="shared" si="16"/>
        <v>0</v>
      </c>
      <c r="H44" s="40">
        <f t="shared" si="16"/>
        <v>0</v>
      </c>
      <c r="I44" s="102">
        <f t="shared" si="16"/>
        <v>0</v>
      </c>
      <c r="J44" s="12">
        <f t="shared" si="16"/>
        <v>0</v>
      </c>
      <c r="K44" s="14">
        <f t="shared" si="16"/>
        <v>1</v>
      </c>
      <c r="L44" s="14">
        <f t="shared" si="16"/>
        <v>1</v>
      </c>
      <c r="M44" s="14">
        <f t="shared" si="17"/>
        <v>1</v>
      </c>
      <c r="N44" s="12">
        <f t="shared" si="18"/>
        <v>1</v>
      </c>
      <c r="O44" s="12">
        <f t="shared" si="18"/>
        <v>0</v>
      </c>
      <c r="P44" s="14">
        <f t="shared" si="18"/>
        <v>0</v>
      </c>
      <c r="Q44" s="12">
        <f t="shared" si="19"/>
        <v>0</v>
      </c>
      <c r="R44" s="56"/>
      <c r="S44" s="76">
        <f>+GETPIVOTDATA(" Tot # Single Rnk New",'NEW Counts Pivot Table'!$A$3,"State","FL","Category",1,"Category2","Four-Year")</f>
        <v>0</v>
      </c>
      <c r="T44" s="77">
        <f>+GETPIVOTDATA(" Tot # Single Rnk New",'NEW Counts Pivot Table'!$A$3,"State","FL","Category",2,"Category2","Four-Year")</f>
        <v>0</v>
      </c>
      <c r="U44" s="77">
        <f>+GETPIVOTDATA(" Tot # Single Rnk New",'NEW Counts Pivot Table'!$A$3,"State","FL","Category",3,"Category2","Four-Year")</f>
        <v>0</v>
      </c>
      <c r="V44" s="77">
        <f>+GETPIVOTDATA(" Tot # Single Rnk New",'NEW Counts Pivot Table'!$A$3,"State","FL","Category",4,"Category2","Four-Year")</f>
        <v>0</v>
      </c>
      <c r="W44" s="77">
        <f>+GETPIVOTDATA(" Tot # Single Rnk New",'NEW Counts Pivot Table'!$A$3,"State","FL","Category",5,"Category2","Four-Year")</f>
        <v>0</v>
      </c>
      <c r="X44" s="77">
        <f>+GETPIVOTDATA(" Tot # Single Rnk New",'NEW Counts Pivot Table'!$A$3,"State","FL","Category",6,"Category2","Four-Year")</f>
        <v>0</v>
      </c>
      <c r="Y44" s="78">
        <f>+GETPIVOTDATA(" Tot # Single Rnk New",'NEW Counts Pivot Table'!$A$3,"State","FL","Category2","Four-Year")</f>
        <v>0</v>
      </c>
      <c r="Z44" s="76">
        <f>+GETPIVOTDATA(" Tot # Single Rnk New",'NEW Counts Pivot Table'!$A$3,"State","AR","Category",7,"Category2","Two-Year")</f>
        <v>0</v>
      </c>
      <c r="AA44" s="77">
        <f>+GETPIVOTDATA(" Tot # Single Rnk New",'NEW Counts Pivot Table'!$A$3,"State","AR","Category",8,"Category2","Two-Year")</f>
        <v>327</v>
      </c>
      <c r="AB44" s="77">
        <f>+GETPIVOTDATA(" Tot # Single Rnk New",'NEW Counts Pivot Table'!$A$3,"State","DE","Category",9,"Category2","Two-Year")</f>
        <v>122</v>
      </c>
      <c r="AC44" s="77">
        <f>+GETPIVOTDATA(" Tot # Single Rnk New",'NEW Counts Pivot Table'!$A$3,"State","DE","Category",10,"Category2","Two-Year")</f>
        <v>85</v>
      </c>
      <c r="AD44" s="77">
        <f>+GETPIVOTDATA(" Tot # Single Rnk New",'NEW Counts Pivot Table'!$A$3,"State","FL","Category",11,"Category2","Two-Year")</f>
        <v>0</v>
      </c>
      <c r="AE44" s="78">
        <f>+GETPIVOTDATA(" Tot # Single Rnk New",'NEW Counts Pivot Table'!$A$3,"State","FL","Category2","Two-Year")</f>
        <v>5691</v>
      </c>
      <c r="AF44" s="76">
        <f>+GETPIVOTDATA(" Tot # Single Rnk New",'NEW Counts Pivot Table'!$A$3,"State","FL","Category",12,"Category2","Technical Institutes")</f>
        <v>0</v>
      </c>
      <c r="AG44" s="77">
        <f>+GETPIVOTDATA(" Tot # Single Rnk New",'NEW Counts Pivot Table'!$A$3,"State","FL","Category",13,"Category2","Technical Institutes")</f>
        <v>0</v>
      </c>
      <c r="AH44" s="76">
        <f>+GETPIVOTDATA(" Tot # Single Rnk New",'NEW Counts Pivot Table'!$A$3,"State","FL","Category2","Technical Institutes")</f>
        <v>0</v>
      </c>
    </row>
    <row r="45" spans="1:36" s="33" customFormat="1" x14ac:dyDescent="0.25">
      <c r="A45" s="109"/>
      <c r="B45" s="110" t="s">
        <v>84</v>
      </c>
      <c r="C45" s="13">
        <f t="shared" si="16"/>
        <v>1</v>
      </c>
      <c r="D45" s="11">
        <f t="shared" si="16"/>
        <v>1</v>
      </c>
      <c r="E45" s="11">
        <f t="shared" si="16"/>
        <v>1</v>
      </c>
      <c r="F45" s="11">
        <f t="shared" si="16"/>
        <v>1</v>
      </c>
      <c r="G45" s="11">
        <f t="shared" si="16"/>
        <v>0</v>
      </c>
      <c r="H45" s="41">
        <f t="shared" si="16"/>
        <v>1</v>
      </c>
      <c r="I45" s="13">
        <f t="shared" si="16"/>
        <v>1</v>
      </c>
      <c r="J45" s="13">
        <f t="shared" si="16"/>
        <v>0</v>
      </c>
      <c r="K45" s="11">
        <f t="shared" si="16"/>
        <v>1</v>
      </c>
      <c r="L45" s="11">
        <f t="shared" si="16"/>
        <v>1</v>
      </c>
      <c r="M45" s="11">
        <f t="shared" si="17"/>
        <v>1</v>
      </c>
      <c r="N45" s="13">
        <f t="shared" si="18"/>
        <v>1</v>
      </c>
      <c r="O45" s="13">
        <f t="shared" si="18"/>
        <v>0</v>
      </c>
      <c r="P45" s="11">
        <f t="shared" si="18"/>
        <v>0</v>
      </c>
      <c r="Q45" s="13">
        <f t="shared" si="19"/>
        <v>0</v>
      </c>
      <c r="R45" s="57"/>
      <c r="S45" s="79">
        <f>+GETPIVOTDATA(" All Ranks # New",'NEW Counts Pivot Table'!$A$3,"State","FL","Category",1,"Category2","Four-Year")</f>
        <v>6249</v>
      </c>
      <c r="T45" s="80">
        <f>+GETPIVOTDATA(" All Ranks # New",'NEW Counts Pivot Table'!$A$3,"State","FL","Category",2,"Category2","Four-Year")</f>
        <v>762</v>
      </c>
      <c r="U45" s="80">
        <f>+GETPIVOTDATA(" All Ranks # New",'NEW Counts Pivot Table'!$A$3,"State","FL","Category",3,"Category2","Four-Year")</f>
        <v>1270</v>
      </c>
      <c r="V45" s="80">
        <f>+GETPIVOTDATA(" All Ranks # New",'NEW Counts Pivot Table'!$A$3,"State","FL","Category",4,"Category2","Four-Year")</f>
        <v>394</v>
      </c>
      <c r="W45" s="80">
        <f>+GETPIVOTDATA(" All Ranks # New",'NEW Counts Pivot Table'!$A$3,"State","FL","Category",5,"Category2","Four-Year")</f>
        <v>0</v>
      </c>
      <c r="X45" s="80">
        <f>+GETPIVOTDATA(" All Ranks # New",'NEW Counts Pivot Table'!$A$3,"State","FL","Category",6,"Category2","Four-Year")</f>
        <v>69</v>
      </c>
      <c r="Y45" s="81">
        <f>+GETPIVOTDATA(" All Ranks # New",'NEW Counts Pivot Table'!$A$3,"State","FL","Category2","Four-Year")</f>
        <v>8744</v>
      </c>
      <c r="Z45" s="79">
        <f>+GETPIVOTDATA(" All Ranks # New",'NEW Counts Pivot Table'!$A$3,"State","AR","Category",7,"Category2","Two-Year")</f>
        <v>0</v>
      </c>
      <c r="AA45" s="80">
        <f>+GETPIVOTDATA(" All Ranks # New",'NEW Counts Pivot Table'!$A$3,"State","AR","Category",8,"Category2","Two-Year")</f>
        <v>327</v>
      </c>
      <c r="AB45" s="80">
        <f>+GETPIVOTDATA(" All Ranks # New",'NEW Counts Pivot Table'!$A$3,"State","DE","Category",9,"Category2","Two-Year")</f>
        <v>122</v>
      </c>
      <c r="AC45" s="80">
        <f>+GETPIVOTDATA(" All Ranks # New",'NEW Counts Pivot Table'!$A$3,"State","DE","Category",10,"Category2","Two-Year")</f>
        <v>85</v>
      </c>
      <c r="AD45" s="80">
        <f>+GETPIVOTDATA(" All Ranks # New",'NEW Counts Pivot Table'!$A$3,"State","FL","Category",11,"Category2","Two-Year")</f>
        <v>0</v>
      </c>
      <c r="AE45" s="81">
        <f>+GETPIVOTDATA(" All Ranks # New",'NEW Counts Pivot Table'!$A$3,"State","FL","Category2","Two-Year")</f>
        <v>5691</v>
      </c>
      <c r="AF45" s="79">
        <f>+GETPIVOTDATA(" All Ranks # New",'NEW Counts Pivot Table'!$A$3,"State","FL","Category",12,"Category2","Technical Institutes")</f>
        <v>0</v>
      </c>
      <c r="AG45" s="80">
        <f>+GETPIVOTDATA(" All Ranks # New",'NEW Counts Pivot Table'!$A$3,"State","FL","Category",13,"Category2","Technical Institutes")</f>
        <v>0</v>
      </c>
      <c r="AH45" s="79">
        <f>+GETPIVOTDATA(" All Ranks # New",'NEW Counts Pivot Table'!$A$3,"State","FL","Category2","Technical Institutes")</f>
        <v>0</v>
      </c>
      <c r="AI45" s="82"/>
      <c r="AJ45" s="82"/>
    </row>
    <row r="46" spans="1:36" x14ac:dyDescent="0.2">
      <c r="A46" s="18" t="s">
        <v>112</v>
      </c>
      <c r="B46" s="15" t="s">
        <v>99</v>
      </c>
      <c r="C46" s="16">
        <f t="shared" ref="C46:L52" si="20">IF(S$52&gt;0,(S46/S$52),0)</f>
        <v>0.31657420249653262</v>
      </c>
      <c r="D46" s="17">
        <f t="shared" si="20"/>
        <v>0.4056420233463035</v>
      </c>
      <c r="E46" s="17">
        <f t="shared" si="20"/>
        <v>0.22502937720329025</v>
      </c>
      <c r="F46" s="17">
        <f t="shared" si="20"/>
        <v>0.19291109819872168</v>
      </c>
      <c r="G46" s="17">
        <f t="shared" si="20"/>
        <v>0.19039145907473309</v>
      </c>
      <c r="H46" s="39">
        <f t="shared" si="20"/>
        <v>6.5817409766454352E-2</v>
      </c>
      <c r="I46" s="16">
        <f t="shared" si="20"/>
        <v>0.2564389697648376</v>
      </c>
      <c r="J46" s="16">
        <f t="shared" si="20"/>
        <v>0</v>
      </c>
      <c r="K46" s="17">
        <f t="shared" si="20"/>
        <v>0</v>
      </c>
      <c r="L46" s="17">
        <f t="shared" si="20"/>
        <v>0</v>
      </c>
      <c r="M46" s="17">
        <f t="shared" ref="M46:M52" si="21">IF(AC$52&gt;0,(AC46/AC$52),0)</f>
        <v>0</v>
      </c>
      <c r="N46" s="16">
        <f t="shared" ref="N46:P52" si="22">IF(AE$52&gt;0,(AE46/AE$52),0)</f>
        <v>9.4874591057797164E-2</v>
      </c>
      <c r="O46" s="91">
        <f t="shared" si="22"/>
        <v>0</v>
      </c>
      <c r="P46" s="17">
        <f t="shared" si="22"/>
        <v>0</v>
      </c>
      <c r="Q46" s="91">
        <f t="shared" ref="Q46:Q52" si="23">IF(AH$52&gt;0,(AH46/AH$52),0)</f>
        <v>0</v>
      </c>
      <c r="R46" s="83"/>
      <c r="S46" s="73">
        <f>+GETPIVOTDATA(" Total # Prof New",'NEW Counts Pivot Table'!$A$3,"State","GA","Category",1,"Category2","Four-Year")</f>
        <v>913</v>
      </c>
      <c r="T46" s="74">
        <f>+GETPIVOTDATA(" Total # Prof New",'NEW Counts Pivot Table'!$A$3,"State","GA","Category",2,"Category2","Four-Year")</f>
        <v>417</v>
      </c>
      <c r="U46" s="74">
        <f>+GETPIVOTDATA(" Total # Prof New",'NEW Counts Pivot Table'!$A$3,"State","GA","Category",3,"Category2","Four-Year")</f>
        <v>383</v>
      </c>
      <c r="V46" s="74">
        <f>+GETPIVOTDATA(" Total # Prof New",'NEW Counts Pivot Table'!$A$3,"State","GA","Category",4,"Category2","Four-Year")</f>
        <v>332</v>
      </c>
      <c r="W46" s="74">
        <f>+GETPIVOTDATA(" Total # Prof New",'NEW Counts Pivot Table'!$A$3,"State","GA","Category",5,"Category2","Four-Year")</f>
        <v>214</v>
      </c>
      <c r="X46" s="74">
        <f>+GETPIVOTDATA(" Total # Prof New",'NEW Counts Pivot Table'!$A$3,"State","GA","Category",6,"Category2","Four-Year")</f>
        <v>31</v>
      </c>
      <c r="Y46" s="75">
        <f>+GETPIVOTDATA(" Total # Prof New",'NEW Counts Pivot Table'!$A$3,"State","GA","Category2","Four-Year")</f>
        <v>2290</v>
      </c>
      <c r="Z46" s="73">
        <f>+GETPIVOTDATA(" Total # Prof New",'NEW Counts Pivot Table'!$A$3,"State","AR","Category",7,"Category2","Two-Year")</f>
        <v>0</v>
      </c>
      <c r="AA46" s="74">
        <f>+GETPIVOTDATA(" Total # Prof New",'NEW Counts Pivot Table'!$A$3,"State","AR","Category",8,"Category2","Two-Year")</f>
        <v>0</v>
      </c>
      <c r="AB46" s="74">
        <f>+GETPIVOTDATA(" Total # Prof New",'NEW Counts Pivot Table'!$A$3,"State","DE","Category",9,"Category2","Two-Year")</f>
        <v>0</v>
      </c>
      <c r="AC46" s="74">
        <f>+GETPIVOTDATA(" Total # Prof New",'NEW Counts Pivot Table'!$A$3,"State","DE","Category",10,"Category2","Two-Year")</f>
        <v>0</v>
      </c>
      <c r="AD46" s="74">
        <f>+GETPIVOTDATA(" Total # Prof New",'NEW Counts Pivot Table'!$A$3,"State","GA","Category",11,"Category2","Two-Year")</f>
        <v>0</v>
      </c>
      <c r="AE46" s="75">
        <f>+GETPIVOTDATA(" Total # Prof New",'NEW Counts Pivot Table'!$A$3,"State","GA","Category2","Two-Year")</f>
        <v>174</v>
      </c>
      <c r="AF46" s="73">
        <f>+GETPIVOTDATA(" Total # Prof New",'NEW Counts Pivot Table'!$A$3,"State","GA","Category",12,"Category2","Technical Institutes")</f>
        <v>0</v>
      </c>
      <c r="AG46" s="74">
        <f>+GETPIVOTDATA(" Total # Prof New",'NEW Counts Pivot Table'!$A$3,"State","GA","Category",13,"Category2","Technical Institutes")</f>
        <v>0</v>
      </c>
      <c r="AH46" s="73">
        <f>+GETPIVOTDATA(" Total # Prof New",'NEW Counts Pivot Table'!$A$3,"State","GA","Category2","Technical Institutes")</f>
        <v>0</v>
      </c>
    </row>
    <row r="47" spans="1:36" x14ac:dyDescent="0.2">
      <c r="A47" s="10"/>
      <c r="B47" s="18" t="s">
        <v>100</v>
      </c>
      <c r="C47" s="12">
        <f t="shared" si="20"/>
        <v>0.28987517337031898</v>
      </c>
      <c r="D47" s="14">
        <f t="shared" si="20"/>
        <v>0.24708171206225682</v>
      </c>
      <c r="E47" s="14">
        <f t="shared" si="20"/>
        <v>0.23619271445358403</v>
      </c>
      <c r="F47" s="14">
        <f t="shared" si="20"/>
        <v>0.24578733294596164</v>
      </c>
      <c r="G47" s="14">
        <f t="shared" si="20"/>
        <v>0.25177935943060498</v>
      </c>
      <c r="H47" s="40">
        <f t="shared" si="20"/>
        <v>0.22717622080679406</v>
      </c>
      <c r="I47" s="12">
        <f t="shared" si="20"/>
        <v>0.25811870100783874</v>
      </c>
      <c r="J47" s="12">
        <f t="shared" si="20"/>
        <v>0</v>
      </c>
      <c r="K47" s="14">
        <f t="shared" si="20"/>
        <v>0</v>
      </c>
      <c r="L47" s="14">
        <f t="shared" si="20"/>
        <v>0</v>
      </c>
      <c r="M47" s="14">
        <f t="shared" si="21"/>
        <v>0</v>
      </c>
      <c r="N47" s="12">
        <f t="shared" si="22"/>
        <v>0.23336968375136313</v>
      </c>
      <c r="O47" s="12">
        <f t="shared" si="22"/>
        <v>0</v>
      </c>
      <c r="P47" s="14">
        <f t="shared" si="22"/>
        <v>0</v>
      </c>
      <c r="Q47" s="12">
        <f t="shared" si="23"/>
        <v>0</v>
      </c>
      <c r="R47" s="56"/>
      <c r="S47" s="76">
        <f>+GETPIVOTDATA(" Tot # Asc. Prof New",'NEW Counts Pivot Table'!$A$3,"State","GA","Category",1,"Category2","Four-Year")</f>
        <v>836</v>
      </c>
      <c r="T47" s="77">
        <f>+GETPIVOTDATA(" Tot # Asc. Prof New",'NEW Counts Pivot Table'!$A$3,"State","GA","Category",2,"Category2","Four-Year")</f>
        <v>254</v>
      </c>
      <c r="U47" s="77">
        <f>+GETPIVOTDATA(" Tot # Asc. Prof New",'NEW Counts Pivot Table'!$A$3,"State","GA","Category",3,"Category2","Four-Year")</f>
        <v>402</v>
      </c>
      <c r="V47" s="77">
        <f>+GETPIVOTDATA(" Tot # Asc. Prof New",'NEW Counts Pivot Table'!$A$3,"State","GA","Category",4,"Category2","Four-Year")</f>
        <v>423</v>
      </c>
      <c r="W47" s="77">
        <f>+GETPIVOTDATA(" Tot # Asc. Prof New",'NEW Counts Pivot Table'!$A$3,"State","GA","Category",5,"Category2","Four-Year")</f>
        <v>283</v>
      </c>
      <c r="X47" s="77">
        <f>+GETPIVOTDATA(" Tot # Asc. Prof New",'NEW Counts Pivot Table'!$A$3,"State","GA","Category",6,"Category2","Four-Year")</f>
        <v>107</v>
      </c>
      <c r="Y47" s="78">
        <f>+GETPIVOTDATA(" Tot # Asc. Prof New",'NEW Counts Pivot Table'!$A$3,"State","GA","Category2","Four-Year")</f>
        <v>2305</v>
      </c>
      <c r="Z47" s="76">
        <f>+GETPIVOTDATA(" Tot # Asc. Prof New",'NEW Counts Pivot Table'!$A$3,"State","AR","Category",7,"Category2","Two-Year")</f>
        <v>0</v>
      </c>
      <c r="AA47" s="77">
        <f>+GETPIVOTDATA(" Tot # Asc. Prof New",'NEW Counts Pivot Table'!$A$3,"State","AR","Category",8,"Category2","Two-Year")</f>
        <v>0</v>
      </c>
      <c r="AB47" s="77">
        <f>+GETPIVOTDATA(" Tot # Asc. Prof New",'NEW Counts Pivot Table'!$A$3,"State","DE","Category",9,"Category2","Two-Year")</f>
        <v>0</v>
      </c>
      <c r="AC47" s="77">
        <f>+GETPIVOTDATA(" Tot # Asc. Prof New",'NEW Counts Pivot Table'!$A$3,"State","DE","Category",10,"Category2","Two-Year")</f>
        <v>0</v>
      </c>
      <c r="AD47" s="77">
        <f>+GETPIVOTDATA(" Tot # Asc. Prof New",'NEW Counts Pivot Table'!$A$3,"State","GA","Category",11,"Category2","Two-Year")</f>
        <v>0</v>
      </c>
      <c r="AE47" s="78">
        <f>+GETPIVOTDATA(" Tot # Asc. Prof New",'NEW Counts Pivot Table'!$A$3,"State","GA","Category2","Two-Year")</f>
        <v>428</v>
      </c>
      <c r="AF47" s="76">
        <f>+GETPIVOTDATA(" Tot # Asc. Prof New",'NEW Counts Pivot Table'!$A$3,"State","GA","Category",12,"Category2","Technical Institutes")</f>
        <v>0</v>
      </c>
      <c r="AG47" s="77">
        <f>+GETPIVOTDATA(" Tot # Asc. Prof New",'NEW Counts Pivot Table'!$A$3,"State","GA","Category",13,"Category2","Technical Institutes")</f>
        <v>0</v>
      </c>
      <c r="AH47" s="76">
        <f>+GETPIVOTDATA(" Tot # Asc. Prof New",'NEW Counts Pivot Table'!$A$3,"State","GA","Category2","Technical Institutes")</f>
        <v>0</v>
      </c>
    </row>
    <row r="48" spans="1:36" x14ac:dyDescent="0.2">
      <c r="A48" s="10"/>
      <c r="B48" s="18" t="s">
        <v>101</v>
      </c>
      <c r="C48" s="12">
        <f t="shared" si="20"/>
        <v>0.25381414701803051</v>
      </c>
      <c r="D48" s="14">
        <f t="shared" si="20"/>
        <v>0.2188715953307393</v>
      </c>
      <c r="E48" s="14">
        <f t="shared" si="20"/>
        <v>0.33313748531139836</v>
      </c>
      <c r="F48" s="14">
        <f t="shared" si="20"/>
        <v>0.38698431144683326</v>
      </c>
      <c r="G48" s="14">
        <f t="shared" si="20"/>
        <v>0.36387900355871888</v>
      </c>
      <c r="H48" s="40">
        <f t="shared" si="20"/>
        <v>0.63481953290870485</v>
      </c>
      <c r="I48" s="12">
        <f t="shared" si="20"/>
        <v>0.32452407614781636</v>
      </c>
      <c r="J48" s="12">
        <f t="shared" si="20"/>
        <v>0</v>
      </c>
      <c r="K48" s="14">
        <f t="shared" si="20"/>
        <v>0</v>
      </c>
      <c r="L48" s="14">
        <f t="shared" si="20"/>
        <v>0</v>
      </c>
      <c r="M48" s="14">
        <f t="shared" si="21"/>
        <v>0</v>
      </c>
      <c r="N48" s="12">
        <f t="shared" si="22"/>
        <v>0.34460196292257361</v>
      </c>
      <c r="O48" s="12">
        <f t="shared" si="22"/>
        <v>0</v>
      </c>
      <c r="P48" s="14">
        <f t="shared" si="22"/>
        <v>0</v>
      </c>
      <c r="Q48" s="12">
        <f t="shared" si="23"/>
        <v>0</v>
      </c>
      <c r="R48" s="56"/>
      <c r="S48" s="76">
        <f>+GETPIVOTDATA(" Tot # Ast. Prof New",'NEW Counts Pivot Table'!$A$3,"State","GA","Category",1,"Category2","Four-Year")</f>
        <v>732</v>
      </c>
      <c r="T48" s="77">
        <f>+GETPIVOTDATA(" Tot # Ast. Prof New",'NEW Counts Pivot Table'!$A$3,"State","GA","Category",2,"Category2","Four-Year")</f>
        <v>225</v>
      </c>
      <c r="U48" s="77">
        <f>+GETPIVOTDATA(" Tot # Ast. Prof New",'NEW Counts Pivot Table'!$A$3,"State","GA","Category",3,"Category2","Four-Year")</f>
        <v>567</v>
      </c>
      <c r="V48" s="77">
        <f>+GETPIVOTDATA(" Tot # Ast. Prof New",'NEW Counts Pivot Table'!$A$3,"State","GA","Category",4,"Category2","Four-Year")</f>
        <v>666</v>
      </c>
      <c r="W48" s="77">
        <f>+GETPIVOTDATA(" Tot # Ast. Prof New",'NEW Counts Pivot Table'!$A$3,"State","GA","Category",5,"Category2","Four-Year")</f>
        <v>409</v>
      </c>
      <c r="X48" s="77">
        <f>+GETPIVOTDATA(" Tot # Ast. Prof New",'NEW Counts Pivot Table'!$A$3,"State","GA","Category",6,"Category2","Four-Year")</f>
        <v>299</v>
      </c>
      <c r="Y48" s="78">
        <f>+GETPIVOTDATA(" Tot # Ast. Prof New",'NEW Counts Pivot Table'!$A$3,"State","GA","Category2","Four-Year")</f>
        <v>2898</v>
      </c>
      <c r="Z48" s="76">
        <f>+GETPIVOTDATA(" Tot # Ast. Prof New",'NEW Counts Pivot Table'!$A$3,"State","AR","Category",7,"Category2","Two-Year")</f>
        <v>0</v>
      </c>
      <c r="AA48" s="77">
        <f>+GETPIVOTDATA(" Tot # Ast. Prof New",'NEW Counts Pivot Table'!$A$3,"State","AR","Category",8,"Category2","Two-Year")</f>
        <v>0</v>
      </c>
      <c r="AB48" s="77">
        <f>+GETPIVOTDATA(" Tot # Ast. Prof New",'NEW Counts Pivot Table'!$A$3,"State","DE","Category",9,"Category2","Two-Year")</f>
        <v>0</v>
      </c>
      <c r="AC48" s="77">
        <f>+GETPIVOTDATA(" Tot # Ast. Prof New",'NEW Counts Pivot Table'!$A$3,"State","DE","Category",10,"Category2","Two-Year")</f>
        <v>0</v>
      </c>
      <c r="AD48" s="77">
        <f>+GETPIVOTDATA(" Tot # Ast. Prof New",'NEW Counts Pivot Table'!$A$3,"State","GA","Category",11,"Category2","Two-Year")</f>
        <v>0</v>
      </c>
      <c r="AE48" s="78">
        <f>+GETPIVOTDATA(" Tot # Ast. Prof New",'NEW Counts Pivot Table'!$A$3,"State","GA","Category2","Two-Year")</f>
        <v>632</v>
      </c>
      <c r="AF48" s="76">
        <f>+GETPIVOTDATA(" Tot # Ast. Prof New",'NEW Counts Pivot Table'!$A$3,"State","GA","Category",12,"Category2","Technical Institutes")</f>
        <v>0</v>
      </c>
      <c r="AG48" s="77">
        <f>+GETPIVOTDATA(" Tot # Ast. Prof New",'NEW Counts Pivot Table'!$A$3,"State","GA","Category",13,"Category2","Technical Institutes")</f>
        <v>0</v>
      </c>
      <c r="AH48" s="76">
        <f>+GETPIVOTDATA(" Tot # Ast. Prof New",'NEW Counts Pivot Table'!$A$3,"State","GA","Category2","Technical Institutes")</f>
        <v>0</v>
      </c>
    </row>
    <row r="49" spans="1:36" x14ac:dyDescent="0.2">
      <c r="A49" s="10"/>
      <c r="B49" s="18" t="s">
        <v>102</v>
      </c>
      <c r="C49" s="12">
        <f t="shared" si="20"/>
        <v>3.640776699029126E-2</v>
      </c>
      <c r="D49" s="14">
        <f t="shared" si="20"/>
        <v>4.3774319066147857E-2</v>
      </c>
      <c r="E49" s="14">
        <f t="shared" si="20"/>
        <v>0.13983548766157461</v>
      </c>
      <c r="F49" s="14">
        <f t="shared" si="20"/>
        <v>7.9023823358512491E-2</v>
      </c>
      <c r="G49" s="14">
        <f t="shared" si="20"/>
        <v>0.10854092526690391</v>
      </c>
      <c r="H49" s="40">
        <f t="shared" si="20"/>
        <v>3.8216560509554139E-2</v>
      </c>
      <c r="I49" s="12">
        <f t="shared" si="20"/>
        <v>7.4356103023516237E-2</v>
      </c>
      <c r="J49" s="12">
        <f t="shared" si="20"/>
        <v>0</v>
      </c>
      <c r="K49" s="14">
        <f t="shared" si="20"/>
        <v>0</v>
      </c>
      <c r="L49" s="14">
        <f t="shared" si="20"/>
        <v>0</v>
      </c>
      <c r="M49" s="14">
        <f t="shared" si="21"/>
        <v>0</v>
      </c>
      <c r="N49" s="12">
        <f t="shared" si="22"/>
        <v>0.27480916030534353</v>
      </c>
      <c r="O49" s="12">
        <f t="shared" si="22"/>
        <v>0</v>
      </c>
      <c r="P49" s="14">
        <f t="shared" si="22"/>
        <v>0</v>
      </c>
      <c r="Q49" s="12">
        <f t="shared" si="23"/>
        <v>0</v>
      </c>
      <c r="R49" s="56"/>
      <c r="S49" s="76">
        <f>+GETPIVOTDATA(" Tot # Instr. New",'NEW Counts Pivot Table'!$A$3,"State","GA","Category",1,"Category2","Four-Year")</f>
        <v>105</v>
      </c>
      <c r="T49" s="77">
        <f>+GETPIVOTDATA(" Tot # Instr. New",'NEW Counts Pivot Table'!$A$3,"State","GA","Category",2,"Category2","Four-Year")</f>
        <v>45</v>
      </c>
      <c r="U49" s="77">
        <f>+GETPIVOTDATA(" Tot # Instr. New",'NEW Counts Pivot Table'!$A$3,"State","GA","Category",3,"Category2","Four-Year")</f>
        <v>238</v>
      </c>
      <c r="V49" s="77">
        <f>+GETPIVOTDATA(" Tot # Instr. New",'NEW Counts Pivot Table'!$A$3,"State","GA","Category",4,"Category2","Four-Year")</f>
        <v>136</v>
      </c>
      <c r="W49" s="77">
        <f>+GETPIVOTDATA(" Tot # Instr. New",'NEW Counts Pivot Table'!$A$3,"State","GA","Category",5,"Category2","Four-Year")</f>
        <v>122</v>
      </c>
      <c r="X49" s="77">
        <f>+GETPIVOTDATA(" Tot # Instr. New",'NEW Counts Pivot Table'!$A$3,"State","GA","Category",6,"Category2","Four-Year")</f>
        <v>18</v>
      </c>
      <c r="Y49" s="78">
        <f>+GETPIVOTDATA(" Tot # Instr. New",'NEW Counts Pivot Table'!$A$3,"State","GA","Category2","Four-Year")</f>
        <v>664</v>
      </c>
      <c r="Z49" s="76">
        <f>+GETPIVOTDATA(" Tot # Instr. New",'NEW Counts Pivot Table'!$A$3,"State","AR","Category",7,"Category2","Two-Year")</f>
        <v>0</v>
      </c>
      <c r="AA49" s="77">
        <f>+GETPIVOTDATA(" Tot # Instr. New",'NEW Counts Pivot Table'!$A$3,"State","AR","Category",8,"Category2","Two-Year")</f>
        <v>0</v>
      </c>
      <c r="AB49" s="77">
        <f>+GETPIVOTDATA(" Tot # Instr. New",'NEW Counts Pivot Table'!$A$3,"State","DE","Category",9,"Category2","Two-Year")</f>
        <v>0</v>
      </c>
      <c r="AC49" s="77">
        <f>+GETPIVOTDATA(" Tot # Instr. New",'NEW Counts Pivot Table'!$A$3,"State","DE","Category",10,"Category2","Two-Year")</f>
        <v>0</v>
      </c>
      <c r="AD49" s="77">
        <f>+GETPIVOTDATA(" Tot # Instr. New",'NEW Counts Pivot Table'!$A$3,"State","GA","Category",11,"Category2","Two-Year")</f>
        <v>0</v>
      </c>
      <c r="AE49" s="78">
        <f>+GETPIVOTDATA(" Tot # Instr. New",'NEW Counts Pivot Table'!$A$3,"State","GA","Category2","Two-Year")</f>
        <v>504</v>
      </c>
      <c r="AF49" s="76">
        <f>+GETPIVOTDATA(" Tot # Instr. New",'NEW Counts Pivot Table'!$A$3,"State","GA","Category",12,"Category2","Technical Institutes")</f>
        <v>0</v>
      </c>
      <c r="AG49" s="77">
        <f>+GETPIVOTDATA(" Tot # Instr. New",'NEW Counts Pivot Table'!$A$3,"State","GA","Category",13,"Category2","Technical Institutes")</f>
        <v>0</v>
      </c>
      <c r="AH49" s="76">
        <f>+GETPIVOTDATA(" Tot # Instr. New",'NEW Counts Pivot Table'!$A$3,"State","GA","Category2","Technical Institutes")</f>
        <v>0</v>
      </c>
    </row>
    <row r="50" spans="1:36" x14ac:dyDescent="0.2">
      <c r="A50" s="10"/>
      <c r="B50" s="18" t="s">
        <v>83</v>
      </c>
      <c r="C50" s="12">
        <f t="shared" si="20"/>
        <v>0.10332871012482663</v>
      </c>
      <c r="D50" s="14">
        <f t="shared" si="20"/>
        <v>8.4630350194552534E-2</v>
      </c>
      <c r="E50" s="153">
        <f t="shared" si="20"/>
        <v>6.5804935370152765E-2</v>
      </c>
      <c r="F50" s="14">
        <f t="shared" si="20"/>
        <v>9.529343404997094E-2</v>
      </c>
      <c r="G50" s="14">
        <f t="shared" si="20"/>
        <v>8.5409252669039148E-2</v>
      </c>
      <c r="H50" s="84">
        <f t="shared" si="20"/>
        <v>3.3970276008492568E-2</v>
      </c>
      <c r="I50" s="12">
        <f t="shared" si="20"/>
        <v>8.6562150055991036E-2</v>
      </c>
      <c r="J50" s="12">
        <f t="shared" si="20"/>
        <v>0</v>
      </c>
      <c r="K50" s="14">
        <f t="shared" si="20"/>
        <v>0</v>
      </c>
      <c r="L50" s="14">
        <f t="shared" si="20"/>
        <v>0</v>
      </c>
      <c r="M50" s="14">
        <f t="shared" si="21"/>
        <v>0</v>
      </c>
      <c r="N50" s="12">
        <f t="shared" si="22"/>
        <v>5.2344601962922573E-2</v>
      </c>
      <c r="O50" s="12">
        <f t="shared" si="22"/>
        <v>0</v>
      </c>
      <c r="P50" s="14">
        <f t="shared" si="22"/>
        <v>0</v>
      </c>
      <c r="Q50" s="12">
        <f t="shared" si="23"/>
        <v>0</v>
      </c>
      <c r="R50" s="56"/>
      <c r="S50" s="76">
        <f>++GETPIVOTDATA(" Tot # Undes. New",'NEW Counts Pivot Table'!$A$3,"State","GA","Category",1,"Category2","Four-Year")</f>
        <v>298</v>
      </c>
      <c r="T50" s="77">
        <f>+GETPIVOTDATA(" Tot # Undes. New",'NEW Counts Pivot Table'!$A$3,"State","GA","Category",2,"Category2","Four-Year")</f>
        <v>87</v>
      </c>
      <c r="U50" s="77">
        <f>+GETPIVOTDATA(" Tot # Undes. New",'NEW Counts Pivot Table'!$A$3,"State","GA","Category",3,"Category2","Four-Year")</f>
        <v>112</v>
      </c>
      <c r="V50" s="77">
        <f>+GETPIVOTDATA(" Tot # Undes. New",'NEW Counts Pivot Table'!$A$3,"State","GA","Category",4,"Category2","Four-Year")</f>
        <v>164</v>
      </c>
      <c r="W50" s="77">
        <f>+GETPIVOTDATA(" Tot # Undes. New",'NEW Counts Pivot Table'!$A$3,"State","GA","Category",5,"Category2","Four-Year")</f>
        <v>96</v>
      </c>
      <c r="X50" s="77">
        <f>+GETPIVOTDATA(" Tot # Undes. New",'NEW Counts Pivot Table'!$A$3,"State","GA","Category",6,"Category2","Four-Year")</f>
        <v>16</v>
      </c>
      <c r="Y50" s="78">
        <f>+GETPIVOTDATA(" Tot # Undes. New",'NEW Counts Pivot Table'!$A$3,"State","GA","Category2","Four-Year")</f>
        <v>773</v>
      </c>
      <c r="Z50" s="76">
        <f>+GETPIVOTDATA(" Tot # Undes. New",'NEW Counts Pivot Table'!$A$3,"State","AR","Category",7,"Category2","Two-Year")</f>
        <v>0</v>
      </c>
      <c r="AA50" s="77">
        <f>+GETPIVOTDATA(" Tot # Undes. New",'NEW Counts Pivot Table'!$A$3,"State","AR","Category",8,"Category2","Two-Year")</f>
        <v>0</v>
      </c>
      <c r="AB50" s="77">
        <f>+GETPIVOTDATA(" Tot # Undes. New",'NEW Counts Pivot Table'!$A$3,"State","DE","Category",9,"Category2","Two-Year")</f>
        <v>0</v>
      </c>
      <c r="AC50" s="77">
        <f>+GETPIVOTDATA(" Tot # Undes. New",'NEW Counts Pivot Table'!$A$3,"State","DE","Category",10,"Category2","Two-Year")</f>
        <v>0</v>
      </c>
      <c r="AD50" s="77">
        <f>+GETPIVOTDATA(" Tot # Undes. New",'NEW Counts Pivot Table'!$A$3,"State","GA","Category",11,"Category2","Two-Year")</f>
        <v>0</v>
      </c>
      <c r="AE50" s="78">
        <f>+GETPIVOTDATA(" Tot # Undes. New",'NEW Counts Pivot Table'!$A$3,"State","GA","Category2","Two-Year")</f>
        <v>96</v>
      </c>
      <c r="AF50" s="76">
        <f>+GETPIVOTDATA(" Tot # Undes. New",'NEW Counts Pivot Table'!$A$3,"State","GA","Category",12,"Category2","Technical Institutes")</f>
        <v>0</v>
      </c>
      <c r="AG50" s="77">
        <f>+GETPIVOTDATA(" Tot # Undes. New",'NEW Counts Pivot Table'!$A$3,"State","GA","Category",13,"Category2","Technical Institutes")</f>
        <v>0</v>
      </c>
      <c r="AH50" s="76">
        <f>+GETPIVOTDATA(" Tot # Undes. New",'NEW Counts Pivot Table'!$A$3,"State","GA","Category2","Technical Institutes")</f>
        <v>0</v>
      </c>
    </row>
    <row r="51" spans="1:36" x14ac:dyDescent="0.2">
      <c r="A51" s="10"/>
      <c r="B51" s="18" t="s">
        <v>82</v>
      </c>
      <c r="C51" s="12">
        <f t="shared" si="20"/>
        <v>0</v>
      </c>
      <c r="D51" s="14">
        <f t="shared" si="20"/>
        <v>0</v>
      </c>
      <c r="E51" s="103">
        <f t="shared" si="20"/>
        <v>0</v>
      </c>
      <c r="F51" s="14">
        <f t="shared" si="20"/>
        <v>0</v>
      </c>
      <c r="G51" s="103">
        <f t="shared" si="20"/>
        <v>0</v>
      </c>
      <c r="H51" s="40">
        <f t="shared" si="20"/>
        <v>0</v>
      </c>
      <c r="I51" s="102">
        <f t="shared" si="20"/>
        <v>0</v>
      </c>
      <c r="J51" s="12">
        <f t="shared" si="20"/>
        <v>0</v>
      </c>
      <c r="K51" s="14">
        <f t="shared" si="20"/>
        <v>1</v>
      </c>
      <c r="L51" s="14">
        <f t="shared" si="20"/>
        <v>1</v>
      </c>
      <c r="M51" s="14">
        <f t="shared" si="21"/>
        <v>1</v>
      </c>
      <c r="N51" s="12">
        <f t="shared" si="22"/>
        <v>0</v>
      </c>
      <c r="O51" s="12">
        <f t="shared" si="22"/>
        <v>1</v>
      </c>
      <c r="P51" s="14">
        <f t="shared" si="22"/>
        <v>0</v>
      </c>
      <c r="Q51" s="12">
        <f t="shared" si="23"/>
        <v>1</v>
      </c>
      <c r="R51" s="56"/>
      <c r="S51" s="76">
        <f>+GETPIVOTDATA(" Tot # Single Rnk New",'NEW Counts Pivot Table'!$A$3,"State","GA","Category",1,"Category2","Four-Year")</f>
        <v>0</v>
      </c>
      <c r="T51" s="77">
        <f>+GETPIVOTDATA(" Tot # Single Rnk New",'NEW Counts Pivot Table'!$A$3,"State","GA","Category",2,"Category2","Four-Year")</f>
        <v>0</v>
      </c>
      <c r="U51" s="77">
        <f>+GETPIVOTDATA(" Tot # Single Rnk New",'NEW Counts Pivot Table'!$A$3,"State","GA","Category",3,"Category2","Four-Year")</f>
        <v>0</v>
      </c>
      <c r="V51" s="77">
        <f>+GETPIVOTDATA(" Tot # Single Rnk New",'NEW Counts Pivot Table'!$A$3,"State","GA","Category",4,"Category2","Four-Year")</f>
        <v>0</v>
      </c>
      <c r="W51" s="77">
        <f>+GETPIVOTDATA(" Tot # Single Rnk New",'NEW Counts Pivot Table'!$A$3,"State","GA","Category",5,"Category2","Four-Year")</f>
        <v>0</v>
      </c>
      <c r="X51" s="77">
        <f>+GETPIVOTDATA(" Tot # Single Rnk New",'NEW Counts Pivot Table'!$A$3,"State","GA","Category",6,"Category2","Four-Year")</f>
        <v>0</v>
      </c>
      <c r="Y51" s="78">
        <f>+GETPIVOTDATA(" Tot # Single Rnk New",'NEW Counts Pivot Table'!$A$3,"State","GA","Category2","Four-Year")</f>
        <v>0</v>
      </c>
      <c r="Z51" s="76">
        <f>+GETPIVOTDATA(" Tot # Single Rnk New",'NEW Counts Pivot Table'!$A$3,"State","AR","Category",7,"Category2","Two-Year")</f>
        <v>0</v>
      </c>
      <c r="AA51" s="77">
        <f>+GETPIVOTDATA(" Tot # Single Rnk New",'NEW Counts Pivot Table'!$A$3,"State","AR","Category",8,"Category2","Two-Year")</f>
        <v>327</v>
      </c>
      <c r="AB51" s="77">
        <f>+GETPIVOTDATA(" Tot # Single Rnk New",'NEW Counts Pivot Table'!$A$3,"State","DE","Category",9,"Category2","Two-Year")</f>
        <v>122</v>
      </c>
      <c r="AC51" s="77">
        <f>+GETPIVOTDATA(" Tot # Single Rnk New",'NEW Counts Pivot Table'!$A$3,"State","DE","Category",10,"Category2","Two-Year")</f>
        <v>85</v>
      </c>
      <c r="AD51" s="77">
        <f>+GETPIVOTDATA(" Tot # Single Rnk New",'NEW Counts Pivot Table'!$A$3,"State","GA","Category",11,"Category2","Two-Year")</f>
        <v>0</v>
      </c>
      <c r="AE51" s="78">
        <f>+GETPIVOTDATA(" Tot # Single Rnk New",'NEW Counts Pivot Table'!$A$3,"State","GA","Category2","Two-Year")</f>
        <v>0</v>
      </c>
      <c r="AF51" s="76">
        <f>+GETPIVOTDATA(" Tot # Single Rnk New",'NEW Counts Pivot Table'!$A$3,"State","GA","Category",12,"Category2","Technical Institutes")</f>
        <v>2288</v>
      </c>
      <c r="AG51" s="77">
        <f>+GETPIVOTDATA(" Tot # Single Rnk New",'NEW Counts Pivot Table'!$A$3,"State","GA","Category",13,"Category2","Technical Institutes")</f>
        <v>0</v>
      </c>
      <c r="AH51" s="76">
        <f>+GETPIVOTDATA(" Tot # Single Rnk New",'NEW Counts Pivot Table'!$A$3,"State","GA","Category2","Technical Institutes")</f>
        <v>2288</v>
      </c>
    </row>
    <row r="52" spans="1:36" s="33" customFormat="1" x14ac:dyDescent="0.25">
      <c r="A52" s="109"/>
      <c r="B52" s="110" t="s">
        <v>84</v>
      </c>
      <c r="C52" s="13">
        <f t="shared" si="20"/>
        <v>1</v>
      </c>
      <c r="D52" s="11">
        <f t="shared" si="20"/>
        <v>1</v>
      </c>
      <c r="E52" s="11">
        <f t="shared" si="20"/>
        <v>1</v>
      </c>
      <c r="F52" s="11">
        <f t="shared" si="20"/>
        <v>1</v>
      </c>
      <c r="G52" s="11">
        <f t="shared" si="20"/>
        <v>1</v>
      </c>
      <c r="H52" s="41">
        <f t="shared" si="20"/>
        <v>1</v>
      </c>
      <c r="I52" s="13">
        <f t="shared" si="20"/>
        <v>1</v>
      </c>
      <c r="J52" s="13">
        <f t="shared" si="20"/>
        <v>0</v>
      </c>
      <c r="K52" s="11">
        <f t="shared" si="20"/>
        <v>1</v>
      </c>
      <c r="L52" s="11">
        <f t="shared" si="20"/>
        <v>1</v>
      </c>
      <c r="M52" s="11">
        <f t="shared" si="21"/>
        <v>1</v>
      </c>
      <c r="N52" s="13">
        <f t="shared" si="22"/>
        <v>1</v>
      </c>
      <c r="O52" s="13">
        <f t="shared" si="22"/>
        <v>1</v>
      </c>
      <c r="P52" s="11">
        <f t="shared" si="22"/>
        <v>0</v>
      </c>
      <c r="Q52" s="13">
        <f t="shared" si="23"/>
        <v>1</v>
      </c>
      <c r="R52" s="57"/>
      <c r="S52" s="79">
        <f>+GETPIVOTDATA(" All Ranks # New",'NEW Counts Pivot Table'!$A$3,"State","GA","Category",1,"Category2","Four-Year")</f>
        <v>2884</v>
      </c>
      <c r="T52" s="80">
        <f>+GETPIVOTDATA(" All Ranks # New",'NEW Counts Pivot Table'!$A$3,"State","GA","Category",2,"Category2","Four-Year")</f>
        <v>1028</v>
      </c>
      <c r="U52" s="80">
        <f>+GETPIVOTDATA(" All Ranks # New",'NEW Counts Pivot Table'!$A$3,"State","GA","Category",3,"Category2","Four-Year")</f>
        <v>1702</v>
      </c>
      <c r="V52" s="80">
        <f>+GETPIVOTDATA(" All Ranks # New",'NEW Counts Pivot Table'!$A$3,"State","GA","Category",4,"Category2","Four-Year")</f>
        <v>1721</v>
      </c>
      <c r="W52" s="80">
        <f>+GETPIVOTDATA(" All Ranks # New",'NEW Counts Pivot Table'!$A$3,"State","GA","Category",5,"Category2","Four-Year")</f>
        <v>1124</v>
      </c>
      <c r="X52" s="80">
        <f>+GETPIVOTDATA(" All Ranks # New",'NEW Counts Pivot Table'!$A$3,"State","GA","Category",6,"Category2","Four-Year")</f>
        <v>471</v>
      </c>
      <c r="Y52" s="81">
        <f>+GETPIVOTDATA(" All Ranks # New",'NEW Counts Pivot Table'!$A$3,"State","GA","Category2","Four-Year")</f>
        <v>8930</v>
      </c>
      <c r="Z52" s="79">
        <f>+GETPIVOTDATA(" All Ranks # New",'NEW Counts Pivot Table'!$A$3,"State","AR","Category",7,"Category2","Two-Year")</f>
        <v>0</v>
      </c>
      <c r="AA52" s="80">
        <f>+GETPIVOTDATA(" All Ranks # New",'NEW Counts Pivot Table'!$A$3,"State","AR","Category",8,"Category2","Two-Year")</f>
        <v>327</v>
      </c>
      <c r="AB52" s="80">
        <f>+GETPIVOTDATA(" All Ranks # New",'NEW Counts Pivot Table'!$A$3,"State","DE","Category",9,"Category2","Two-Year")</f>
        <v>122</v>
      </c>
      <c r="AC52" s="80">
        <f>+GETPIVOTDATA(" All Ranks # New",'NEW Counts Pivot Table'!$A$3,"State","DE","Category",10,"Category2","Two-Year")</f>
        <v>85</v>
      </c>
      <c r="AD52" s="80">
        <f>+GETPIVOTDATA(" All Ranks # New",'NEW Counts Pivot Table'!$A$3,"State","GA","Category",11,"Category2","Two-Year")</f>
        <v>0</v>
      </c>
      <c r="AE52" s="81">
        <f>+GETPIVOTDATA(" All Ranks # New",'NEW Counts Pivot Table'!$A$3,"State","GA","Category2","Two-Year")</f>
        <v>1834</v>
      </c>
      <c r="AF52" s="79">
        <f>+GETPIVOTDATA(" All Ranks # New",'NEW Counts Pivot Table'!$A$3,"State","GA","Category",12,"Category2","Technical Institutes")</f>
        <v>2288</v>
      </c>
      <c r="AG52" s="80">
        <f>+GETPIVOTDATA(" All Ranks # New",'NEW Counts Pivot Table'!$A$3,"State","GA","Category",13,"Category2","Technical Institutes")</f>
        <v>0</v>
      </c>
      <c r="AH52" s="79">
        <f>+GETPIVOTDATA(" All Ranks # New",'NEW Counts Pivot Table'!$A$3,"State","GA","Category2","Technical Institutes")</f>
        <v>2288</v>
      </c>
      <c r="AI52" s="82"/>
      <c r="AJ52" s="82"/>
    </row>
    <row r="53" spans="1:36" x14ac:dyDescent="0.2">
      <c r="A53" s="18" t="s">
        <v>115</v>
      </c>
      <c r="B53" s="15" t="s">
        <v>99</v>
      </c>
      <c r="C53" s="16">
        <f t="shared" ref="C53:L59" si="24">IF(S$59&gt;0,(S53/S$59),0)</f>
        <v>0.34232640424590888</v>
      </c>
      <c r="D53" s="17">
        <f t="shared" si="24"/>
        <v>0</v>
      </c>
      <c r="E53" s="17">
        <f t="shared" si="24"/>
        <v>0.20477047704770476</v>
      </c>
      <c r="F53" s="17">
        <f t="shared" si="24"/>
        <v>0.16468842729970326</v>
      </c>
      <c r="G53" s="17">
        <f t="shared" si="24"/>
        <v>0</v>
      </c>
      <c r="H53" s="39">
        <f t="shared" si="24"/>
        <v>0</v>
      </c>
      <c r="I53" s="16">
        <f t="shared" si="24"/>
        <v>0.259840992825286</v>
      </c>
      <c r="J53" s="16">
        <f t="shared" si="24"/>
        <v>0</v>
      </c>
      <c r="K53" s="17">
        <f t="shared" si="24"/>
        <v>0</v>
      </c>
      <c r="L53" s="17">
        <f t="shared" si="24"/>
        <v>0</v>
      </c>
      <c r="M53" s="17">
        <f t="shared" ref="M53:M59" si="25">IF(AC$59&gt;0,(AC53/AC$59),0)</f>
        <v>0</v>
      </c>
      <c r="N53" s="16">
        <f t="shared" ref="N53:P59" si="26">IF(AE$59&gt;0,(AE53/AE$59),0)</f>
        <v>0.33407202216066484</v>
      </c>
      <c r="O53" s="16">
        <f t="shared" si="26"/>
        <v>7.2289156626506021E-2</v>
      </c>
      <c r="P53" s="17">
        <f t="shared" si="26"/>
        <v>0</v>
      </c>
      <c r="Q53" s="16">
        <f t="shared" ref="Q53:Q59" si="27">IF(AH$59&gt;0,(AH53/AH$59),0)</f>
        <v>7.2289156626506021E-2</v>
      </c>
      <c r="R53" s="83"/>
      <c r="S53" s="73">
        <f>+GETPIVOTDATA(" Total # Prof New",'NEW Counts Pivot Table'!$A$3,"State","KY","Category",1,"Category2","Four-Year")</f>
        <v>774</v>
      </c>
      <c r="T53" s="74">
        <f>+GETPIVOTDATA(" Total # Prof New",'NEW Counts Pivot Table'!$A$3,"State","KY","Category",2,"Category2","Four-Year")</f>
        <v>0</v>
      </c>
      <c r="U53" s="74">
        <f>+GETPIVOTDATA(" Total # Prof New",'NEW Counts Pivot Table'!$A$3,"State","KY","Category",3,"Category2","Four-Year")</f>
        <v>455</v>
      </c>
      <c r="V53" s="74">
        <f>+GETPIVOTDATA(" Total # Prof New",'NEW Counts Pivot Table'!$A$3,"State","KY","Category",4,"Category2","Four-Year")</f>
        <v>111</v>
      </c>
      <c r="W53" s="74">
        <f>+GETPIVOTDATA(" Total # Prof New",'NEW Counts Pivot Table'!$A$3,"State","KY","Category",5,"Category2","Four-Year")</f>
        <v>0</v>
      </c>
      <c r="X53" s="74">
        <f>+GETPIVOTDATA(" Total # Prof New",'NEW Counts Pivot Table'!$A$3,"State","KY","Category",6,"Category2","Four-Year")</f>
        <v>0</v>
      </c>
      <c r="Y53" s="75">
        <f>+GETPIVOTDATA(" Total # Prof New",'NEW Counts Pivot Table'!$A$3,"State","KY","Category2","Four-Year")</f>
        <v>1340</v>
      </c>
      <c r="Z53" s="73">
        <f>+GETPIVOTDATA(" Total # Prof New",'NEW Counts Pivot Table'!$A$3,"State","AR","Category",7,"Category2","Two-Year")</f>
        <v>0</v>
      </c>
      <c r="AA53" s="74">
        <f>+GETPIVOTDATA(" Total # Prof New",'NEW Counts Pivot Table'!$A$3,"State","AR","Category",8,"Category2","Two-Year")</f>
        <v>0</v>
      </c>
      <c r="AB53" s="74">
        <f>+GETPIVOTDATA(" Total # Prof New",'NEW Counts Pivot Table'!$A$3,"State","DE","Category",9,"Category2","Two-Year")</f>
        <v>0</v>
      </c>
      <c r="AC53" s="74">
        <f>+GETPIVOTDATA(" Total # Prof New",'NEW Counts Pivot Table'!$A$3,"State","DE","Category",10,"Category2","Two-Year")</f>
        <v>0</v>
      </c>
      <c r="AD53" s="74">
        <f>+GETPIVOTDATA(" Total # Prof New",'NEW Counts Pivot Table'!$A$3,"State","KY","Category",11,"Category2","Two-Year")</f>
        <v>0</v>
      </c>
      <c r="AE53" s="75">
        <f>+GETPIVOTDATA(" Total # Prof New",'NEW Counts Pivot Table'!$A$3,"State","KY","Category2","Two-Year")</f>
        <v>603</v>
      </c>
      <c r="AF53" s="73">
        <f>+GETPIVOTDATA(" Total # Prof New",'NEW Counts Pivot Table'!$A$3,"State","KY","Category",12,"Category2","Technical Institutes")</f>
        <v>12</v>
      </c>
      <c r="AG53" s="74">
        <f>+GETPIVOTDATA(" Total # Prof New",'NEW Counts Pivot Table'!$A$3,"State","KY","Category",13,"Category2","Technical Institutes")</f>
        <v>0</v>
      </c>
      <c r="AH53" s="73">
        <f>+GETPIVOTDATA(" Total # Prof New",'NEW Counts Pivot Table'!$A$3,"State","KY","Category2","Technical Institutes")</f>
        <v>12</v>
      </c>
    </row>
    <row r="54" spans="1:36" x14ac:dyDescent="0.2">
      <c r="A54" s="10"/>
      <c r="B54" s="18" t="s">
        <v>100</v>
      </c>
      <c r="C54" s="12">
        <f t="shared" si="24"/>
        <v>0.26934984520123839</v>
      </c>
      <c r="D54" s="14">
        <f t="shared" si="24"/>
        <v>0</v>
      </c>
      <c r="E54" s="14">
        <f t="shared" si="24"/>
        <v>0.27362736273627364</v>
      </c>
      <c r="F54" s="14">
        <f t="shared" si="24"/>
        <v>0.30415430267062316</v>
      </c>
      <c r="G54" s="14">
        <f t="shared" si="24"/>
        <v>0</v>
      </c>
      <c r="H54" s="40">
        <f t="shared" si="24"/>
        <v>0</v>
      </c>
      <c r="I54" s="12">
        <f t="shared" si="24"/>
        <v>0.27574171029668409</v>
      </c>
      <c r="J54" s="12">
        <f t="shared" si="24"/>
        <v>0</v>
      </c>
      <c r="K54" s="14">
        <f t="shared" si="24"/>
        <v>0</v>
      </c>
      <c r="L54" s="14">
        <f t="shared" si="24"/>
        <v>0</v>
      </c>
      <c r="M54" s="14">
        <f t="shared" si="25"/>
        <v>0</v>
      </c>
      <c r="N54" s="12">
        <f t="shared" si="26"/>
        <v>0.32354570637119112</v>
      </c>
      <c r="O54" s="12">
        <f t="shared" si="26"/>
        <v>0.25301204819277107</v>
      </c>
      <c r="P54" s="14">
        <f t="shared" si="26"/>
        <v>0</v>
      </c>
      <c r="Q54" s="12">
        <f t="shared" si="27"/>
        <v>0.25301204819277107</v>
      </c>
      <c r="R54" s="56"/>
      <c r="S54" s="76">
        <f>+GETPIVOTDATA(" Tot # Asc. Prof New",'NEW Counts Pivot Table'!$A$3,"State","KY","Category",1,"Category2","Four-Year")</f>
        <v>609</v>
      </c>
      <c r="T54" s="77">
        <f>+GETPIVOTDATA(" Tot # Asc. Prof New",'NEW Counts Pivot Table'!$A$3,"State","KY","Category",2,"Category2","Four-Year")</f>
        <v>0</v>
      </c>
      <c r="U54" s="77">
        <f>+GETPIVOTDATA(" Tot # Asc. Prof New",'NEW Counts Pivot Table'!$A$3,"State","KY","Category",3,"Category2","Four-Year")</f>
        <v>608</v>
      </c>
      <c r="V54" s="77">
        <f>+GETPIVOTDATA(" Tot # Asc. Prof New",'NEW Counts Pivot Table'!$A$3,"State","KY","Category",4,"Category2","Four-Year")</f>
        <v>205</v>
      </c>
      <c r="W54" s="77">
        <f>+GETPIVOTDATA(" Tot # Asc. Prof New",'NEW Counts Pivot Table'!$A$3,"State","KY","Category",5,"Category2","Four-Year")</f>
        <v>0</v>
      </c>
      <c r="X54" s="77">
        <f>+GETPIVOTDATA(" Tot # Asc. Prof New",'NEW Counts Pivot Table'!$A$3,"State","KY","Category",6,"Category2","Four-Year")</f>
        <v>0</v>
      </c>
      <c r="Y54" s="78">
        <f>+GETPIVOTDATA(" Tot # Asc. Prof New",'NEW Counts Pivot Table'!$A$3,"State","KY","Category2","Four-Year")</f>
        <v>1422</v>
      </c>
      <c r="Z54" s="76">
        <f>+GETPIVOTDATA(" Tot # Asc. Prof New",'NEW Counts Pivot Table'!$A$3,"State","AR","Category",7,"Category2","Two-Year")</f>
        <v>0</v>
      </c>
      <c r="AA54" s="77">
        <f>+GETPIVOTDATA(" Tot # Asc. Prof New",'NEW Counts Pivot Table'!$A$3,"State","AR","Category",8,"Category2","Two-Year")</f>
        <v>0</v>
      </c>
      <c r="AB54" s="77">
        <f>+GETPIVOTDATA(" Tot # Asc. Prof New",'NEW Counts Pivot Table'!$A$3,"State","DE","Category",9,"Category2","Two-Year")</f>
        <v>0</v>
      </c>
      <c r="AC54" s="77">
        <f>+GETPIVOTDATA(" Tot # Asc. Prof New",'NEW Counts Pivot Table'!$A$3,"State","DE","Category",10,"Category2","Two-Year")</f>
        <v>0</v>
      </c>
      <c r="AD54" s="77">
        <f>+GETPIVOTDATA(" Tot # Asc. Prof New",'NEW Counts Pivot Table'!$A$3,"State","KY","Category",11,"Category2","Two-Year")</f>
        <v>0</v>
      </c>
      <c r="AE54" s="78">
        <f>+GETPIVOTDATA(" Tot # Asc. Prof New",'NEW Counts Pivot Table'!$A$3,"State","KY","Category2","Two-Year")</f>
        <v>584</v>
      </c>
      <c r="AF54" s="76">
        <f>+GETPIVOTDATA(" Tot # Asc. Prof New",'NEW Counts Pivot Table'!$A$3,"State","KY","Category",12,"Category2","Technical Institutes")</f>
        <v>42</v>
      </c>
      <c r="AG54" s="77">
        <f>+GETPIVOTDATA(" Tot # Asc. Prof New",'NEW Counts Pivot Table'!$A$3,"State","KY","Category",13,"Category2","Technical Institutes")</f>
        <v>0</v>
      </c>
      <c r="AH54" s="76">
        <f>+GETPIVOTDATA(" Tot # Asc. Prof New",'NEW Counts Pivot Table'!$A$3,"State","KY","Category2","Technical Institutes")</f>
        <v>42</v>
      </c>
    </row>
    <row r="55" spans="1:36" x14ac:dyDescent="0.2">
      <c r="A55" s="10"/>
      <c r="B55" s="18" t="s">
        <v>101</v>
      </c>
      <c r="C55" s="12">
        <f t="shared" si="24"/>
        <v>0.26315789473684209</v>
      </c>
      <c r="D55" s="14">
        <f t="shared" si="24"/>
        <v>0</v>
      </c>
      <c r="E55" s="14">
        <f t="shared" si="24"/>
        <v>0.31638163816381637</v>
      </c>
      <c r="F55" s="14">
        <f t="shared" si="24"/>
        <v>0.26409495548961426</v>
      </c>
      <c r="G55" s="14">
        <f t="shared" si="24"/>
        <v>0</v>
      </c>
      <c r="H55" s="40">
        <f t="shared" si="24"/>
        <v>0</v>
      </c>
      <c r="I55" s="12">
        <f t="shared" si="24"/>
        <v>0.28621291448516578</v>
      </c>
      <c r="J55" s="12">
        <f t="shared" si="24"/>
        <v>0</v>
      </c>
      <c r="K55" s="14">
        <f t="shared" si="24"/>
        <v>0</v>
      </c>
      <c r="L55" s="14">
        <f t="shared" si="24"/>
        <v>0</v>
      </c>
      <c r="M55" s="14">
        <f t="shared" si="25"/>
        <v>0</v>
      </c>
      <c r="N55" s="12">
        <f t="shared" si="26"/>
        <v>0.12631578947368421</v>
      </c>
      <c r="O55" s="12">
        <f t="shared" si="26"/>
        <v>0.24096385542168675</v>
      </c>
      <c r="P55" s="14">
        <f t="shared" si="26"/>
        <v>0</v>
      </c>
      <c r="Q55" s="12">
        <f t="shared" si="27"/>
        <v>0.24096385542168675</v>
      </c>
      <c r="R55" s="56"/>
      <c r="S55" s="76">
        <f>+GETPIVOTDATA(" Tot # Ast. Prof New",'NEW Counts Pivot Table'!$A$3,"State","KY","Category",1,"Category2","Four-Year")</f>
        <v>595</v>
      </c>
      <c r="T55" s="77">
        <f>+GETPIVOTDATA(" Tot # Ast. Prof New",'NEW Counts Pivot Table'!$A$3,"State","KY","Category",2,"Category2","Four-Year")</f>
        <v>0</v>
      </c>
      <c r="U55" s="77">
        <f>+GETPIVOTDATA(" Tot # Ast. Prof New",'NEW Counts Pivot Table'!$A$3,"State","KY","Category",3,"Category2","Four-Year")</f>
        <v>703</v>
      </c>
      <c r="V55" s="77">
        <f>+GETPIVOTDATA(" Tot # Ast. Prof New",'NEW Counts Pivot Table'!$A$3,"State","KY","Category",4,"Category2","Four-Year")</f>
        <v>178</v>
      </c>
      <c r="W55" s="77">
        <f>+GETPIVOTDATA(" Tot # Ast. Prof New",'NEW Counts Pivot Table'!$A$3,"State","KY","Category",5,"Category2","Four-Year")</f>
        <v>0</v>
      </c>
      <c r="X55" s="77">
        <f>+GETPIVOTDATA(" Tot # Ast. Prof New",'NEW Counts Pivot Table'!$A$3,"State","KY","Category",6,"Category2","Four-Year")</f>
        <v>0</v>
      </c>
      <c r="Y55" s="78">
        <f>+GETPIVOTDATA(" Tot # Ast. Prof New",'NEW Counts Pivot Table'!$A$3,"State","KY","Category2","Four-Year")</f>
        <v>1476</v>
      </c>
      <c r="Z55" s="76">
        <f>+GETPIVOTDATA(" Tot # Ast. Prof New",'NEW Counts Pivot Table'!$A$3,"State","AR","Category",7,"Category2","Two-Year")</f>
        <v>0</v>
      </c>
      <c r="AA55" s="77">
        <f>+GETPIVOTDATA(" Tot # Ast. Prof New",'NEW Counts Pivot Table'!$A$3,"State","AR","Category",8,"Category2","Two-Year")</f>
        <v>0</v>
      </c>
      <c r="AB55" s="77">
        <f>+GETPIVOTDATA(" Tot # Ast. Prof New",'NEW Counts Pivot Table'!$A$3,"State","DE","Category",9,"Category2","Two-Year")</f>
        <v>0</v>
      </c>
      <c r="AC55" s="77">
        <f>+GETPIVOTDATA(" Tot # Ast. Prof New",'NEW Counts Pivot Table'!$A$3,"State","DE","Category",10,"Category2","Two-Year")</f>
        <v>0</v>
      </c>
      <c r="AD55" s="77">
        <f>+GETPIVOTDATA(" Tot # Ast. Prof New",'NEW Counts Pivot Table'!$A$3,"State","KY","Category",11,"Category2","Two-Year")</f>
        <v>0</v>
      </c>
      <c r="AE55" s="78">
        <f>+GETPIVOTDATA(" Tot # Ast. Prof New",'NEW Counts Pivot Table'!$A$3,"State","KY","Category2","Two-Year")</f>
        <v>228</v>
      </c>
      <c r="AF55" s="76">
        <f>+GETPIVOTDATA(" Tot # Ast. Prof New",'NEW Counts Pivot Table'!$A$3,"State","KY","Category",12,"Category2","Technical Institutes")</f>
        <v>40</v>
      </c>
      <c r="AG55" s="77">
        <f>+GETPIVOTDATA(" Tot # Ast. Prof New",'NEW Counts Pivot Table'!$A$3,"State","KY","Category",13,"Category2","Technical Institutes")</f>
        <v>0</v>
      </c>
      <c r="AH55" s="76">
        <f>+GETPIVOTDATA(" Tot # Ast. Prof New",'NEW Counts Pivot Table'!$A$3,"State","KY","Category2","Technical Institutes")</f>
        <v>40</v>
      </c>
    </row>
    <row r="56" spans="1:36" x14ac:dyDescent="0.2">
      <c r="A56" s="10"/>
      <c r="B56" s="18" t="s">
        <v>102</v>
      </c>
      <c r="C56" s="154">
        <f t="shared" si="24"/>
        <v>4.5112781954887216E-2</v>
      </c>
      <c r="D56" s="14">
        <f t="shared" si="24"/>
        <v>0</v>
      </c>
      <c r="E56" s="14">
        <f t="shared" si="24"/>
        <v>0.13411341134113411</v>
      </c>
      <c r="F56" s="14">
        <f t="shared" si="24"/>
        <v>2.5222551928783383E-2</v>
      </c>
      <c r="G56" s="14">
        <f t="shared" si="24"/>
        <v>0</v>
      </c>
      <c r="H56" s="40">
        <f t="shared" si="24"/>
        <v>0</v>
      </c>
      <c r="I56" s="12">
        <f t="shared" si="24"/>
        <v>8.086096567771961E-2</v>
      </c>
      <c r="J56" s="12">
        <f t="shared" si="24"/>
        <v>0</v>
      </c>
      <c r="K56" s="14">
        <f t="shared" si="24"/>
        <v>0</v>
      </c>
      <c r="L56" s="14">
        <f t="shared" si="24"/>
        <v>0</v>
      </c>
      <c r="M56" s="14">
        <f t="shared" si="25"/>
        <v>0</v>
      </c>
      <c r="N56" s="12">
        <f t="shared" si="26"/>
        <v>0.21606648199445982</v>
      </c>
      <c r="O56" s="12">
        <f t="shared" si="26"/>
        <v>0.43373493975903615</v>
      </c>
      <c r="P56" s="14">
        <f t="shared" si="26"/>
        <v>0</v>
      </c>
      <c r="Q56" s="12">
        <f t="shared" si="27"/>
        <v>0.43373493975903615</v>
      </c>
      <c r="R56" s="56"/>
      <c r="S56" s="76">
        <f>+GETPIVOTDATA(" Tot # Instr. New",'NEW Counts Pivot Table'!$A$3,"State","KY","Category",1,"Category2","Four-Year")</f>
        <v>102</v>
      </c>
      <c r="T56" s="77">
        <f>+GETPIVOTDATA(" Tot # Instr. New",'NEW Counts Pivot Table'!$A$3,"State","KY","Category",2,"Category2","Four-Year")</f>
        <v>0</v>
      </c>
      <c r="U56" s="77">
        <f>+GETPIVOTDATA(" Tot # Instr. New",'NEW Counts Pivot Table'!$A$3,"State","KY","Category",3,"Category2","Four-Year")</f>
        <v>298</v>
      </c>
      <c r="V56" s="77">
        <f>+GETPIVOTDATA(" Tot # Instr. New",'NEW Counts Pivot Table'!$A$3,"State","KY","Category",4,"Category2","Four-Year")</f>
        <v>17</v>
      </c>
      <c r="W56" s="77">
        <f>+GETPIVOTDATA(" Tot # Instr. New",'NEW Counts Pivot Table'!$A$3,"State","KY","Category",5,"Category2","Four-Year")</f>
        <v>0</v>
      </c>
      <c r="X56" s="77">
        <f>+GETPIVOTDATA(" Tot # Instr. New",'NEW Counts Pivot Table'!$A$3,"State","KY","Category",6,"Category2","Four-Year")</f>
        <v>0</v>
      </c>
      <c r="Y56" s="78">
        <f>+GETPIVOTDATA(" Tot # Instr. New",'NEW Counts Pivot Table'!$A$3,"State","KY","Category2","Four-Year")</f>
        <v>417</v>
      </c>
      <c r="Z56" s="76">
        <f>+GETPIVOTDATA(" Tot # Instr. New",'NEW Counts Pivot Table'!$A$3,"State","AR","Category",7,"Category2","Two-Year")</f>
        <v>0</v>
      </c>
      <c r="AA56" s="77">
        <f>+GETPIVOTDATA(" Tot # Instr. New",'NEW Counts Pivot Table'!$A$3,"State","AR","Category",8,"Category2","Two-Year")</f>
        <v>0</v>
      </c>
      <c r="AB56" s="77">
        <f>+GETPIVOTDATA(" Tot # Instr. New",'NEW Counts Pivot Table'!$A$3,"State","DE","Category",9,"Category2","Two-Year")</f>
        <v>0</v>
      </c>
      <c r="AC56" s="77">
        <f>+GETPIVOTDATA(" Tot # Instr. New",'NEW Counts Pivot Table'!$A$3,"State","DE","Category",10,"Category2","Two-Year")</f>
        <v>0</v>
      </c>
      <c r="AD56" s="77">
        <f>+GETPIVOTDATA(" Tot # Instr. New",'NEW Counts Pivot Table'!$A$3,"State","KY","Category",11,"Category2","Two-Year")</f>
        <v>0</v>
      </c>
      <c r="AE56" s="78">
        <f>+GETPIVOTDATA(" Tot # Instr. New",'NEW Counts Pivot Table'!$A$3,"State","KY","Category2","Two-Year")</f>
        <v>390</v>
      </c>
      <c r="AF56" s="76">
        <f>+GETPIVOTDATA(" Tot # Instr. New",'NEW Counts Pivot Table'!$A$3,"State","KY","Category",12,"Category2","Technical Institutes")</f>
        <v>72</v>
      </c>
      <c r="AG56" s="77">
        <f>+GETPIVOTDATA(" Tot # Instr. New",'NEW Counts Pivot Table'!$A$3,"State","KY","Category",13,"Category2","Technical Institutes")</f>
        <v>0</v>
      </c>
      <c r="AH56" s="76">
        <f>+GETPIVOTDATA(" Tot # Instr. New",'NEW Counts Pivot Table'!$A$3,"State","KY","Category2","Technical Institutes")</f>
        <v>72</v>
      </c>
    </row>
    <row r="57" spans="1:36" x14ac:dyDescent="0.2">
      <c r="A57" s="10"/>
      <c r="B57" s="18" t="s">
        <v>83</v>
      </c>
      <c r="C57" s="12">
        <f t="shared" si="24"/>
        <v>8.0053073861123397E-2</v>
      </c>
      <c r="D57" s="153">
        <f t="shared" si="24"/>
        <v>0</v>
      </c>
      <c r="E57" s="14">
        <f t="shared" si="24"/>
        <v>7.1107110711071106E-2</v>
      </c>
      <c r="F57" s="14">
        <f t="shared" si="24"/>
        <v>0.24183976261127596</v>
      </c>
      <c r="G57" s="14">
        <f t="shared" si="24"/>
        <v>0</v>
      </c>
      <c r="H57" s="40">
        <f t="shared" si="24"/>
        <v>0</v>
      </c>
      <c r="I57" s="12">
        <f t="shared" si="24"/>
        <v>9.734341671514446E-2</v>
      </c>
      <c r="J57" s="12">
        <f t="shared" si="24"/>
        <v>0</v>
      </c>
      <c r="K57" s="14">
        <f t="shared" si="24"/>
        <v>0</v>
      </c>
      <c r="L57" s="14">
        <f t="shared" si="24"/>
        <v>0</v>
      </c>
      <c r="M57" s="14">
        <f t="shared" si="25"/>
        <v>0</v>
      </c>
      <c r="N57" s="12">
        <f t="shared" si="26"/>
        <v>0</v>
      </c>
      <c r="O57" s="12">
        <f t="shared" si="26"/>
        <v>0</v>
      </c>
      <c r="P57" s="14">
        <f t="shared" si="26"/>
        <v>0</v>
      </c>
      <c r="Q57" s="12">
        <f t="shared" si="27"/>
        <v>0</v>
      </c>
      <c r="R57" s="56"/>
      <c r="S57" s="76">
        <f>++GETPIVOTDATA(" Tot # Undes. New",'NEW Counts Pivot Table'!$A$3,"State","KY","Category",1,"Category2","Four-Year")</f>
        <v>181</v>
      </c>
      <c r="T57" s="77">
        <f>+GETPIVOTDATA(" Tot # Undes. New",'NEW Counts Pivot Table'!$A$3,"State","KY","Category",2,"Category2","Four-Year")</f>
        <v>0</v>
      </c>
      <c r="U57" s="77">
        <f>+GETPIVOTDATA(" Tot # Undes. New",'NEW Counts Pivot Table'!$A$3,"State","KY","Category",3,"Category2","Four-Year")</f>
        <v>158</v>
      </c>
      <c r="V57" s="77">
        <f>+GETPIVOTDATA(" Tot # Undes. New",'NEW Counts Pivot Table'!$A$3,"State","KY","Category",4,"Category2","Four-Year")</f>
        <v>163</v>
      </c>
      <c r="W57" s="77">
        <f>+GETPIVOTDATA(" Tot # Undes. New",'NEW Counts Pivot Table'!$A$3,"State","KY","Category",5,"Category2","Four-Year")</f>
        <v>0</v>
      </c>
      <c r="X57" s="77">
        <f>+GETPIVOTDATA(" Tot # Undes. New",'NEW Counts Pivot Table'!$A$3,"State","KY","Category",6,"Category2","Four-Year")</f>
        <v>0</v>
      </c>
      <c r="Y57" s="78">
        <f>+GETPIVOTDATA(" Tot # Undes. New",'NEW Counts Pivot Table'!$A$3,"State","KY","Category2","Four-Year")</f>
        <v>502</v>
      </c>
      <c r="Z57" s="76">
        <f>+GETPIVOTDATA(" Tot # Undes. New",'NEW Counts Pivot Table'!$A$3,"State","AR","Category",7,"Category2","Two-Year")</f>
        <v>0</v>
      </c>
      <c r="AA57" s="77">
        <f>+GETPIVOTDATA(" Tot # Undes. New",'NEW Counts Pivot Table'!$A$3,"State","AR","Category",8,"Category2","Two-Year")</f>
        <v>0</v>
      </c>
      <c r="AB57" s="77">
        <f>+GETPIVOTDATA(" Tot # Undes. New",'NEW Counts Pivot Table'!$A$3,"State","DE","Category",9,"Category2","Two-Year")</f>
        <v>0</v>
      </c>
      <c r="AC57" s="77">
        <f>+GETPIVOTDATA(" Tot # Undes. New",'NEW Counts Pivot Table'!$A$3,"State","DE","Category",10,"Category2","Two-Year")</f>
        <v>0</v>
      </c>
      <c r="AD57" s="77">
        <f>+GETPIVOTDATA(" Tot # Undes. New",'NEW Counts Pivot Table'!$A$3,"State","KY","Category",11,"Category2","Two-Year")</f>
        <v>0</v>
      </c>
      <c r="AE57" s="78">
        <f>+GETPIVOTDATA(" Tot # Undes. New",'NEW Counts Pivot Table'!$A$3,"State","KY","Category2","Two-Year")</f>
        <v>0</v>
      </c>
      <c r="AF57" s="76">
        <f>+GETPIVOTDATA(" Tot # Undes. New",'NEW Counts Pivot Table'!$A$3,"State","KY","Category",12,"Category2","Technical Institutes")</f>
        <v>0</v>
      </c>
      <c r="AG57" s="77">
        <f>+GETPIVOTDATA(" Tot # Undes. New",'NEW Counts Pivot Table'!$A$3,"State","KY","Category",13,"Category2","Technical Institutes")</f>
        <v>0</v>
      </c>
      <c r="AH57" s="76">
        <f>+GETPIVOTDATA(" Tot # Undes. New",'NEW Counts Pivot Table'!$A$3,"State","KY","Category2","Technical Institutes")</f>
        <v>0</v>
      </c>
    </row>
    <row r="58" spans="1:36" x14ac:dyDescent="0.2">
      <c r="A58" s="10"/>
      <c r="B58" s="18" t="s">
        <v>82</v>
      </c>
      <c r="C58" s="12">
        <f t="shared" si="24"/>
        <v>0</v>
      </c>
      <c r="D58" s="14">
        <f t="shared" si="24"/>
        <v>0</v>
      </c>
      <c r="E58" s="103">
        <f t="shared" si="24"/>
        <v>0</v>
      </c>
      <c r="F58" s="14">
        <f t="shared" si="24"/>
        <v>0</v>
      </c>
      <c r="G58" s="103">
        <f t="shared" si="24"/>
        <v>0</v>
      </c>
      <c r="H58" s="40">
        <f t="shared" si="24"/>
        <v>0</v>
      </c>
      <c r="I58" s="102">
        <f t="shared" si="24"/>
        <v>0</v>
      </c>
      <c r="J58" s="12">
        <f t="shared" si="24"/>
        <v>0</v>
      </c>
      <c r="K58" s="14">
        <f t="shared" si="24"/>
        <v>1</v>
      </c>
      <c r="L58" s="14">
        <f t="shared" si="24"/>
        <v>1</v>
      </c>
      <c r="M58" s="14">
        <f t="shared" si="25"/>
        <v>1</v>
      </c>
      <c r="N58" s="12">
        <f t="shared" si="26"/>
        <v>0</v>
      </c>
      <c r="O58" s="12">
        <f t="shared" si="26"/>
        <v>0</v>
      </c>
      <c r="P58" s="14">
        <f t="shared" si="26"/>
        <v>0</v>
      </c>
      <c r="Q58" s="12">
        <f t="shared" si="27"/>
        <v>0</v>
      </c>
      <c r="R58" s="56"/>
      <c r="S58" s="76">
        <f>+GETPIVOTDATA(" Tot # Single Rnk New",'NEW Counts Pivot Table'!$A$3,"State","KY","Category",1,"Category2","Four-Year")</f>
        <v>0</v>
      </c>
      <c r="T58" s="77">
        <f>+GETPIVOTDATA(" Tot # Single Rnk New",'NEW Counts Pivot Table'!$A$3,"State","KY","Category",2,"Category2","Four-Year")</f>
        <v>0</v>
      </c>
      <c r="U58" s="77">
        <f>+GETPIVOTDATA(" Tot # Single Rnk New",'NEW Counts Pivot Table'!$A$3,"State","KY","Category",3,"Category2","Four-Year")</f>
        <v>0</v>
      </c>
      <c r="V58" s="77">
        <f>+GETPIVOTDATA(" Tot # Single Rnk New",'NEW Counts Pivot Table'!$A$3,"State","KY","Category",4,"Category2","Four-Year")</f>
        <v>0</v>
      </c>
      <c r="W58" s="77">
        <f>+GETPIVOTDATA(" Tot # Single Rnk New",'NEW Counts Pivot Table'!$A$3,"State","KY","Category",5,"Category2","Four-Year")</f>
        <v>0</v>
      </c>
      <c r="X58" s="77">
        <f>+GETPIVOTDATA(" Tot # Single Rnk New",'NEW Counts Pivot Table'!$A$3,"State","KY","Category",6,"Category2","Four-Year")</f>
        <v>0</v>
      </c>
      <c r="Y58" s="78">
        <f>+GETPIVOTDATA(" Tot # Single Rnk New",'NEW Counts Pivot Table'!$A$3,"State","KY","Category2","Four-Year")</f>
        <v>0</v>
      </c>
      <c r="Z58" s="76">
        <f>+GETPIVOTDATA(" Tot # Single Rnk New",'NEW Counts Pivot Table'!$A$3,"State","AR","Category",7,"Category2","Two-Year")</f>
        <v>0</v>
      </c>
      <c r="AA58" s="77">
        <f>+GETPIVOTDATA(" Tot # Single Rnk New",'NEW Counts Pivot Table'!$A$3,"State","AR","Category",8,"Category2","Two-Year")</f>
        <v>327</v>
      </c>
      <c r="AB58" s="77">
        <f>+GETPIVOTDATA(" Tot # Single Rnk New",'NEW Counts Pivot Table'!$A$3,"State","DE","Category",9,"Category2","Two-Year")</f>
        <v>122</v>
      </c>
      <c r="AC58" s="77">
        <f>+GETPIVOTDATA(" Tot # Single Rnk New",'NEW Counts Pivot Table'!$A$3,"State","DE","Category",10,"Category2","Two-Year")</f>
        <v>85</v>
      </c>
      <c r="AD58" s="77">
        <f>+GETPIVOTDATA(" Tot # Single Rnk New",'NEW Counts Pivot Table'!$A$3,"State","KY","Category",11,"Category2","Two-Year")</f>
        <v>0</v>
      </c>
      <c r="AE58" s="78">
        <f>+GETPIVOTDATA(" Tot # Single Rnk New",'NEW Counts Pivot Table'!$A$3,"State","KY","Category2","Two-Year")</f>
        <v>0</v>
      </c>
      <c r="AF58" s="76">
        <f>+GETPIVOTDATA(" Tot # Single Rnk New",'NEW Counts Pivot Table'!$A$3,"State","KY","Category",12,"Category2","Technical Institutes")</f>
        <v>0</v>
      </c>
      <c r="AG58" s="77">
        <f>+GETPIVOTDATA(" Tot # Single Rnk New",'NEW Counts Pivot Table'!$A$3,"State","KY","Category",13,"Category2","Technical Institutes")</f>
        <v>0</v>
      </c>
      <c r="AH58" s="76">
        <f>+GETPIVOTDATA(" Tot # Single Rnk New",'NEW Counts Pivot Table'!$A$3,"State","KY","Category2","Technical Institutes")</f>
        <v>0</v>
      </c>
    </row>
    <row r="59" spans="1:36" s="33" customFormat="1" x14ac:dyDescent="0.25">
      <c r="A59" s="109"/>
      <c r="B59" s="110" t="s">
        <v>84</v>
      </c>
      <c r="C59" s="13">
        <f t="shared" si="24"/>
        <v>1</v>
      </c>
      <c r="D59" s="11">
        <f t="shared" si="24"/>
        <v>0</v>
      </c>
      <c r="E59" s="11">
        <f t="shared" si="24"/>
        <v>1</v>
      </c>
      <c r="F59" s="11">
        <f t="shared" si="24"/>
        <v>1</v>
      </c>
      <c r="G59" s="11">
        <f t="shared" si="24"/>
        <v>0</v>
      </c>
      <c r="H59" s="41">
        <f t="shared" si="24"/>
        <v>0</v>
      </c>
      <c r="I59" s="13">
        <f t="shared" si="24"/>
        <v>1</v>
      </c>
      <c r="J59" s="13">
        <f t="shared" si="24"/>
        <v>0</v>
      </c>
      <c r="K59" s="11">
        <f t="shared" si="24"/>
        <v>1</v>
      </c>
      <c r="L59" s="11">
        <f t="shared" si="24"/>
        <v>1</v>
      </c>
      <c r="M59" s="11">
        <f t="shared" si="25"/>
        <v>1</v>
      </c>
      <c r="N59" s="13">
        <f t="shared" si="26"/>
        <v>1</v>
      </c>
      <c r="O59" s="13">
        <f t="shared" si="26"/>
        <v>1</v>
      </c>
      <c r="P59" s="11">
        <f t="shared" si="26"/>
        <v>0</v>
      </c>
      <c r="Q59" s="13">
        <f t="shared" si="27"/>
        <v>1</v>
      </c>
      <c r="R59" s="57"/>
      <c r="S59" s="79">
        <f>+GETPIVOTDATA(" All Ranks # New",'NEW Counts Pivot Table'!$A$3,"State","KY","Category",1,"Category2","Four-Year")</f>
        <v>2261</v>
      </c>
      <c r="T59" s="80">
        <f>+GETPIVOTDATA(" All Ranks # New",'NEW Counts Pivot Table'!$A$3,"State","KY","Category",2,"Category2","Four-Year")</f>
        <v>0</v>
      </c>
      <c r="U59" s="80">
        <f>+GETPIVOTDATA(" All Ranks # New",'NEW Counts Pivot Table'!$A$3,"State","KY","Category",3,"Category2","Four-Year")</f>
        <v>2222</v>
      </c>
      <c r="V59" s="80">
        <f>+GETPIVOTDATA(" All Ranks # New",'NEW Counts Pivot Table'!$A$3,"State","KY","Category",4,"Category2","Four-Year")</f>
        <v>674</v>
      </c>
      <c r="W59" s="80">
        <f>+GETPIVOTDATA(" All Ranks # New",'NEW Counts Pivot Table'!$A$3,"State","KY","Category",5,"Category2","Four-Year")</f>
        <v>0</v>
      </c>
      <c r="X59" s="80">
        <f>+GETPIVOTDATA(" All Ranks # New",'NEW Counts Pivot Table'!$A$3,"State","KY","Category",6,"Category2","Four-Year")</f>
        <v>0</v>
      </c>
      <c r="Y59" s="81">
        <f>+GETPIVOTDATA(" All Ranks # New",'NEW Counts Pivot Table'!$A$3,"State","KY","Category2","Four-Year")</f>
        <v>5157</v>
      </c>
      <c r="Z59" s="79">
        <f>+GETPIVOTDATA(" All Ranks # New",'NEW Counts Pivot Table'!$A$3,"State","AR","Category",7,"Category2","Two-Year")</f>
        <v>0</v>
      </c>
      <c r="AA59" s="80">
        <f>+GETPIVOTDATA(" All Ranks # New",'NEW Counts Pivot Table'!$A$3,"State","AR","Category",8,"Category2","Two-Year")</f>
        <v>327</v>
      </c>
      <c r="AB59" s="80">
        <f>+GETPIVOTDATA(" All Ranks # New",'NEW Counts Pivot Table'!$A$3,"State","DE","Category",9,"Category2","Two-Year")</f>
        <v>122</v>
      </c>
      <c r="AC59" s="80">
        <f>+GETPIVOTDATA(" All Ranks # New",'NEW Counts Pivot Table'!$A$3,"State","DE","Category",10,"Category2","Two-Year")</f>
        <v>85</v>
      </c>
      <c r="AD59" s="80">
        <f>+GETPIVOTDATA(" All Ranks # New",'NEW Counts Pivot Table'!$A$3,"State","KY","Category",11,"Category2","Two-Year")</f>
        <v>0</v>
      </c>
      <c r="AE59" s="81">
        <f>+GETPIVOTDATA(" All Ranks # New",'NEW Counts Pivot Table'!$A$3,"State","KY","Category2","Two-Year")</f>
        <v>1805</v>
      </c>
      <c r="AF59" s="79">
        <f>+GETPIVOTDATA(" All Ranks # New",'NEW Counts Pivot Table'!$A$3,"State","KY","Category",12,"Category2","Technical Institutes")</f>
        <v>166</v>
      </c>
      <c r="AG59" s="80">
        <f>+GETPIVOTDATA(" All Ranks # New",'NEW Counts Pivot Table'!$A$3,"State","KY","Category",13,"Category2","Technical Institutes")</f>
        <v>0</v>
      </c>
      <c r="AH59" s="79">
        <f>+GETPIVOTDATA(" All Ranks # New",'NEW Counts Pivot Table'!$A$3,"State","KY","Category2","Technical Institutes")</f>
        <v>166</v>
      </c>
      <c r="AI59" s="82"/>
      <c r="AJ59" s="82"/>
    </row>
    <row r="60" spans="1:36" x14ac:dyDescent="0.2">
      <c r="A60" s="18" t="s">
        <v>76</v>
      </c>
      <c r="B60" s="15" t="s">
        <v>99</v>
      </c>
      <c r="C60" s="16">
        <f t="shared" ref="C60:L66" si="28">IF(S$66&gt;0,(S60/S$66),0)</f>
        <v>0.34991423670668953</v>
      </c>
      <c r="D60" s="17">
        <f t="shared" si="28"/>
        <v>0.26199543031226202</v>
      </c>
      <c r="E60" s="17">
        <f t="shared" si="28"/>
        <v>0.24132231404958679</v>
      </c>
      <c r="F60" s="17">
        <f t="shared" si="28"/>
        <v>0.18088467614533965</v>
      </c>
      <c r="G60" s="17">
        <f t="shared" si="28"/>
        <v>0</v>
      </c>
      <c r="H60" s="39">
        <f t="shared" si="28"/>
        <v>0.17894736842105263</v>
      </c>
      <c r="I60" s="16">
        <f t="shared" si="28"/>
        <v>0.25544554455445545</v>
      </c>
      <c r="J60" s="16">
        <f t="shared" si="28"/>
        <v>0</v>
      </c>
      <c r="K60" s="17">
        <f t="shared" si="28"/>
        <v>0</v>
      </c>
      <c r="L60" s="17">
        <f t="shared" si="28"/>
        <v>0</v>
      </c>
      <c r="M60" s="17">
        <f t="shared" ref="M60:M66" si="29">IF(AC$66&gt;0,(AC60/AC$66),0)</f>
        <v>0</v>
      </c>
      <c r="N60" s="16">
        <f t="shared" ref="N60:P66" si="30">IF(AE$66&gt;0,(AE60/AE$66),0)</f>
        <v>0.10708117443868739</v>
      </c>
      <c r="O60" s="91">
        <f t="shared" si="30"/>
        <v>0.12445095168374817</v>
      </c>
      <c r="P60" s="17">
        <f t="shared" si="30"/>
        <v>0</v>
      </c>
      <c r="Q60" s="91">
        <f t="shared" ref="Q60:Q66" si="31">IF(AH$66&gt;0,(AH60/AH$66),0)</f>
        <v>0.12445095168374817</v>
      </c>
      <c r="R60" s="83"/>
      <c r="S60" s="73">
        <f>+GETPIVOTDATA(" Total # Prof New",'NEW Counts Pivot Table'!$A$3,"State","LA","Category",1,"Category2","Four-Year")</f>
        <v>408</v>
      </c>
      <c r="T60" s="74">
        <f>+GETPIVOTDATA(" Total # Prof New",'NEW Counts Pivot Table'!$A$3,"State","LA","Category",2,"Category2","Four-Year")</f>
        <v>344</v>
      </c>
      <c r="U60" s="74">
        <f>+GETPIVOTDATA(" Total # Prof New",'NEW Counts Pivot Table'!$A$3,"State","LA","Category",3,"Category2","Four-Year")</f>
        <v>292</v>
      </c>
      <c r="V60" s="74">
        <f>+GETPIVOTDATA(" Total # Prof New",'NEW Counts Pivot Table'!$A$3,"State","LA","Category",4,"Category2","Four-Year")</f>
        <v>229</v>
      </c>
      <c r="W60" s="74">
        <f>+GETPIVOTDATA(" Total # Prof New",'NEW Counts Pivot Table'!$A$3,"State","LA","Category",5,"Category2","Four-Year")</f>
        <v>0</v>
      </c>
      <c r="X60" s="74">
        <f>+GETPIVOTDATA(" Total # Prof New",'NEW Counts Pivot Table'!$A$3,"State","LA","Category",6,"Category2","Four-Year")</f>
        <v>17</v>
      </c>
      <c r="Y60" s="75">
        <f>+GETPIVOTDATA(" Total # Prof New",'NEW Counts Pivot Table'!$A$3,"State","LA","Category2","Four-Year")</f>
        <v>1290</v>
      </c>
      <c r="Z60" s="73">
        <f>+GETPIVOTDATA(" Total # Prof New",'NEW Counts Pivot Table'!$A$3,"State","AR","Category",7,"Category2","Two-Year")</f>
        <v>0</v>
      </c>
      <c r="AA60" s="74">
        <f>+GETPIVOTDATA(" Total # Prof New",'NEW Counts Pivot Table'!$A$3,"State","AR","Category",8,"Category2","Two-Year")</f>
        <v>0</v>
      </c>
      <c r="AB60" s="74">
        <f>+GETPIVOTDATA(" Total # Prof New",'NEW Counts Pivot Table'!$A$3,"State","DE","Category",9,"Category2","Two-Year")</f>
        <v>0</v>
      </c>
      <c r="AC60" s="74">
        <f>+GETPIVOTDATA(" Total # Prof New",'NEW Counts Pivot Table'!$A$3,"State","DE","Category",10,"Category2","Two-Year")</f>
        <v>0</v>
      </c>
      <c r="AD60" s="74">
        <f>+GETPIVOTDATA(" Total # Prof New",'NEW Counts Pivot Table'!$A$3,"State","LA","Category",11,"Category2","Two-Year")</f>
        <v>0</v>
      </c>
      <c r="AE60" s="75">
        <f>+GETPIVOTDATA(" Total # Prof New",'NEW Counts Pivot Table'!$A$3,"State","LA","Category2","Two-Year")</f>
        <v>124</v>
      </c>
      <c r="AF60" s="73">
        <f>+GETPIVOTDATA(" Total # Prof New",'NEW Counts Pivot Table'!$A$3,"State","LA","Category",12,"Category2","Technical Institutes")</f>
        <v>85</v>
      </c>
      <c r="AG60" s="74">
        <f>+GETPIVOTDATA(" Total # Prof New",'NEW Counts Pivot Table'!$A$3,"State","LA","Category",13,"Category2","Technical Institutes")</f>
        <v>0</v>
      </c>
      <c r="AH60" s="73">
        <f>+GETPIVOTDATA(" Total # Prof New",'NEW Counts Pivot Table'!$A$3,"State","LA","Category2","Technical Institutes")</f>
        <v>85</v>
      </c>
    </row>
    <row r="61" spans="1:36" x14ac:dyDescent="0.2">
      <c r="A61" s="10"/>
      <c r="B61" s="18" t="s">
        <v>100</v>
      </c>
      <c r="C61" s="12">
        <f t="shared" si="28"/>
        <v>0.25557461406518012</v>
      </c>
      <c r="D61" s="14">
        <f t="shared" si="28"/>
        <v>0.24828636709824828</v>
      </c>
      <c r="E61" s="14">
        <f t="shared" si="28"/>
        <v>0.23471074380165288</v>
      </c>
      <c r="F61" s="14">
        <f t="shared" si="28"/>
        <v>0.22511848341232227</v>
      </c>
      <c r="G61" s="14">
        <f t="shared" si="28"/>
        <v>0</v>
      </c>
      <c r="H61" s="40">
        <f t="shared" si="28"/>
        <v>0.3473684210526316</v>
      </c>
      <c r="I61" s="12">
        <f t="shared" si="28"/>
        <v>0.24277227722772277</v>
      </c>
      <c r="J61" s="12">
        <f t="shared" si="28"/>
        <v>0</v>
      </c>
      <c r="K61" s="14">
        <f t="shared" si="28"/>
        <v>0</v>
      </c>
      <c r="L61" s="14">
        <f t="shared" si="28"/>
        <v>0</v>
      </c>
      <c r="M61" s="14">
        <f t="shared" si="29"/>
        <v>0</v>
      </c>
      <c r="N61" s="12">
        <f t="shared" si="30"/>
        <v>0.15889464594127806</v>
      </c>
      <c r="O61" s="12">
        <f t="shared" si="30"/>
        <v>2.6354319180087848E-2</v>
      </c>
      <c r="P61" s="14">
        <f t="shared" si="30"/>
        <v>0</v>
      </c>
      <c r="Q61" s="12">
        <f t="shared" si="31"/>
        <v>2.6354319180087848E-2</v>
      </c>
      <c r="R61" s="56"/>
      <c r="S61" s="76">
        <f>+GETPIVOTDATA(" Tot # Asc. Prof New",'NEW Counts Pivot Table'!$A$3,"State","LA","Category",1,"Category2","Four-Year")</f>
        <v>298</v>
      </c>
      <c r="T61" s="77">
        <f>+GETPIVOTDATA(" Tot # Asc. Prof New",'NEW Counts Pivot Table'!$A$3,"State","LA","Category",2,"Category2","Four-Year")</f>
        <v>326</v>
      </c>
      <c r="U61" s="77">
        <f>+GETPIVOTDATA(" Tot # Asc. Prof New",'NEW Counts Pivot Table'!$A$3,"State","LA","Category",3,"Category2","Four-Year")</f>
        <v>284</v>
      </c>
      <c r="V61" s="77">
        <f>+GETPIVOTDATA(" Tot # Asc. Prof New",'NEW Counts Pivot Table'!$A$3,"State","LA","Category",4,"Category2","Four-Year")</f>
        <v>285</v>
      </c>
      <c r="W61" s="77">
        <f>+GETPIVOTDATA(" Tot # Asc. Prof New",'NEW Counts Pivot Table'!$A$3,"State","LA","Category",5,"Category2","Four-Year")</f>
        <v>0</v>
      </c>
      <c r="X61" s="77">
        <f>+GETPIVOTDATA(" Tot # Asc. Prof New",'NEW Counts Pivot Table'!$A$3,"State","LA","Category",6,"Category2","Four-Year")</f>
        <v>33</v>
      </c>
      <c r="Y61" s="78">
        <f>+GETPIVOTDATA(" Tot # Asc. Prof New",'NEW Counts Pivot Table'!$A$3,"State","LA","Category2","Four-Year")</f>
        <v>1226</v>
      </c>
      <c r="Z61" s="76">
        <f>+GETPIVOTDATA(" Tot # Asc. Prof New",'NEW Counts Pivot Table'!$A$3,"State","AR","Category",7,"Category2","Two-Year")</f>
        <v>0</v>
      </c>
      <c r="AA61" s="77">
        <f>+GETPIVOTDATA(" Tot # Asc. Prof New",'NEW Counts Pivot Table'!$A$3,"State","AR","Category",8,"Category2","Two-Year")</f>
        <v>0</v>
      </c>
      <c r="AB61" s="77">
        <f>+GETPIVOTDATA(" Tot # Asc. Prof New",'NEW Counts Pivot Table'!$A$3,"State","DE","Category",9,"Category2","Two-Year")</f>
        <v>0</v>
      </c>
      <c r="AC61" s="77">
        <f>+GETPIVOTDATA(" Tot # Asc. Prof New",'NEW Counts Pivot Table'!$A$3,"State","DE","Category",10,"Category2","Two-Year")</f>
        <v>0</v>
      </c>
      <c r="AD61" s="77">
        <f>+GETPIVOTDATA(" Tot # Asc. Prof New",'NEW Counts Pivot Table'!$A$3,"State","LA","Category",11,"Category2","Two-Year")</f>
        <v>0</v>
      </c>
      <c r="AE61" s="78">
        <f>+GETPIVOTDATA(" Tot # Asc. Prof New",'NEW Counts Pivot Table'!$A$3,"State","LA","Category2","Two-Year")</f>
        <v>184</v>
      </c>
      <c r="AF61" s="76">
        <f>+GETPIVOTDATA(" Tot # Asc. Prof New",'NEW Counts Pivot Table'!$A$3,"State","LA","Category",12,"Category2","Technical Institutes")</f>
        <v>18</v>
      </c>
      <c r="AG61" s="77">
        <f>+GETPIVOTDATA(" Tot # Asc. Prof New",'NEW Counts Pivot Table'!$A$3,"State","LA","Category",13,"Category2","Technical Institutes")</f>
        <v>0</v>
      </c>
      <c r="AH61" s="76">
        <f>+GETPIVOTDATA(" Tot # Asc. Prof New",'NEW Counts Pivot Table'!$A$3,"State","LA","Category2","Technical Institutes")</f>
        <v>18</v>
      </c>
    </row>
    <row r="62" spans="1:36" x14ac:dyDescent="0.2">
      <c r="A62" s="10"/>
      <c r="B62" s="18" t="s">
        <v>101</v>
      </c>
      <c r="C62" s="12">
        <f t="shared" si="28"/>
        <v>0.21612349914236706</v>
      </c>
      <c r="D62" s="14">
        <f t="shared" si="28"/>
        <v>0.26275704493526275</v>
      </c>
      <c r="E62" s="14">
        <f t="shared" si="28"/>
        <v>0.25123966942148762</v>
      </c>
      <c r="F62" s="14">
        <f t="shared" si="28"/>
        <v>0.38309636650868878</v>
      </c>
      <c r="G62" s="14">
        <f t="shared" si="28"/>
        <v>0</v>
      </c>
      <c r="H62" s="40">
        <f t="shared" si="28"/>
        <v>0.36842105263157893</v>
      </c>
      <c r="I62" s="12">
        <f t="shared" si="28"/>
        <v>0.28138613861386136</v>
      </c>
      <c r="J62" s="12">
        <f t="shared" si="28"/>
        <v>0</v>
      </c>
      <c r="K62" s="14">
        <f t="shared" si="28"/>
        <v>0</v>
      </c>
      <c r="L62" s="14">
        <f t="shared" si="28"/>
        <v>0</v>
      </c>
      <c r="M62" s="14">
        <f t="shared" si="29"/>
        <v>0</v>
      </c>
      <c r="N62" s="12">
        <f t="shared" si="30"/>
        <v>0.21243523316062177</v>
      </c>
      <c r="O62" s="12">
        <f t="shared" si="30"/>
        <v>5.2708638360175697E-2</v>
      </c>
      <c r="P62" s="14">
        <f t="shared" si="30"/>
        <v>0</v>
      </c>
      <c r="Q62" s="12">
        <f t="shared" si="31"/>
        <v>5.2708638360175697E-2</v>
      </c>
      <c r="R62" s="56"/>
      <c r="S62" s="76">
        <f>+GETPIVOTDATA(" Tot # Ast. Prof New",'NEW Counts Pivot Table'!$A$3,"State","LA","Category",1,"Category2","Four-Year")</f>
        <v>252</v>
      </c>
      <c r="T62" s="77">
        <f>+GETPIVOTDATA(" Tot # Ast. Prof New",'NEW Counts Pivot Table'!$A$3,"State","LA","Category",2,"Category2","Four-Year")</f>
        <v>345</v>
      </c>
      <c r="U62" s="77">
        <f>+GETPIVOTDATA(" Tot # Ast. Prof New",'NEW Counts Pivot Table'!$A$3,"State","LA","Category",3,"Category2","Four-Year")</f>
        <v>304</v>
      </c>
      <c r="V62" s="77">
        <f>+GETPIVOTDATA(" Tot # Ast. Prof New",'NEW Counts Pivot Table'!$A$3,"State","LA","Category",4,"Category2","Four-Year")</f>
        <v>485</v>
      </c>
      <c r="W62" s="77">
        <f>+GETPIVOTDATA(" Tot # Ast. Prof New",'NEW Counts Pivot Table'!$A$3,"State","LA","Category",5,"Category2","Four-Year")</f>
        <v>0</v>
      </c>
      <c r="X62" s="77">
        <f>+GETPIVOTDATA(" Tot # Ast. Prof New",'NEW Counts Pivot Table'!$A$3,"State","LA","Category",6,"Category2","Four-Year")</f>
        <v>35</v>
      </c>
      <c r="Y62" s="78">
        <f>+GETPIVOTDATA(" Tot # Ast. Prof New",'NEW Counts Pivot Table'!$A$3,"State","LA","Category2","Four-Year")</f>
        <v>1421</v>
      </c>
      <c r="Z62" s="76">
        <f>+GETPIVOTDATA(" Tot # Ast. Prof New",'NEW Counts Pivot Table'!$A$3,"State","AR","Category",7,"Category2","Two-Year")</f>
        <v>0</v>
      </c>
      <c r="AA62" s="77">
        <f>+GETPIVOTDATA(" Tot # Ast. Prof New",'NEW Counts Pivot Table'!$A$3,"State","AR","Category",8,"Category2","Two-Year")</f>
        <v>0</v>
      </c>
      <c r="AB62" s="77">
        <f>+GETPIVOTDATA(" Tot # Ast. Prof New",'NEW Counts Pivot Table'!$A$3,"State","DE","Category",9,"Category2","Two-Year")</f>
        <v>0</v>
      </c>
      <c r="AC62" s="77">
        <f>+GETPIVOTDATA(" Tot # Ast. Prof New",'NEW Counts Pivot Table'!$A$3,"State","DE","Category",10,"Category2","Two-Year")</f>
        <v>0</v>
      </c>
      <c r="AD62" s="77">
        <f>+GETPIVOTDATA(" Tot # Ast. Prof New",'NEW Counts Pivot Table'!$A$3,"State","LA","Category",11,"Category2","Two-Year")</f>
        <v>0</v>
      </c>
      <c r="AE62" s="78">
        <f>+GETPIVOTDATA(" Tot # Ast. Prof New",'NEW Counts Pivot Table'!$A$3,"State","LA","Category2","Two-Year")</f>
        <v>246</v>
      </c>
      <c r="AF62" s="76">
        <f>+GETPIVOTDATA(" Tot # Ast. Prof New",'NEW Counts Pivot Table'!$A$3,"State","LA","Category",12,"Category2","Technical Institutes")</f>
        <v>36</v>
      </c>
      <c r="AG62" s="77">
        <f>+GETPIVOTDATA(" Tot # Ast. Prof New",'NEW Counts Pivot Table'!$A$3,"State","LA","Category",13,"Category2","Technical Institutes")</f>
        <v>0</v>
      </c>
      <c r="AH62" s="76">
        <f>+GETPIVOTDATA(" Tot # Ast. Prof New",'NEW Counts Pivot Table'!$A$3,"State","LA","Category2","Technical Institutes")</f>
        <v>36</v>
      </c>
    </row>
    <row r="63" spans="1:36" x14ac:dyDescent="0.2">
      <c r="A63" s="10"/>
      <c r="B63" s="18" t="s">
        <v>102</v>
      </c>
      <c r="C63" s="12">
        <f t="shared" si="28"/>
        <v>0.16209262435677529</v>
      </c>
      <c r="D63" s="14">
        <f t="shared" si="28"/>
        <v>0.21477532368621477</v>
      </c>
      <c r="E63" s="14">
        <f t="shared" si="28"/>
        <v>0.26942148760330581</v>
      </c>
      <c r="F63" s="14">
        <f t="shared" si="28"/>
        <v>0.19194312796208532</v>
      </c>
      <c r="G63" s="14">
        <f t="shared" si="28"/>
        <v>0</v>
      </c>
      <c r="H63" s="40">
        <f t="shared" si="28"/>
        <v>0.10526315789473684</v>
      </c>
      <c r="I63" s="12">
        <f t="shared" si="28"/>
        <v>0.20792079207920791</v>
      </c>
      <c r="J63" s="12">
        <f t="shared" si="28"/>
        <v>0</v>
      </c>
      <c r="K63" s="14">
        <f t="shared" si="28"/>
        <v>0</v>
      </c>
      <c r="L63" s="14">
        <f t="shared" si="28"/>
        <v>0</v>
      </c>
      <c r="M63" s="14">
        <f t="shared" si="29"/>
        <v>0</v>
      </c>
      <c r="N63" s="12">
        <f t="shared" si="30"/>
        <v>0.41709844559585491</v>
      </c>
      <c r="O63" s="12">
        <f t="shared" si="30"/>
        <v>0.6793557833089312</v>
      </c>
      <c r="P63" s="14">
        <f t="shared" si="30"/>
        <v>0</v>
      </c>
      <c r="Q63" s="12">
        <f t="shared" si="31"/>
        <v>0.6793557833089312</v>
      </c>
      <c r="R63" s="56"/>
      <c r="S63" s="76">
        <f>+GETPIVOTDATA(" Tot # Instr. New",'NEW Counts Pivot Table'!$A$3,"State","LA","Category",1,"Category2","Four-Year")</f>
        <v>189</v>
      </c>
      <c r="T63" s="77">
        <f>+GETPIVOTDATA(" Tot # Instr. New",'NEW Counts Pivot Table'!$A$3,"State","LA","Category",2,"Category2","Four-Year")</f>
        <v>282</v>
      </c>
      <c r="U63" s="77">
        <f>+GETPIVOTDATA(" Tot # Instr. New",'NEW Counts Pivot Table'!$A$3,"State","LA","Category",3,"Category2","Four-Year")</f>
        <v>326</v>
      </c>
      <c r="V63" s="77">
        <f>+GETPIVOTDATA(" Tot # Instr. New",'NEW Counts Pivot Table'!$A$3,"State","LA","Category",4,"Category2","Four-Year")</f>
        <v>243</v>
      </c>
      <c r="W63" s="77">
        <f>+GETPIVOTDATA(" Tot # Instr. New",'NEW Counts Pivot Table'!$A$3,"State","LA","Category",5,"Category2","Four-Year")</f>
        <v>0</v>
      </c>
      <c r="X63" s="77">
        <f>+GETPIVOTDATA(" Tot # Instr. New",'NEW Counts Pivot Table'!$A$3,"State","LA","Category",6,"Category2","Four-Year")</f>
        <v>10</v>
      </c>
      <c r="Y63" s="78">
        <f>+GETPIVOTDATA(" Tot # Instr. New",'NEW Counts Pivot Table'!$A$3,"State","LA","Category2","Four-Year")</f>
        <v>1050</v>
      </c>
      <c r="Z63" s="76">
        <f>+GETPIVOTDATA(" Tot # Instr. New",'NEW Counts Pivot Table'!$A$3,"State","AR","Category",7,"Category2","Two-Year")</f>
        <v>0</v>
      </c>
      <c r="AA63" s="77">
        <f>+GETPIVOTDATA(" Tot # Instr. New",'NEW Counts Pivot Table'!$A$3,"State","AR","Category",8,"Category2","Two-Year")</f>
        <v>0</v>
      </c>
      <c r="AB63" s="77">
        <f>+GETPIVOTDATA(" Tot # Instr. New",'NEW Counts Pivot Table'!$A$3,"State","DE","Category",9,"Category2","Two-Year")</f>
        <v>0</v>
      </c>
      <c r="AC63" s="77">
        <f>+GETPIVOTDATA(" Tot # Instr. New",'NEW Counts Pivot Table'!$A$3,"State","DE","Category",10,"Category2","Two-Year")</f>
        <v>0</v>
      </c>
      <c r="AD63" s="77">
        <f>+GETPIVOTDATA(" Tot # Instr. New",'NEW Counts Pivot Table'!$A$3,"State","LA","Category",11,"Category2","Two-Year")</f>
        <v>0</v>
      </c>
      <c r="AE63" s="78">
        <f>+GETPIVOTDATA(" Tot # Instr. New",'NEW Counts Pivot Table'!$A$3,"State","LA","Category2","Two-Year")</f>
        <v>483</v>
      </c>
      <c r="AF63" s="76">
        <f>+GETPIVOTDATA(" Tot # Instr. New",'NEW Counts Pivot Table'!$A$3,"State","LA","Category",12,"Category2","Technical Institutes")</f>
        <v>464</v>
      </c>
      <c r="AG63" s="77">
        <f>+GETPIVOTDATA(" Tot # Instr. New",'NEW Counts Pivot Table'!$A$3,"State","LA","Category",13,"Category2","Technical Institutes")</f>
        <v>0</v>
      </c>
      <c r="AH63" s="76">
        <f>+GETPIVOTDATA(" Tot # Instr. New",'NEW Counts Pivot Table'!$A$3,"State","LA","Category2","Technical Institutes")</f>
        <v>464</v>
      </c>
    </row>
    <row r="64" spans="1:36" x14ac:dyDescent="0.2">
      <c r="A64" s="10"/>
      <c r="B64" s="18" t="s">
        <v>83</v>
      </c>
      <c r="C64" s="12">
        <f t="shared" si="28"/>
        <v>1.6295025728987993E-2</v>
      </c>
      <c r="D64" s="14">
        <f t="shared" si="28"/>
        <v>1.2185833968012186E-2</v>
      </c>
      <c r="E64" s="14">
        <f t="shared" si="28"/>
        <v>3.3057851239669421E-3</v>
      </c>
      <c r="F64" s="153">
        <f t="shared" si="28"/>
        <v>1.8957345971563982E-2</v>
      </c>
      <c r="G64" s="14">
        <f t="shared" si="28"/>
        <v>0</v>
      </c>
      <c r="H64" s="40">
        <f t="shared" si="28"/>
        <v>0</v>
      </c>
      <c r="I64" s="12">
        <f t="shared" si="28"/>
        <v>1.2475247524752476E-2</v>
      </c>
      <c r="J64" s="12">
        <f t="shared" si="28"/>
        <v>0</v>
      </c>
      <c r="K64" s="14">
        <f t="shared" si="28"/>
        <v>0</v>
      </c>
      <c r="L64" s="14">
        <f t="shared" si="28"/>
        <v>0</v>
      </c>
      <c r="M64" s="14">
        <f t="shared" si="29"/>
        <v>0</v>
      </c>
      <c r="N64" s="12">
        <f t="shared" si="30"/>
        <v>0</v>
      </c>
      <c r="O64" s="12">
        <f t="shared" si="30"/>
        <v>8.7847730600292828E-3</v>
      </c>
      <c r="P64" s="14">
        <f t="shared" si="30"/>
        <v>0</v>
      </c>
      <c r="Q64" s="154">
        <f t="shared" si="31"/>
        <v>8.7847730600292828E-3</v>
      </c>
      <c r="R64" s="56"/>
      <c r="S64" s="76">
        <f>++GETPIVOTDATA(" Tot # Undes. New",'NEW Counts Pivot Table'!$A$3,"State","LA","Category",1,"Category2","Four-Year")</f>
        <v>19</v>
      </c>
      <c r="T64" s="77">
        <f>+GETPIVOTDATA(" Tot # Undes. New",'NEW Counts Pivot Table'!$A$3,"State","LA","Category",2,"Category2","Four-Year")</f>
        <v>16</v>
      </c>
      <c r="U64" s="77">
        <f>+GETPIVOTDATA(" Tot # Undes. New",'NEW Counts Pivot Table'!$A$3,"State","LA","Category",3,"Category2","Four-Year")</f>
        <v>4</v>
      </c>
      <c r="V64" s="77">
        <f>+GETPIVOTDATA(" Tot # Undes. New",'NEW Counts Pivot Table'!$A$3,"State","LA","Category",4,"Category2","Four-Year")</f>
        <v>24</v>
      </c>
      <c r="W64" s="77">
        <f>+GETPIVOTDATA(" Tot # Undes. New",'NEW Counts Pivot Table'!$A$3,"State","LA","Category",5,"Category2","Four-Year")</f>
        <v>0</v>
      </c>
      <c r="X64" s="77">
        <f>+GETPIVOTDATA(" Tot # Undes. New",'NEW Counts Pivot Table'!$A$3,"State","LA","Category",6,"Category2","Four-Year")</f>
        <v>0</v>
      </c>
      <c r="Y64" s="78">
        <f>+GETPIVOTDATA(" Tot # Undes. New",'NEW Counts Pivot Table'!$A$3,"State","LA","Category2","Four-Year")</f>
        <v>63</v>
      </c>
      <c r="Z64" s="76">
        <f>+GETPIVOTDATA(" Tot # Undes. New",'NEW Counts Pivot Table'!$A$3,"State","AR","Category",7,"Category2","Two-Year")</f>
        <v>0</v>
      </c>
      <c r="AA64" s="77">
        <f>+GETPIVOTDATA(" Tot # Undes. New",'NEW Counts Pivot Table'!$A$3,"State","AR","Category",8,"Category2","Two-Year")</f>
        <v>0</v>
      </c>
      <c r="AB64" s="77">
        <f>+GETPIVOTDATA(" Tot # Undes. New",'NEW Counts Pivot Table'!$A$3,"State","DE","Category",9,"Category2","Two-Year")</f>
        <v>0</v>
      </c>
      <c r="AC64" s="77">
        <f>+GETPIVOTDATA(" Tot # Undes. New",'NEW Counts Pivot Table'!$A$3,"State","DE","Category",10,"Category2","Two-Year")</f>
        <v>0</v>
      </c>
      <c r="AD64" s="77">
        <f>+GETPIVOTDATA(" Tot # Undes. New",'NEW Counts Pivot Table'!$A$3,"State","LA","Category",11,"Category2","Two-Year")</f>
        <v>0</v>
      </c>
      <c r="AE64" s="78">
        <f>+GETPIVOTDATA(" Tot # Undes. New",'NEW Counts Pivot Table'!$A$3,"State","LA","Category2","Two-Year")</f>
        <v>0</v>
      </c>
      <c r="AF64" s="76">
        <f>+GETPIVOTDATA(" Tot # Undes. New",'NEW Counts Pivot Table'!$A$3,"State","LA","Category",12,"Category2","Technical Institutes")</f>
        <v>6</v>
      </c>
      <c r="AG64" s="77">
        <f>+GETPIVOTDATA(" Tot # Undes. New",'NEW Counts Pivot Table'!$A$3,"State","LA","Category",13,"Category2","Technical Institutes")</f>
        <v>0</v>
      </c>
      <c r="AH64" s="76">
        <f>+GETPIVOTDATA(" Tot # Undes. New",'NEW Counts Pivot Table'!$A$3,"State","LA","Category2","Technical Institutes")</f>
        <v>6</v>
      </c>
    </row>
    <row r="65" spans="1:36" x14ac:dyDescent="0.2">
      <c r="A65" s="10"/>
      <c r="B65" s="18" t="s">
        <v>82</v>
      </c>
      <c r="C65" s="12">
        <f t="shared" si="28"/>
        <v>0</v>
      </c>
      <c r="D65" s="14">
        <f t="shared" si="28"/>
        <v>0</v>
      </c>
      <c r="E65" s="14">
        <f t="shared" si="28"/>
        <v>0</v>
      </c>
      <c r="F65" s="153">
        <f t="shared" si="28"/>
        <v>0</v>
      </c>
      <c r="G65" s="103">
        <f t="shared" si="28"/>
        <v>0</v>
      </c>
      <c r="H65" s="40">
        <f t="shared" si="28"/>
        <v>0</v>
      </c>
      <c r="I65" s="12">
        <f t="shared" si="28"/>
        <v>0</v>
      </c>
      <c r="J65" s="12">
        <f t="shared" si="28"/>
        <v>0</v>
      </c>
      <c r="K65" s="14">
        <f t="shared" si="28"/>
        <v>1</v>
      </c>
      <c r="L65" s="14">
        <f t="shared" si="28"/>
        <v>1</v>
      </c>
      <c r="M65" s="14">
        <f t="shared" si="29"/>
        <v>1</v>
      </c>
      <c r="N65" s="12">
        <f t="shared" si="30"/>
        <v>0.10449050086355786</v>
      </c>
      <c r="O65" s="12">
        <f t="shared" si="30"/>
        <v>0.10834553440702782</v>
      </c>
      <c r="P65" s="14">
        <f t="shared" si="30"/>
        <v>0</v>
      </c>
      <c r="Q65" s="12">
        <f t="shared" si="31"/>
        <v>0.10834553440702782</v>
      </c>
      <c r="R65" s="56"/>
      <c r="S65" s="76">
        <f>+GETPIVOTDATA(" Tot # Single Rnk New",'NEW Counts Pivot Table'!$A$3,"State","LA","Category",1,"Category2","Four-Year")</f>
        <v>0</v>
      </c>
      <c r="T65" s="77">
        <f>+GETPIVOTDATA(" Tot # Single Rnk New",'NEW Counts Pivot Table'!$A$3,"State","LA","Category",2,"Category2","Four-Year")</f>
        <v>0</v>
      </c>
      <c r="U65" s="77">
        <f>+GETPIVOTDATA(" Tot # Single Rnk New",'NEW Counts Pivot Table'!$A$3,"State","LA","Category",3,"Category2","Four-Year")</f>
        <v>0</v>
      </c>
      <c r="V65" s="77">
        <f>+GETPIVOTDATA(" Tot # Single Rnk New",'NEW Counts Pivot Table'!$A$3,"State","LA","Category",4,"Category2","Four-Year")</f>
        <v>0</v>
      </c>
      <c r="W65" s="77">
        <f>+GETPIVOTDATA(" Tot # Single Rnk New",'NEW Counts Pivot Table'!$A$3,"State","LA","Category",5,"Category2","Four-Year")</f>
        <v>0</v>
      </c>
      <c r="X65" s="77">
        <f>+GETPIVOTDATA(" Tot # Single Rnk New",'NEW Counts Pivot Table'!$A$3,"State","LA","Category",6,"Category2","Four-Year")</f>
        <v>0</v>
      </c>
      <c r="Y65" s="78">
        <f>+GETPIVOTDATA(" Tot # Single Rnk New",'NEW Counts Pivot Table'!$A$3,"State","LA","Category2","Four-Year")</f>
        <v>0</v>
      </c>
      <c r="Z65" s="76">
        <f>+GETPIVOTDATA(" Tot # Single Rnk New",'NEW Counts Pivot Table'!$A$3,"State","AR","Category",7,"Category2","Two-Year")</f>
        <v>0</v>
      </c>
      <c r="AA65" s="77">
        <f>+GETPIVOTDATA(" Tot # Single Rnk New",'NEW Counts Pivot Table'!$A$3,"State","AR","Category",8,"Category2","Two-Year")</f>
        <v>327</v>
      </c>
      <c r="AB65" s="77">
        <f>+GETPIVOTDATA(" Tot # Single Rnk New",'NEW Counts Pivot Table'!$A$3,"State","DE","Category",9,"Category2","Two-Year")</f>
        <v>122</v>
      </c>
      <c r="AC65" s="77">
        <f>+GETPIVOTDATA(" Tot # Single Rnk New",'NEW Counts Pivot Table'!$A$3,"State","DE","Category",10,"Category2","Two-Year")</f>
        <v>85</v>
      </c>
      <c r="AD65" s="77">
        <f>+GETPIVOTDATA(" Tot # Single Rnk New",'NEW Counts Pivot Table'!$A$3,"State","LA","Category",11,"Category2","Two-Year")</f>
        <v>0</v>
      </c>
      <c r="AE65" s="78">
        <f>+GETPIVOTDATA(" Tot # Single Rnk New",'NEW Counts Pivot Table'!$A$3,"State","LA","Category2","Two-Year")</f>
        <v>121</v>
      </c>
      <c r="AF65" s="76">
        <f>+GETPIVOTDATA(" Tot # Single Rnk New",'NEW Counts Pivot Table'!$A$3,"State","LA","Category",12,"Category2","Technical Institutes")</f>
        <v>74</v>
      </c>
      <c r="AG65" s="77">
        <f>+GETPIVOTDATA(" Tot # Single Rnk New",'NEW Counts Pivot Table'!$A$3,"State","LA","Category",13,"Category2","Technical Institutes")</f>
        <v>0</v>
      </c>
      <c r="AH65" s="76">
        <f>+GETPIVOTDATA(" Tot # Single Rnk New",'NEW Counts Pivot Table'!$A$3,"State","LA","Category2","Technical Institutes")</f>
        <v>74</v>
      </c>
    </row>
    <row r="66" spans="1:36" s="33" customFormat="1" x14ac:dyDescent="0.25">
      <c r="A66" s="109"/>
      <c r="B66" s="110" t="s">
        <v>84</v>
      </c>
      <c r="C66" s="13">
        <f t="shared" si="28"/>
        <v>1</v>
      </c>
      <c r="D66" s="11">
        <f t="shared" si="28"/>
        <v>1</v>
      </c>
      <c r="E66" s="11">
        <f t="shared" si="28"/>
        <v>1</v>
      </c>
      <c r="F66" s="11">
        <f t="shared" si="28"/>
        <v>1</v>
      </c>
      <c r="G66" s="11">
        <f t="shared" si="28"/>
        <v>0</v>
      </c>
      <c r="H66" s="41">
        <f t="shared" si="28"/>
        <v>1</v>
      </c>
      <c r="I66" s="13">
        <f t="shared" si="28"/>
        <v>1</v>
      </c>
      <c r="J66" s="13">
        <f t="shared" si="28"/>
        <v>0</v>
      </c>
      <c r="K66" s="11">
        <f t="shared" si="28"/>
        <v>1</v>
      </c>
      <c r="L66" s="11">
        <f t="shared" si="28"/>
        <v>1</v>
      </c>
      <c r="M66" s="11">
        <f t="shared" si="29"/>
        <v>1</v>
      </c>
      <c r="N66" s="13">
        <f t="shared" si="30"/>
        <v>1</v>
      </c>
      <c r="O66" s="13">
        <f t="shared" si="30"/>
        <v>1</v>
      </c>
      <c r="P66" s="11">
        <f t="shared" si="30"/>
        <v>0</v>
      </c>
      <c r="Q66" s="13">
        <f t="shared" si="31"/>
        <v>1</v>
      </c>
      <c r="R66" s="57"/>
      <c r="S66" s="79">
        <f>+GETPIVOTDATA(" All Ranks # New",'NEW Counts Pivot Table'!$A$3,"State","LA","Category",1,"Category2","Four-Year")</f>
        <v>1166</v>
      </c>
      <c r="T66" s="80">
        <f>+GETPIVOTDATA(" All Ranks # New",'NEW Counts Pivot Table'!$A$3,"State","LA","Category",2,"Category2","Four-Year")</f>
        <v>1313</v>
      </c>
      <c r="U66" s="80">
        <f>+GETPIVOTDATA(" All Ranks # New",'NEW Counts Pivot Table'!$A$3,"State","LA","Category",3,"Category2","Four-Year")</f>
        <v>1210</v>
      </c>
      <c r="V66" s="80">
        <f>+GETPIVOTDATA(" All Ranks # New",'NEW Counts Pivot Table'!$A$3,"State","LA","Category",4,"Category2","Four-Year")</f>
        <v>1266</v>
      </c>
      <c r="W66" s="80">
        <f>+GETPIVOTDATA(" All Ranks # New",'NEW Counts Pivot Table'!$A$3,"State","LA","Category",5,"Category2","Four-Year")</f>
        <v>0</v>
      </c>
      <c r="X66" s="80">
        <f>+GETPIVOTDATA(" All Ranks # New",'NEW Counts Pivot Table'!$A$3,"State","LA","Category",6,"Category2","Four-Year")</f>
        <v>95</v>
      </c>
      <c r="Y66" s="81">
        <f>+GETPIVOTDATA(" All Ranks # New",'NEW Counts Pivot Table'!$A$3,"State","LA","Category2","Four-Year")</f>
        <v>5050</v>
      </c>
      <c r="Z66" s="79">
        <f>+GETPIVOTDATA(" All Ranks # New",'NEW Counts Pivot Table'!$A$3,"State","AR","Category",7,"Category2","Two-Year")</f>
        <v>0</v>
      </c>
      <c r="AA66" s="80">
        <f>+GETPIVOTDATA(" All Ranks # New",'NEW Counts Pivot Table'!$A$3,"State","AR","Category",8,"Category2","Two-Year")</f>
        <v>327</v>
      </c>
      <c r="AB66" s="80">
        <f>+GETPIVOTDATA(" All Ranks # New",'NEW Counts Pivot Table'!$A$3,"State","DE","Category",9,"Category2","Two-Year")</f>
        <v>122</v>
      </c>
      <c r="AC66" s="80">
        <f>+GETPIVOTDATA(" All Ranks # New",'NEW Counts Pivot Table'!$A$3,"State","DE","Category",10,"Category2","Two-Year")</f>
        <v>85</v>
      </c>
      <c r="AD66" s="80">
        <f>+GETPIVOTDATA(" All Ranks # New",'NEW Counts Pivot Table'!$A$3,"State","LA","Category",11,"Category2","Two-Year")</f>
        <v>0</v>
      </c>
      <c r="AE66" s="81">
        <f>+GETPIVOTDATA(" All Ranks # New",'NEW Counts Pivot Table'!$A$3,"State","LA","Category2","Two-Year")</f>
        <v>1158</v>
      </c>
      <c r="AF66" s="79">
        <f>+GETPIVOTDATA(" All Ranks # New",'NEW Counts Pivot Table'!$A$3,"State","LA","Category",12,"Category2","Technical Institutes")</f>
        <v>683</v>
      </c>
      <c r="AG66" s="80">
        <f>+GETPIVOTDATA(" All Ranks # New",'NEW Counts Pivot Table'!$A$3,"State","LA","Category",13,"Category2","Technical Institutes")</f>
        <v>0</v>
      </c>
      <c r="AH66" s="79">
        <f>+GETPIVOTDATA(" All Ranks # New",'NEW Counts Pivot Table'!$A$3,"State","LA","Category2","Technical Institutes")</f>
        <v>683</v>
      </c>
      <c r="AI66" s="82"/>
      <c r="AJ66" s="82"/>
    </row>
    <row r="67" spans="1:36" x14ac:dyDescent="0.2">
      <c r="A67" s="18" t="s">
        <v>107</v>
      </c>
      <c r="B67" s="15" t="s">
        <v>99</v>
      </c>
      <c r="C67" s="16">
        <f t="shared" ref="C67:L73" si="32">IF(S$73&gt;0,(S67/S$73),0)</f>
        <v>0.39388489208633093</v>
      </c>
      <c r="D67" s="17">
        <f t="shared" si="32"/>
        <v>0.20811099252934898</v>
      </c>
      <c r="E67" s="17">
        <f t="shared" si="32"/>
        <v>0.22235434007134364</v>
      </c>
      <c r="F67" s="17">
        <f t="shared" si="32"/>
        <v>0.23043478260869565</v>
      </c>
      <c r="G67" s="17">
        <f t="shared" si="32"/>
        <v>0</v>
      </c>
      <c r="H67" s="39">
        <f t="shared" si="32"/>
        <v>0.31914893617021278</v>
      </c>
      <c r="I67" s="16">
        <f t="shared" si="32"/>
        <v>0.28226293537346486</v>
      </c>
      <c r="J67" s="16">
        <f t="shared" si="32"/>
        <v>0</v>
      </c>
      <c r="K67" s="17">
        <f t="shared" si="32"/>
        <v>0</v>
      </c>
      <c r="L67" s="17">
        <f t="shared" si="32"/>
        <v>0</v>
      </c>
      <c r="M67" s="17">
        <f t="shared" ref="M67:M73" si="33">IF(AC$73&gt;0,(AC67/AC$73),0)</f>
        <v>0</v>
      </c>
      <c r="N67" s="16">
        <f t="shared" ref="N67:P73" si="34">IF(AE$73&gt;0,(AE67/AE$73),0)</f>
        <v>0.33078778135048231</v>
      </c>
      <c r="O67" s="91">
        <f t="shared" si="34"/>
        <v>0</v>
      </c>
      <c r="P67" s="17">
        <f t="shared" si="34"/>
        <v>0</v>
      </c>
      <c r="Q67" s="91">
        <f t="shared" ref="Q67:Q73" si="35">IF(AH$73&gt;0,(AH67/AH$73),0)</f>
        <v>0</v>
      </c>
      <c r="R67" s="83"/>
      <c r="S67" s="73">
        <f>+GETPIVOTDATA(" Total # Prof New",'NEW Counts Pivot Table'!$A$3,"State","MD","Category",1,"Category2","Four-Year")</f>
        <v>657</v>
      </c>
      <c r="T67" s="74">
        <f>+GETPIVOTDATA(" Total # Prof New",'NEW Counts Pivot Table'!$A$3,"State","MD","Category",2,"Category2","Four-Year")</f>
        <v>195</v>
      </c>
      <c r="U67" s="74">
        <f>+GETPIVOTDATA(" Total # Prof New",'NEW Counts Pivot Table'!$A$3,"State","MD","Category",3,"Category2","Four-Year")</f>
        <v>187</v>
      </c>
      <c r="V67" s="74">
        <f>+GETPIVOTDATA(" Total # Prof New",'NEW Counts Pivot Table'!$A$3,"State","MD","Category",4,"Category2","Four-Year")</f>
        <v>318</v>
      </c>
      <c r="W67" s="74">
        <f>+GETPIVOTDATA(" Total # Prof New",'NEW Counts Pivot Table'!$A$3,"State","MD","Category",5,"Category2","Four-Year")</f>
        <v>0</v>
      </c>
      <c r="X67" s="74">
        <f>+GETPIVOTDATA(" Total # Prof New",'NEW Counts Pivot Table'!$A$3,"State","MD","Category",6,"Category2","Four-Year")</f>
        <v>45</v>
      </c>
      <c r="Y67" s="75">
        <f>+GETPIVOTDATA(" Total # Prof New",'NEW Counts Pivot Table'!$A$3,"State","MD","Category2","Four-Year")</f>
        <v>1402</v>
      </c>
      <c r="Z67" s="73">
        <f>+GETPIVOTDATA(" Total # Prof New",'NEW Counts Pivot Table'!$A$3,"State","AR","Category",7,"Category2","Two-Year")</f>
        <v>0</v>
      </c>
      <c r="AA67" s="74">
        <f>+GETPIVOTDATA(" Total # Prof New",'NEW Counts Pivot Table'!$A$3,"State","AR","Category",8,"Category2","Two-Year")</f>
        <v>0</v>
      </c>
      <c r="AB67" s="74">
        <f>+GETPIVOTDATA(" Total # Prof New",'NEW Counts Pivot Table'!$A$3,"State","DE","Category",9,"Category2","Two-Year")</f>
        <v>0</v>
      </c>
      <c r="AC67" s="74">
        <f>+GETPIVOTDATA(" Total # Prof New",'NEW Counts Pivot Table'!$A$3,"State","DE","Category",10,"Category2","Two-Year")</f>
        <v>0</v>
      </c>
      <c r="AD67" s="74">
        <f>+GETPIVOTDATA(" Total # Prof New",'NEW Counts Pivot Table'!$A$3,"State","MD","Category",11,"Category2","Two-Year")</f>
        <v>0</v>
      </c>
      <c r="AE67" s="75">
        <f>+GETPIVOTDATA(" Total # Prof New",'NEW Counts Pivot Table'!$A$3,"State","MD","Category2","Two-Year")</f>
        <v>823</v>
      </c>
      <c r="AF67" s="73">
        <f>+GETPIVOTDATA(" Total # Prof New",'NEW Counts Pivot Table'!$A$3,"State","MD","Category",12,"Category2","Technical Institutes")</f>
        <v>0</v>
      </c>
      <c r="AG67" s="74">
        <f>+GETPIVOTDATA(" Total # Prof New",'NEW Counts Pivot Table'!$A$3,"State","MD","Category",13,"Category2","Technical Institutes")</f>
        <v>0</v>
      </c>
      <c r="AH67" s="73">
        <f>+GETPIVOTDATA(" Total # Prof New",'NEW Counts Pivot Table'!$A$3,"State","MD","Category2","Technical Institutes")</f>
        <v>0</v>
      </c>
    </row>
    <row r="68" spans="1:36" x14ac:dyDescent="0.2">
      <c r="A68" s="10"/>
      <c r="B68" s="18" t="s">
        <v>100</v>
      </c>
      <c r="C68" s="12">
        <f t="shared" si="32"/>
        <v>0.25359712230215825</v>
      </c>
      <c r="D68" s="14">
        <f t="shared" si="32"/>
        <v>0.31163287086446106</v>
      </c>
      <c r="E68" s="14">
        <f t="shared" si="32"/>
        <v>0.20689655172413793</v>
      </c>
      <c r="F68" s="14">
        <f t="shared" si="32"/>
        <v>0.24637681159420291</v>
      </c>
      <c r="G68" s="14">
        <f t="shared" si="32"/>
        <v>0</v>
      </c>
      <c r="H68" s="40">
        <f t="shared" si="32"/>
        <v>0.36170212765957449</v>
      </c>
      <c r="I68" s="12">
        <f t="shared" si="32"/>
        <v>0.25770082544795653</v>
      </c>
      <c r="J68" s="12">
        <f t="shared" si="32"/>
        <v>0</v>
      </c>
      <c r="K68" s="14">
        <f t="shared" si="32"/>
        <v>0</v>
      </c>
      <c r="L68" s="14">
        <f t="shared" si="32"/>
        <v>0</v>
      </c>
      <c r="M68" s="14">
        <f t="shared" si="33"/>
        <v>0</v>
      </c>
      <c r="N68" s="12">
        <f t="shared" si="34"/>
        <v>0.27733118971061094</v>
      </c>
      <c r="O68" s="12">
        <f t="shared" si="34"/>
        <v>0</v>
      </c>
      <c r="P68" s="14">
        <f t="shared" si="34"/>
        <v>0</v>
      </c>
      <c r="Q68" s="12">
        <f t="shared" si="35"/>
        <v>0</v>
      </c>
      <c r="R68" s="56"/>
      <c r="S68" s="76">
        <f>+GETPIVOTDATA(" Tot # Asc. Prof New",'NEW Counts Pivot Table'!$A$3,"State","MD","Category",1,"Category2","Four-Year")</f>
        <v>423</v>
      </c>
      <c r="T68" s="77">
        <f>+GETPIVOTDATA(" Tot # Asc. Prof New",'NEW Counts Pivot Table'!$A$3,"State","MD","Category",2,"Category2","Four-Year")</f>
        <v>292</v>
      </c>
      <c r="U68" s="77">
        <f>+GETPIVOTDATA(" Tot # Asc. Prof New",'NEW Counts Pivot Table'!$A$3,"State","MD","Category",3,"Category2","Four-Year")</f>
        <v>174</v>
      </c>
      <c r="V68" s="77">
        <f>+GETPIVOTDATA(" Tot # Asc. Prof New",'NEW Counts Pivot Table'!$A$3,"State","MD","Category",4,"Category2","Four-Year")</f>
        <v>340</v>
      </c>
      <c r="W68" s="77">
        <f>+GETPIVOTDATA(" Tot # Asc. Prof New",'NEW Counts Pivot Table'!$A$3,"State","MD","Category",5,"Category2","Four-Year")</f>
        <v>0</v>
      </c>
      <c r="X68" s="77">
        <f>+GETPIVOTDATA(" Tot # Asc. Prof New",'NEW Counts Pivot Table'!$A$3,"State","MD","Category",6,"Category2","Four-Year")</f>
        <v>51</v>
      </c>
      <c r="Y68" s="78">
        <f>+GETPIVOTDATA(" Tot # Asc. Prof New",'NEW Counts Pivot Table'!$A$3,"State","MD","Category2","Four-Year")</f>
        <v>1280</v>
      </c>
      <c r="Z68" s="76">
        <f>+GETPIVOTDATA(" Tot # Asc. Prof New",'NEW Counts Pivot Table'!$A$3,"State","AR","Category",7,"Category2","Two-Year")</f>
        <v>0</v>
      </c>
      <c r="AA68" s="77">
        <f>+GETPIVOTDATA(" Tot # Asc. Prof New",'NEW Counts Pivot Table'!$A$3,"State","AR","Category",8,"Category2","Two-Year")</f>
        <v>0</v>
      </c>
      <c r="AB68" s="77">
        <f>+GETPIVOTDATA(" Tot # Asc. Prof New",'NEW Counts Pivot Table'!$A$3,"State","DE","Category",9,"Category2","Two-Year")</f>
        <v>0</v>
      </c>
      <c r="AC68" s="77">
        <f>+GETPIVOTDATA(" Tot # Asc. Prof New",'NEW Counts Pivot Table'!$A$3,"State","DE","Category",10,"Category2","Two-Year")</f>
        <v>0</v>
      </c>
      <c r="AD68" s="77">
        <f>+GETPIVOTDATA(" Tot # Asc. Prof New",'NEW Counts Pivot Table'!$A$3,"State","MD","Category",11,"Category2","Two-Year")</f>
        <v>0</v>
      </c>
      <c r="AE68" s="78">
        <f>+GETPIVOTDATA(" Tot # Asc. Prof New",'NEW Counts Pivot Table'!$A$3,"State","MD","Category2","Two-Year")</f>
        <v>690</v>
      </c>
      <c r="AF68" s="76">
        <f>+GETPIVOTDATA(" Tot # Asc. Prof New",'NEW Counts Pivot Table'!$A$3,"State","MD","Category",12,"Category2","Technical Institutes")</f>
        <v>0</v>
      </c>
      <c r="AG68" s="77">
        <f>+GETPIVOTDATA(" Tot # Asc. Prof New",'NEW Counts Pivot Table'!$A$3,"State","MD","Category",13,"Category2","Technical Institutes")</f>
        <v>0</v>
      </c>
      <c r="AH68" s="76">
        <f>+GETPIVOTDATA(" Tot # Asc. Prof New",'NEW Counts Pivot Table'!$A$3,"State","MD","Category2","Technical Institutes")</f>
        <v>0</v>
      </c>
    </row>
    <row r="69" spans="1:36" x14ac:dyDescent="0.2">
      <c r="A69" s="10"/>
      <c r="B69" s="18" t="s">
        <v>101</v>
      </c>
      <c r="C69" s="12">
        <f t="shared" si="32"/>
        <v>0.18944844124700239</v>
      </c>
      <c r="D69" s="14">
        <f t="shared" si="32"/>
        <v>0.18996798292422626</v>
      </c>
      <c r="E69" s="14">
        <f t="shared" si="32"/>
        <v>0.34244946492271106</v>
      </c>
      <c r="F69" s="14">
        <f t="shared" si="32"/>
        <v>0.3253623188405797</v>
      </c>
      <c r="G69" s="14">
        <f t="shared" si="32"/>
        <v>0</v>
      </c>
      <c r="H69" s="40">
        <f t="shared" si="32"/>
        <v>0.2978723404255319</v>
      </c>
      <c r="I69" s="12">
        <f t="shared" si="32"/>
        <v>0.25629152405878802</v>
      </c>
      <c r="J69" s="12">
        <f t="shared" si="32"/>
        <v>0</v>
      </c>
      <c r="K69" s="14">
        <f t="shared" si="32"/>
        <v>0</v>
      </c>
      <c r="L69" s="14">
        <f t="shared" si="32"/>
        <v>0</v>
      </c>
      <c r="M69" s="14">
        <f t="shared" si="33"/>
        <v>0</v>
      </c>
      <c r="N69" s="12">
        <f t="shared" si="34"/>
        <v>0.31471061093247588</v>
      </c>
      <c r="O69" s="12">
        <f t="shared" si="34"/>
        <v>0</v>
      </c>
      <c r="P69" s="14">
        <f t="shared" si="34"/>
        <v>0</v>
      </c>
      <c r="Q69" s="12">
        <f t="shared" si="35"/>
        <v>0</v>
      </c>
      <c r="R69" s="56"/>
      <c r="S69" s="76">
        <f>+GETPIVOTDATA(" Tot # Ast. Prof New",'NEW Counts Pivot Table'!$A$3,"State","MD","Category",1,"Category2","Four-Year")</f>
        <v>316</v>
      </c>
      <c r="T69" s="77">
        <f>+GETPIVOTDATA(" Tot # Ast. Prof New",'NEW Counts Pivot Table'!$A$3,"State","MD","Category",2,"Category2","Four-Year")</f>
        <v>178</v>
      </c>
      <c r="U69" s="77">
        <f>+GETPIVOTDATA(" Tot # Ast. Prof New",'NEW Counts Pivot Table'!$A$3,"State","MD","Category",3,"Category2","Four-Year")</f>
        <v>288</v>
      </c>
      <c r="V69" s="77">
        <f>+GETPIVOTDATA(" Tot # Ast. Prof New",'NEW Counts Pivot Table'!$A$3,"State","MD","Category",4,"Category2","Four-Year")</f>
        <v>449</v>
      </c>
      <c r="W69" s="77">
        <f>+GETPIVOTDATA(" Tot # Ast. Prof New",'NEW Counts Pivot Table'!$A$3,"State","MD","Category",5,"Category2","Four-Year")</f>
        <v>0</v>
      </c>
      <c r="X69" s="77">
        <f>+GETPIVOTDATA(" Tot # Ast. Prof New",'NEW Counts Pivot Table'!$A$3,"State","MD","Category",6,"Category2","Four-Year")</f>
        <v>42</v>
      </c>
      <c r="Y69" s="78">
        <f>+GETPIVOTDATA(" Tot # Ast. Prof New",'NEW Counts Pivot Table'!$A$3,"State","MD","Category2","Four-Year")</f>
        <v>1273</v>
      </c>
      <c r="Z69" s="76">
        <f>+GETPIVOTDATA(" Tot # Ast. Prof New",'NEW Counts Pivot Table'!$A$3,"State","AR","Category",7,"Category2","Two-Year")</f>
        <v>0</v>
      </c>
      <c r="AA69" s="77">
        <f>+GETPIVOTDATA(" Tot # Ast. Prof New",'NEW Counts Pivot Table'!$A$3,"State","AR","Category",8,"Category2","Two-Year")</f>
        <v>0</v>
      </c>
      <c r="AB69" s="77">
        <f>+GETPIVOTDATA(" Tot # Ast. Prof New",'NEW Counts Pivot Table'!$A$3,"State","DE","Category",9,"Category2","Two-Year")</f>
        <v>0</v>
      </c>
      <c r="AC69" s="77">
        <f>+GETPIVOTDATA(" Tot # Ast. Prof New",'NEW Counts Pivot Table'!$A$3,"State","DE","Category",10,"Category2","Two-Year")</f>
        <v>0</v>
      </c>
      <c r="AD69" s="77">
        <f>+GETPIVOTDATA(" Tot # Ast. Prof New",'NEW Counts Pivot Table'!$A$3,"State","MD","Category",11,"Category2","Two-Year")</f>
        <v>0</v>
      </c>
      <c r="AE69" s="78">
        <f>+GETPIVOTDATA(" Tot # Ast. Prof New",'NEW Counts Pivot Table'!$A$3,"State","MD","Category2","Two-Year")</f>
        <v>783</v>
      </c>
      <c r="AF69" s="76">
        <f>+GETPIVOTDATA(" Tot # Ast. Prof New",'NEW Counts Pivot Table'!$A$3,"State","MD","Category",12,"Category2","Technical Institutes")</f>
        <v>0</v>
      </c>
      <c r="AG69" s="77">
        <f>+GETPIVOTDATA(" Tot # Ast. Prof New",'NEW Counts Pivot Table'!$A$3,"State","MD","Category",13,"Category2","Technical Institutes")</f>
        <v>0</v>
      </c>
      <c r="AH69" s="76">
        <f>+GETPIVOTDATA(" Tot # Ast. Prof New",'NEW Counts Pivot Table'!$A$3,"State","MD","Category2","Technical Institutes")</f>
        <v>0</v>
      </c>
    </row>
    <row r="70" spans="1:36" x14ac:dyDescent="0.2">
      <c r="A70" s="10"/>
      <c r="B70" s="18" t="s">
        <v>102</v>
      </c>
      <c r="C70" s="12">
        <f t="shared" si="32"/>
        <v>7.1942446043165471E-3</v>
      </c>
      <c r="D70" s="14">
        <f t="shared" si="32"/>
        <v>1.7075773745997867E-2</v>
      </c>
      <c r="E70" s="14">
        <f t="shared" si="32"/>
        <v>2.6159334126040427E-2</v>
      </c>
      <c r="F70" s="14">
        <f t="shared" si="32"/>
        <v>2.6086956521739129E-2</v>
      </c>
      <c r="G70" s="14">
        <f t="shared" si="32"/>
        <v>0</v>
      </c>
      <c r="H70" s="40">
        <f t="shared" si="32"/>
        <v>2.1276595744680851E-2</v>
      </c>
      <c r="I70" s="12">
        <f t="shared" si="32"/>
        <v>1.7918260519428228E-2</v>
      </c>
      <c r="J70" s="12">
        <f t="shared" si="32"/>
        <v>0</v>
      </c>
      <c r="K70" s="14">
        <f t="shared" si="32"/>
        <v>0</v>
      </c>
      <c r="L70" s="14">
        <f t="shared" si="32"/>
        <v>0</v>
      </c>
      <c r="M70" s="14">
        <f t="shared" si="33"/>
        <v>0</v>
      </c>
      <c r="N70" s="12">
        <f t="shared" si="34"/>
        <v>7.5160771704180063E-2</v>
      </c>
      <c r="O70" s="12">
        <f t="shared" si="34"/>
        <v>0</v>
      </c>
      <c r="P70" s="14">
        <f t="shared" si="34"/>
        <v>0</v>
      </c>
      <c r="Q70" s="12">
        <f t="shared" si="35"/>
        <v>0</v>
      </c>
      <c r="R70" s="56"/>
      <c r="S70" s="76">
        <f>+GETPIVOTDATA(" Tot # Instr. New",'NEW Counts Pivot Table'!$A$3,"State","MD","Category",1,"Category2","Four-Year")</f>
        <v>12</v>
      </c>
      <c r="T70" s="77">
        <f>+GETPIVOTDATA(" Tot # Instr. New",'NEW Counts Pivot Table'!$A$3,"State","MD","Category",2,"Category2","Four-Year")</f>
        <v>16</v>
      </c>
      <c r="U70" s="77">
        <f>+GETPIVOTDATA(" Tot # Instr. New",'NEW Counts Pivot Table'!$A$3,"State","MD","Category",3,"Category2","Four-Year")</f>
        <v>22</v>
      </c>
      <c r="V70" s="77">
        <f>+GETPIVOTDATA(" Tot # Instr. New",'NEW Counts Pivot Table'!$A$3,"State","MD","Category",4,"Category2","Four-Year")</f>
        <v>36</v>
      </c>
      <c r="W70" s="77">
        <f>+GETPIVOTDATA(" Tot # Instr. New",'NEW Counts Pivot Table'!$A$3,"State","MD","Category",5,"Category2","Four-Year")</f>
        <v>0</v>
      </c>
      <c r="X70" s="77">
        <f>+GETPIVOTDATA(" Tot # Instr. New",'NEW Counts Pivot Table'!$A$3,"State","MD","Category",6,"Category2","Four-Year")</f>
        <v>3</v>
      </c>
      <c r="Y70" s="78">
        <f>+GETPIVOTDATA(" Tot # Instr. New",'NEW Counts Pivot Table'!$A$3,"State","MD","Category2","Four-Year")</f>
        <v>89</v>
      </c>
      <c r="Z70" s="76">
        <f>+GETPIVOTDATA(" Tot # Instr. New",'NEW Counts Pivot Table'!$A$3,"State","AR","Category",7,"Category2","Two-Year")</f>
        <v>0</v>
      </c>
      <c r="AA70" s="77">
        <f>+GETPIVOTDATA(" Tot # Instr. New",'NEW Counts Pivot Table'!$A$3,"State","AR","Category",8,"Category2","Two-Year")</f>
        <v>0</v>
      </c>
      <c r="AB70" s="77">
        <f>+GETPIVOTDATA(" Tot # Instr. New",'NEW Counts Pivot Table'!$A$3,"State","DE","Category",9,"Category2","Two-Year")</f>
        <v>0</v>
      </c>
      <c r="AC70" s="77">
        <f>+GETPIVOTDATA(" Tot # Instr. New",'NEW Counts Pivot Table'!$A$3,"State","DE","Category",10,"Category2","Two-Year")</f>
        <v>0</v>
      </c>
      <c r="AD70" s="77">
        <f>+GETPIVOTDATA(" Tot # Instr. New",'NEW Counts Pivot Table'!$A$3,"State","MD","Category",11,"Category2","Two-Year")</f>
        <v>0</v>
      </c>
      <c r="AE70" s="78">
        <f>+GETPIVOTDATA(" Tot # Instr. New",'NEW Counts Pivot Table'!$A$3,"State","MD","Category2","Two-Year")</f>
        <v>187</v>
      </c>
      <c r="AF70" s="76">
        <f>+GETPIVOTDATA(" Tot # Instr. New",'NEW Counts Pivot Table'!$A$3,"State","MD","Category",12,"Category2","Technical Institutes")</f>
        <v>0</v>
      </c>
      <c r="AG70" s="77">
        <f>+GETPIVOTDATA(" Tot # Instr. New",'NEW Counts Pivot Table'!$A$3,"State","MD","Category",13,"Category2","Technical Institutes")</f>
        <v>0</v>
      </c>
      <c r="AH70" s="76">
        <f>+GETPIVOTDATA(" Tot # Instr. New",'NEW Counts Pivot Table'!$A$3,"State","MD","Category2","Technical Institutes")</f>
        <v>0</v>
      </c>
    </row>
    <row r="71" spans="1:36" x14ac:dyDescent="0.2">
      <c r="A71" s="10"/>
      <c r="B71" s="18" t="s">
        <v>83</v>
      </c>
      <c r="C71" s="12">
        <f t="shared" si="32"/>
        <v>0.15587529976019185</v>
      </c>
      <c r="D71" s="14">
        <f t="shared" si="32"/>
        <v>0.27321237993596587</v>
      </c>
      <c r="E71" s="14">
        <f t="shared" si="32"/>
        <v>0.20214030915576695</v>
      </c>
      <c r="F71" s="14">
        <f t="shared" si="32"/>
        <v>0.17173913043478262</v>
      </c>
      <c r="G71" s="14">
        <f t="shared" si="32"/>
        <v>0</v>
      </c>
      <c r="H71" s="40">
        <f t="shared" si="32"/>
        <v>0</v>
      </c>
      <c r="I71" s="12">
        <f t="shared" si="32"/>
        <v>0.1858264546003624</v>
      </c>
      <c r="J71" s="12">
        <f t="shared" si="32"/>
        <v>0</v>
      </c>
      <c r="K71" s="14">
        <f t="shared" si="32"/>
        <v>0</v>
      </c>
      <c r="L71" s="14">
        <f t="shared" si="32"/>
        <v>0</v>
      </c>
      <c r="M71" s="153">
        <f t="shared" si="33"/>
        <v>0</v>
      </c>
      <c r="N71" s="154">
        <f t="shared" si="34"/>
        <v>2.0096463022508037E-3</v>
      </c>
      <c r="O71" s="12">
        <f t="shared" si="34"/>
        <v>0</v>
      </c>
      <c r="P71" s="14">
        <f t="shared" si="34"/>
        <v>0</v>
      </c>
      <c r="Q71" s="12">
        <f t="shared" si="35"/>
        <v>0</v>
      </c>
      <c r="R71" s="56"/>
      <c r="S71" s="76">
        <f>++GETPIVOTDATA(" Tot # Undes. New",'NEW Counts Pivot Table'!$A$3,"State","MD","Category",1,"Category2","Four-Year")</f>
        <v>260</v>
      </c>
      <c r="T71" s="77">
        <f>+GETPIVOTDATA(" Tot # Undes. New",'NEW Counts Pivot Table'!$A$3,"State","MD","Category",2,"Category2","Four-Year")</f>
        <v>256</v>
      </c>
      <c r="U71" s="77">
        <f>+GETPIVOTDATA(" Tot # Undes. New",'NEW Counts Pivot Table'!$A$3,"State","MD","Category",3,"Category2","Four-Year")</f>
        <v>170</v>
      </c>
      <c r="V71" s="77">
        <f>+GETPIVOTDATA(" Tot # Undes. New",'NEW Counts Pivot Table'!$A$3,"State","MD","Category",4,"Category2","Four-Year")</f>
        <v>237</v>
      </c>
      <c r="W71" s="77">
        <f>+GETPIVOTDATA(" Tot # Undes. New",'NEW Counts Pivot Table'!$A$3,"State","MD","Category",5,"Category2","Four-Year")</f>
        <v>0</v>
      </c>
      <c r="X71" s="77">
        <f>+GETPIVOTDATA(" Tot # Undes. New",'NEW Counts Pivot Table'!$A$3,"State","MD","Category",6,"Category2","Four-Year")</f>
        <v>0</v>
      </c>
      <c r="Y71" s="78">
        <f>+GETPIVOTDATA(" Tot # Undes. New",'NEW Counts Pivot Table'!$A$3,"State","MD","Category2","Four-Year")</f>
        <v>923</v>
      </c>
      <c r="Z71" s="76">
        <f>+GETPIVOTDATA(" Tot # Undes. New",'NEW Counts Pivot Table'!$A$3,"State","AR","Category",7,"Category2","Two-Year")</f>
        <v>0</v>
      </c>
      <c r="AA71" s="77">
        <f>+GETPIVOTDATA(" Tot # Undes. New",'NEW Counts Pivot Table'!$A$3,"State","AR","Category",8,"Category2","Two-Year")</f>
        <v>0</v>
      </c>
      <c r="AB71" s="77">
        <f>+GETPIVOTDATA(" Tot # Undes. New",'NEW Counts Pivot Table'!$A$3,"State","DE","Category",9,"Category2","Two-Year")</f>
        <v>0</v>
      </c>
      <c r="AC71" s="77">
        <f>+GETPIVOTDATA(" Tot # Undes. New",'NEW Counts Pivot Table'!$A$3,"State","DE","Category",10,"Category2","Two-Year")</f>
        <v>0</v>
      </c>
      <c r="AD71" s="77">
        <f>+GETPIVOTDATA(" Tot # Undes. New",'NEW Counts Pivot Table'!$A$3,"State","MD","Category",11,"Category2","Two-Year")</f>
        <v>0</v>
      </c>
      <c r="AE71" s="78">
        <f>+GETPIVOTDATA(" Tot # Undes. New",'NEW Counts Pivot Table'!$A$3,"State","MD","Category2","Two-Year")</f>
        <v>5</v>
      </c>
      <c r="AF71" s="76">
        <f>+GETPIVOTDATA(" Tot # Undes. New",'NEW Counts Pivot Table'!$A$3,"State","MD","Category",12,"Category2","Technical Institutes")</f>
        <v>0</v>
      </c>
      <c r="AG71" s="77">
        <f>+GETPIVOTDATA(" Tot # Undes. New",'NEW Counts Pivot Table'!$A$3,"State","MD","Category",13,"Category2","Technical Institutes")</f>
        <v>0</v>
      </c>
      <c r="AH71" s="76">
        <f>+GETPIVOTDATA(" Tot # Undes. New",'NEW Counts Pivot Table'!$A$3,"State","MD","Category2","Technical Institutes")</f>
        <v>0</v>
      </c>
    </row>
    <row r="72" spans="1:36" x14ac:dyDescent="0.2">
      <c r="A72" s="10"/>
      <c r="B72" s="18" t="s">
        <v>82</v>
      </c>
      <c r="C72" s="12">
        <f t="shared" si="32"/>
        <v>0</v>
      </c>
      <c r="D72" s="14">
        <f t="shared" si="32"/>
        <v>0</v>
      </c>
      <c r="E72" s="103">
        <f t="shared" si="32"/>
        <v>0</v>
      </c>
      <c r="F72" s="14">
        <f t="shared" si="32"/>
        <v>0</v>
      </c>
      <c r="G72" s="103">
        <f t="shared" si="32"/>
        <v>0</v>
      </c>
      <c r="H72" s="40">
        <f t="shared" si="32"/>
        <v>0</v>
      </c>
      <c r="I72" s="102">
        <f t="shared" si="32"/>
        <v>0</v>
      </c>
      <c r="J72" s="12">
        <f t="shared" si="32"/>
        <v>0</v>
      </c>
      <c r="K72" s="14">
        <f t="shared" si="32"/>
        <v>1</v>
      </c>
      <c r="L72" s="14">
        <f t="shared" si="32"/>
        <v>1</v>
      </c>
      <c r="M72" s="14">
        <f t="shared" si="33"/>
        <v>1</v>
      </c>
      <c r="N72" s="12">
        <f t="shared" si="34"/>
        <v>0</v>
      </c>
      <c r="O72" s="12">
        <f t="shared" si="34"/>
        <v>0</v>
      </c>
      <c r="P72" s="14">
        <f t="shared" si="34"/>
        <v>0</v>
      </c>
      <c r="Q72" s="12">
        <f t="shared" si="35"/>
        <v>0</v>
      </c>
      <c r="R72" s="56"/>
      <c r="S72" s="76">
        <f>+GETPIVOTDATA(" Tot # Single Rnk New",'NEW Counts Pivot Table'!$A$3,"State","MD","Category",1,"Category2","Four-Year")</f>
        <v>0</v>
      </c>
      <c r="T72" s="77">
        <f>+GETPIVOTDATA(" Tot # Single Rnk New",'NEW Counts Pivot Table'!$A$3,"State","MD","Category",2,"Category2","Four-Year")</f>
        <v>0</v>
      </c>
      <c r="U72" s="77">
        <f>+GETPIVOTDATA(" Tot # Single Rnk New",'NEW Counts Pivot Table'!$A$3,"State","MD","Category",3,"Category2","Four-Year")</f>
        <v>0</v>
      </c>
      <c r="V72" s="77">
        <f>+GETPIVOTDATA(" Tot # Single Rnk New",'NEW Counts Pivot Table'!$A$3,"State","MD","Category",4,"Category2","Four-Year")</f>
        <v>0</v>
      </c>
      <c r="W72" s="77">
        <f>+GETPIVOTDATA(" Tot # Single Rnk New",'NEW Counts Pivot Table'!$A$3,"State","MD","Category",5,"Category2","Four-Year")</f>
        <v>0</v>
      </c>
      <c r="X72" s="77">
        <f>+GETPIVOTDATA(" Tot # Single Rnk New",'NEW Counts Pivot Table'!$A$3,"State","MD","Category",6,"Category2","Four-Year")</f>
        <v>0</v>
      </c>
      <c r="Y72" s="78">
        <f>+GETPIVOTDATA(" Tot # Single Rnk New",'NEW Counts Pivot Table'!$A$3,"State","MD","Category2","Four-Year")</f>
        <v>0</v>
      </c>
      <c r="Z72" s="76">
        <f>+GETPIVOTDATA(" Tot # Single Rnk New",'NEW Counts Pivot Table'!$A$3,"State","AR","Category",7,"Category2","Two-Year")</f>
        <v>0</v>
      </c>
      <c r="AA72" s="77">
        <f>+GETPIVOTDATA(" Tot # Single Rnk New",'NEW Counts Pivot Table'!$A$3,"State","AR","Category",8,"Category2","Two-Year")</f>
        <v>327</v>
      </c>
      <c r="AB72" s="77">
        <f>+GETPIVOTDATA(" Tot # Single Rnk New",'NEW Counts Pivot Table'!$A$3,"State","DE","Category",9,"Category2","Two-Year")</f>
        <v>122</v>
      </c>
      <c r="AC72" s="77">
        <f>+GETPIVOTDATA(" Tot # Single Rnk New",'NEW Counts Pivot Table'!$A$3,"State","DE","Category",10,"Category2","Two-Year")</f>
        <v>85</v>
      </c>
      <c r="AD72" s="77">
        <f>+GETPIVOTDATA(" Tot # Single Rnk New",'NEW Counts Pivot Table'!$A$3,"State","MD","Category",11,"Category2","Two-Year")</f>
        <v>0</v>
      </c>
      <c r="AE72" s="78">
        <f>+GETPIVOTDATA(" Tot # Single Rnk New",'NEW Counts Pivot Table'!$A$3,"State","MD","Category2","Two-Year")</f>
        <v>0</v>
      </c>
      <c r="AF72" s="76">
        <f>+GETPIVOTDATA(" Tot # Single Rnk New",'NEW Counts Pivot Table'!$A$3,"State","MD","Category",12,"Category2","Technical Institutes")</f>
        <v>0</v>
      </c>
      <c r="AG72" s="77">
        <f>+GETPIVOTDATA(" Tot # Single Rnk New",'NEW Counts Pivot Table'!$A$3,"State","MD","Category",13,"Category2","Technical Institutes")</f>
        <v>0</v>
      </c>
      <c r="AH72" s="76">
        <f>+GETPIVOTDATA(" Tot # Single Rnk New",'NEW Counts Pivot Table'!$A$3,"State","MD","Category2","Technical Institutes")</f>
        <v>0</v>
      </c>
    </row>
    <row r="73" spans="1:36" s="33" customFormat="1" x14ac:dyDescent="0.25">
      <c r="A73" s="109"/>
      <c r="B73" s="110" t="s">
        <v>84</v>
      </c>
      <c r="C73" s="13">
        <f t="shared" si="32"/>
        <v>1</v>
      </c>
      <c r="D73" s="11">
        <f t="shared" si="32"/>
        <v>1</v>
      </c>
      <c r="E73" s="11">
        <f t="shared" si="32"/>
        <v>1</v>
      </c>
      <c r="F73" s="11">
        <f t="shared" si="32"/>
        <v>1</v>
      </c>
      <c r="G73" s="11">
        <f t="shared" si="32"/>
        <v>0</v>
      </c>
      <c r="H73" s="41">
        <f t="shared" si="32"/>
        <v>1</v>
      </c>
      <c r="I73" s="13">
        <f t="shared" si="32"/>
        <v>1</v>
      </c>
      <c r="J73" s="13">
        <f t="shared" si="32"/>
        <v>0</v>
      </c>
      <c r="K73" s="11">
        <f t="shared" si="32"/>
        <v>1</v>
      </c>
      <c r="L73" s="11">
        <f t="shared" si="32"/>
        <v>1</v>
      </c>
      <c r="M73" s="11">
        <f t="shared" si="33"/>
        <v>1</v>
      </c>
      <c r="N73" s="13">
        <f t="shared" si="34"/>
        <v>1</v>
      </c>
      <c r="O73" s="13">
        <f t="shared" si="34"/>
        <v>0</v>
      </c>
      <c r="P73" s="11">
        <f t="shared" si="34"/>
        <v>0</v>
      </c>
      <c r="Q73" s="13">
        <f t="shared" si="35"/>
        <v>0</v>
      </c>
      <c r="R73" s="57"/>
      <c r="S73" s="79">
        <f>+GETPIVOTDATA(" All Ranks # New",'NEW Counts Pivot Table'!$A$3,"State","MD","Category",1,"Category2","Four-Year")</f>
        <v>1668</v>
      </c>
      <c r="T73" s="80">
        <f>+GETPIVOTDATA(" All Ranks # New",'NEW Counts Pivot Table'!$A$3,"State","MD","Category",2,"Category2","Four-Year")</f>
        <v>937</v>
      </c>
      <c r="U73" s="80">
        <f>+GETPIVOTDATA(" All Ranks # New",'NEW Counts Pivot Table'!$A$3,"State","MD","Category",3,"Category2","Four-Year")</f>
        <v>841</v>
      </c>
      <c r="V73" s="80">
        <f>+GETPIVOTDATA(" All Ranks # New",'NEW Counts Pivot Table'!$A$3,"State","MD","Category",4,"Category2","Four-Year")</f>
        <v>1380</v>
      </c>
      <c r="W73" s="80">
        <f>+GETPIVOTDATA(" All Ranks # New",'NEW Counts Pivot Table'!$A$3,"State","MD","Category",5,"Category2","Four-Year")</f>
        <v>0</v>
      </c>
      <c r="X73" s="80">
        <f>+GETPIVOTDATA(" All Ranks # New",'NEW Counts Pivot Table'!$A$3,"State","MD","Category",6,"Category2","Four-Year")</f>
        <v>141</v>
      </c>
      <c r="Y73" s="81">
        <f>+GETPIVOTDATA(" All Ranks # New",'NEW Counts Pivot Table'!$A$3,"State","MD","Category2","Four-Year")</f>
        <v>4967</v>
      </c>
      <c r="Z73" s="79">
        <f>+GETPIVOTDATA(" All Ranks # New",'NEW Counts Pivot Table'!$A$3,"State","AR","Category",7,"Category2","Two-Year")</f>
        <v>0</v>
      </c>
      <c r="AA73" s="80">
        <f>+GETPIVOTDATA(" All Ranks # New",'NEW Counts Pivot Table'!$A$3,"State","AR","Category",8,"Category2","Two-Year")</f>
        <v>327</v>
      </c>
      <c r="AB73" s="80">
        <f>+GETPIVOTDATA(" All Ranks # New",'NEW Counts Pivot Table'!$A$3,"State","DE","Category",9,"Category2","Two-Year")</f>
        <v>122</v>
      </c>
      <c r="AC73" s="80">
        <f>+GETPIVOTDATA(" All Ranks # New",'NEW Counts Pivot Table'!$A$3,"State","DE","Category",10,"Category2","Two-Year")</f>
        <v>85</v>
      </c>
      <c r="AD73" s="80">
        <f>+GETPIVOTDATA(" All Ranks # New",'NEW Counts Pivot Table'!$A$3,"State","MD","Category",11,"Category2","Two-Year")</f>
        <v>0</v>
      </c>
      <c r="AE73" s="81">
        <f>+GETPIVOTDATA(" All Ranks # New",'NEW Counts Pivot Table'!$A$3,"State","MD","Category2","Two-Year")</f>
        <v>2488</v>
      </c>
      <c r="AF73" s="79">
        <f>+GETPIVOTDATA(" All Ranks # New",'NEW Counts Pivot Table'!$A$3,"State","MD","Category",12,"Category2","Technical Institutes")</f>
        <v>0</v>
      </c>
      <c r="AG73" s="80">
        <f>+GETPIVOTDATA(" All Ranks # New",'NEW Counts Pivot Table'!$A$3,"State","MD","Category",13,"Category2","Technical Institutes")</f>
        <v>0</v>
      </c>
      <c r="AH73" s="79">
        <f>+GETPIVOTDATA(" All Ranks # New",'NEW Counts Pivot Table'!$A$3,"State","MD","Category2","Technical Institutes")</f>
        <v>0</v>
      </c>
      <c r="AI73" s="82"/>
      <c r="AJ73" s="82"/>
    </row>
    <row r="74" spans="1:36" x14ac:dyDescent="0.2">
      <c r="A74" s="18" t="s">
        <v>108</v>
      </c>
      <c r="B74" s="15" t="s">
        <v>99</v>
      </c>
      <c r="C74" s="16">
        <f t="shared" ref="C74:L80" si="36">IF(S$80&gt;0,(S74/S$80),0)</f>
        <v>0.22672577580747308</v>
      </c>
      <c r="D74" s="17">
        <f t="shared" si="36"/>
        <v>0.21628721541155868</v>
      </c>
      <c r="E74" s="17">
        <f t="shared" si="36"/>
        <v>0</v>
      </c>
      <c r="F74" s="17">
        <f t="shared" si="36"/>
        <v>0.18029350104821804</v>
      </c>
      <c r="G74" s="17">
        <f t="shared" si="36"/>
        <v>0.21897810218978103</v>
      </c>
      <c r="H74" s="39">
        <f t="shared" si="36"/>
        <v>0</v>
      </c>
      <c r="I74" s="16">
        <f t="shared" si="36"/>
        <v>0.216191904047976</v>
      </c>
      <c r="J74" s="16">
        <f t="shared" si="36"/>
        <v>0</v>
      </c>
      <c r="K74" s="17">
        <f t="shared" si="36"/>
        <v>0</v>
      </c>
      <c r="L74" s="17">
        <f t="shared" si="36"/>
        <v>0</v>
      </c>
      <c r="M74" s="17">
        <f t="shared" ref="M74:M80" si="37">IF(AC$80&gt;0,(AC74/AC$80),0)</f>
        <v>0</v>
      </c>
      <c r="N74" s="16">
        <f t="shared" ref="N74:P80" si="38">IF(AE$80&gt;0,(AE74/AE$80),0)</f>
        <v>0</v>
      </c>
      <c r="O74" s="91">
        <f t="shared" si="38"/>
        <v>0</v>
      </c>
      <c r="P74" s="17">
        <f t="shared" si="38"/>
        <v>0</v>
      </c>
      <c r="Q74" s="91">
        <f t="shared" ref="Q74:Q80" si="39">IF(AH$80&gt;0,(AH74/AH$80),0)</f>
        <v>0</v>
      </c>
      <c r="R74" s="83"/>
      <c r="S74" s="73">
        <f>+GETPIVOTDATA(" Total # Prof New",'NEW Counts Pivot Table'!$A$3,"State","MS","Category",1,"Category2","Four-Year")</f>
        <v>358</v>
      </c>
      <c r="T74" s="74">
        <f>+GETPIVOTDATA(" Total # Prof New",'NEW Counts Pivot Table'!$A$3,"State","MS","Category",2,"Category2","Four-Year")</f>
        <v>247</v>
      </c>
      <c r="U74" s="74">
        <f>+GETPIVOTDATA(" Total # Prof New",'NEW Counts Pivot Table'!$A$3,"State","MS","Category",3,"Category2","Four-Year")</f>
        <v>0</v>
      </c>
      <c r="V74" s="74">
        <f>+GETPIVOTDATA(" Total # Prof New",'NEW Counts Pivot Table'!$A$3,"State","MS","Category",4,"Category2","Four-Year")</f>
        <v>86</v>
      </c>
      <c r="W74" s="74">
        <f>+GETPIVOTDATA(" Total # Prof New",'NEW Counts Pivot Table'!$A$3,"State","MS","Category",5,"Category2","Four-Year")</f>
        <v>30</v>
      </c>
      <c r="X74" s="74">
        <f>+GETPIVOTDATA(" Total # Prof New",'NEW Counts Pivot Table'!$A$3,"State","MS","Category",6,"Category2","Four-Year")</f>
        <v>0</v>
      </c>
      <c r="Y74" s="75">
        <f>+GETPIVOTDATA(" Total # Prof New",'NEW Counts Pivot Table'!$A$3,"State","MS","Category2","Four-Year")</f>
        <v>721</v>
      </c>
      <c r="Z74" s="73">
        <f>+GETPIVOTDATA(" Total # Prof New",'NEW Counts Pivot Table'!$A$3,"State","AR","Category",7,"Category2","Two-Year")</f>
        <v>0</v>
      </c>
      <c r="AA74" s="74">
        <f>+GETPIVOTDATA(" Total # Prof New",'NEW Counts Pivot Table'!$A$3,"State","AR","Category",8,"Category2","Two-Year")</f>
        <v>0</v>
      </c>
      <c r="AB74" s="74">
        <f>+GETPIVOTDATA(" Total # Prof New",'NEW Counts Pivot Table'!$A$3,"State","DE","Category",9,"Category2","Two-Year")</f>
        <v>0</v>
      </c>
      <c r="AC74" s="74">
        <f>+GETPIVOTDATA(" Total # Prof New",'NEW Counts Pivot Table'!$A$3,"State","DE","Category",10,"Category2","Two-Year")</f>
        <v>0</v>
      </c>
      <c r="AD74" s="74">
        <f>+GETPIVOTDATA(" Total # Prof New",'NEW Counts Pivot Table'!$A$3,"State","MS","Category",11,"Category2","Two-Year")</f>
        <v>0</v>
      </c>
      <c r="AE74" s="75">
        <f>+GETPIVOTDATA(" Total # Prof New",'NEW Counts Pivot Table'!$A$3,"State","MS","Category2","Two-Year")</f>
        <v>0</v>
      </c>
      <c r="AF74" s="73">
        <f>+GETPIVOTDATA(" Total # Prof New",'NEW Counts Pivot Table'!$A$3,"State","MS","Category",12,"Category2","Technical Institutes")</f>
        <v>0</v>
      </c>
      <c r="AG74" s="74">
        <f>+GETPIVOTDATA(" Total # Prof New",'NEW Counts Pivot Table'!$A$3,"State","MS","Category",13,"Category2","Technical Institutes")</f>
        <v>0</v>
      </c>
      <c r="AH74" s="73">
        <f>+GETPIVOTDATA(" Total # Prof New",'NEW Counts Pivot Table'!$A$3,"State","MS","Category2","Technical Institutes")</f>
        <v>0</v>
      </c>
    </row>
    <row r="75" spans="1:36" x14ac:dyDescent="0.2">
      <c r="A75" s="10"/>
      <c r="B75" s="18" t="s">
        <v>100</v>
      </c>
      <c r="C75" s="12">
        <f t="shared" si="36"/>
        <v>0.25585813806206459</v>
      </c>
      <c r="D75" s="14">
        <f t="shared" si="36"/>
        <v>0.28809106830122594</v>
      </c>
      <c r="E75" s="14">
        <f t="shared" si="36"/>
        <v>0</v>
      </c>
      <c r="F75" s="14">
        <f t="shared" si="36"/>
        <v>0.23480083857442349</v>
      </c>
      <c r="G75" s="14">
        <f t="shared" si="36"/>
        <v>0.16788321167883211</v>
      </c>
      <c r="H75" s="40">
        <f t="shared" si="36"/>
        <v>0</v>
      </c>
      <c r="I75" s="12">
        <f t="shared" si="36"/>
        <v>0.26026986506746624</v>
      </c>
      <c r="J75" s="12">
        <f t="shared" si="36"/>
        <v>0</v>
      </c>
      <c r="K75" s="14">
        <f t="shared" si="36"/>
        <v>0</v>
      </c>
      <c r="L75" s="14">
        <f t="shared" si="36"/>
        <v>0</v>
      </c>
      <c r="M75" s="14">
        <f t="shared" si="37"/>
        <v>0</v>
      </c>
      <c r="N75" s="12">
        <f t="shared" si="38"/>
        <v>0</v>
      </c>
      <c r="O75" s="12">
        <f t="shared" si="38"/>
        <v>0</v>
      </c>
      <c r="P75" s="14">
        <f t="shared" si="38"/>
        <v>0</v>
      </c>
      <c r="Q75" s="12">
        <f t="shared" si="39"/>
        <v>0</v>
      </c>
      <c r="R75" s="56"/>
      <c r="S75" s="76">
        <f>+GETPIVOTDATA(" Tot # Asc. Prof New",'NEW Counts Pivot Table'!$A$3,"State","MS","Category",1,"Category2","Four-Year")</f>
        <v>404</v>
      </c>
      <c r="T75" s="77">
        <f>+GETPIVOTDATA(" Tot # Asc. Prof New",'NEW Counts Pivot Table'!$A$3,"State","MS","Category",2,"Category2","Four-Year")</f>
        <v>329</v>
      </c>
      <c r="U75" s="77">
        <f>+GETPIVOTDATA(" Tot # Asc. Prof New",'NEW Counts Pivot Table'!$A$3,"State","MS","Category",3,"Category2","Four-Year")</f>
        <v>0</v>
      </c>
      <c r="V75" s="77">
        <f>+GETPIVOTDATA(" Tot # Asc. Prof New",'NEW Counts Pivot Table'!$A$3,"State","MS","Category",4,"Category2","Four-Year")</f>
        <v>112</v>
      </c>
      <c r="W75" s="77">
        <f>+GETPIVOTDATA(" Tot # Asc. Prof New",'NEW Counts Pivot Table'!$A$3,"State","MS","Category",5,"Category2","Four-Year")</f>
        <v>23</v>
      </c>
      <c r="X75" s="77">
        <f>+GETPIVOTDATA(" Tot # Asc. Prof New",'NEW Counts Pivot Table'!$A$3,"State","MS","Category",6,"Category2","Four-Year")</f>
        <v>0</v>
      </c>
      <c r="Y75" s="78">
        <f>+GETPIVOTDATA(" Tot # Asc. Prof New",'NEW Counts Pivot Table'!$A$3,"State","MS","Category2","Four-Year")</f>
        <v>868</v>
      </c>
      <c r="Z75" s="76">
        <f>+GETPIVOTDATA(" Tot # Asc. Prof New",'NEW Counts Pivot Table'!$A$3,"State","AR","Category",7,"Category2","Two-Year")</f>
        <v>0</v>
      </c>
      <c r="AA75" s="77">
        <f>+GETPIVOTDATA(" Tot # Asc. Prof New",'NEW Counts Pivot Table'!$A$3,"State","AR","Category",8,"Category2","Two-Year")</f>
        <v>0</v>
      </c>
      <c r="AB75" s="77">
        <f>+GETPIVOTDATA(" Tot # Asc. Prof New",'NEW Counts Pivot Table'!$A$3,"State","DE","Category",9,"Category2","Two-Year")</f>
        <v>0</v>
      </c>
      <c r="AC75" s="77">
        <f>+GETPIVOTDATA(" Tot # Asc. Prof New",'NEW Counts Pivot Table'!$A$3,"State","DE","Category",10,"Category2","Two-Year")</f>
        <v>0</v>
      </c>
      <c r="AD75" s="77">
        <f>+GETPIVOTDATA(" Tot # Asc. Prof New",'NEW Counts Pivot Table'!$A$3,"State","MS","Category",11,"Category2","Two-Year")</f>
        <v>0</v>
      </c>
      <c r="AE75" s="78">
        <f>+GETPIVOTDATA(" Tot # Asc. Prof New",'NEW Counts Pivot Table'!$A$3,"State","MS","Category2","Two-Year")</f>
        <v>0</v>
      </c>
      <c r="AF75" s="76">
        <f>+GETPIVOTDATA(" Tot # Asc. Prof New",'NEW Counts Pivot Table'!$A$3,"State","MS","Category",12,"Category2","Technical Institutes")</f>
        <v>0</v>
      </c>
      <c r="AG75" s="77">
        <f>+GETPIVOTDATA(" Tot # Asc. Prof New",'NEW Counts Pivot Table'!$A$3,"State","MS","Category",13,"Category2","Technical Institutes")</f>
        <v>0</v>
      </c>
      <c r="AH75" s="76">
        <f>+GETPIVOTDATA(" Tot # Asc. Prof New",'NEW Counts Pivot Table'!$A$3,"State","MS","Category2","Technical Institutes")</f>
        <v>0</v>
      </c>
    </row>
    <row r="76" spans="1:36" x14ac:dyDescent="0.2">
      <c r="A76" s="10"/>
      <c r="B76" s="18" t="s">
        <v>101</v>
      </c>
      <c r="C76" s="12">
        <f t="shared" si="36"/>
        <v>0.30018999366687776</v>
      </c>
      <c r="D76" s="14">
        <f t="shared" si="36"/>
        <v>0.29334500875656744</v>
      </c>
      <c r="E76" s="14">
        <f t="shared" si="36"/>
        <v>0</v>
      </c>
      <c r="F76" s="14">
        <f t="shared" si="36"/>
        <v>0.33333333333333331</v>
      </c>
      <c r="G76" s="14">
        <f t="shared" si="36"/>
        <v>0.22627737226277372</v>
      </c>
      <c r="H76" s="40">
        <f t="shared" si="36"/>
        <v>0</v>
      </c>
      <c r="I76" s="12">
        <f t="shared" si="36"/>
        <v>0.29955022488755623</v>
      </c>
      <c r="J76" s="12">
        <f t="shared" si="36"/>
        <v>0</v>
      </c>
      <c r="K76" s="14">
        <f t="shared" si="36"/>
        <v>0</v>
      </c>
      <c r="L76" s="14">
        <f t="shared" si="36"/>
        <v>0</v>
      </c>
      <c r="M76" s="14">
        <f t="shared" si="37"/>
        <v>0</v>
      </c>
      <c r="N76" s="12">
        <f t="shared" si="38"/>
        <v>0</v>
      </c>
      <c r="O76" s="12">
        <f t="shared" si="38"/>
        <v>0</v>
      </c>
      <c r="P76" s="14">
        <f t="shared" si="38"/>
        <v>0</v>
      </c>
      <c r="Q76" s="12">
        <f t="shared" si="39"/>
        <v>0</v>
      </c>
      <c r="R76" s="56"/>
      <c r="S76" s="76">
        <f>+GETPIVOTDATA(" Tot # Ast. Prof New",'NEW Counts Pivot Table'!$A$3,"State","MS","Category",1,"Category2","Four-Year")</f>
        <v>474</v>
      </c>
      <c r="T76" s="77">
        <f>+GETPIVOTDATA(" Tot # Ast. Prof New",'NEW Counts Pivot Table'!$A$3,"State","MS","Category",2,"Category2","Four-Year")</f>
        <v>335</v>
      </c>
      <c r="U76" s="77">
        <f>+GETPIVOTDATA(" Tot # Ast. Prof New",'NEW Counts Pivot Table'!$A$3,"State","MS","Category",3,"Category2","Four-Year")</f>
        <v>0</v>
      </c>
      <c r="V76" s="77">
        <f>+GETPIVOTDATA(" Tot # Ast. Prof New",'NEW Counts Pivot Table'!$A$3,"State","MS","Category",4,"Category2","Four-Year")</f>
        <v>159</v>
      </c>
      <c r="W76" s="77">
        <f>+GETPIVOTDATA(" Tot # Ast. Prof New",'NEW Counts Pivot Table'!$A$3,"State","MS","Category",5,"Category2","Four-Year")</f>
        <v>31</v>
      </c>
      <c r="X76" s="77">
        <f>+GETPIVOTDATA(" Tot # Ast. Prof New",'NEW Counts Pivot Table'!$A$3,"State","MS","Category",6,"Category2","Four-Year")</f>
        <v>0</v>
      </c>
      <c r="Y76" s="78">
        <f>+GETPIVOTDATA(" Tot # Ast. Prof New",'NEW Counts Pivot Table'!$A$3,"State","MS","Category2","Four-Year")</f>
        <v>999</v>
      </c>
      <c r="Z76" s="76">
        <f>+GETPIVOTDATA(" Tot # Ast. Prof New",'NEW Counts Pivot Table'!$A$3,"State","AR","Category",7,"Category2","Two-Year")</f>
        <v>0</v>
      </c>
      <c r="AA76" s="77">
        <f>+GETPIVOTDATA(" Tot # Ast. Prof New",'NEW Counts Pivot Table'!$A$3,"State","AR","Category",8,"Category2","Two-Year")</f>
        <v>0</v>
      </c>
      <c r="AB76" s="77">
        <f>+GETPIVOTDATA(" Tot # Ast. Prof New",'NEW Counts Pivot Table'!$A$3,"State","DE","Category",9,"Category2","Two-Year")</f>
        <v>0</v>
      </c>
      <c r="AC76" s="77">
        <f>+GETPIVOTDATA(" Tot # Ast. Prof New",'NEW Counts Pivot Table'!$A$3,"State","DE","Category",10,"Category2","Two-Year")</f>
        <v>0</v>
      </c>
      <c r="AD76" s="77">
        <f>+GETPIVOTDATA(" Tot # Ast. Prof New",'NEW Counts Pivot Table'!$A$3,"State","MS","Category",11,"Category2","Two-Year")</f>
        <v>0</v>
      </c>
      <c r="AE76" s="78">
        <f>+GETPIVOTDATA(" Tot # Ast. Prof New",'NEW Counts Pivot Table'!$A$3,"State","MS","Category2","Two-Year")</f>
        <v>0</v>
      </c>
      <c r="AF76" s="76">
        <f>+GETPIVOTDATA(" Tot # Ast. Prof New",'NEW Counts Pivot Table'!$A$3,"State","MS","Category",12,"Category2","Technical Institutes")</f>
        <v>0</v>
      </c>
      <c r="AG76" s="77">
        <f>+GETPIVOTDATA(" Tot # Ast. Prof New",'NEW Counts Pivot Table'!$A$3,"State","MS","Category",13,"Category2","Technical Institutes")</f>
        <v>0</v>
      </c>
      <c r="AH76" s="76">
        <f>+GETPIVOTDATA(" Tot # Ast. Prof New",'NEW Counts Pivot Table'!$A$3,"State","MS","Category2","Technical Institutes")</f>
        <v>0</v>
      </c>
    </row>
    <row r="77" spans="1:36" x14ac:dyDescent="0.2">
      <c r="A77" s="10"/>
      <c r="B77" s="18" t="s">
        <v>102</v>
      </c>
      <c r="C77" s="12">
        <f t="shared" si="36"/>
        <v>0.1779607346421786</v>
      </c>
      <c r="D77" s="14">
        <f t="shared" si="36"/>
        <v>0.18826619964973731</v>
      </c>
      <c r="E77" s="14">
        <f t="shared" si="36"/>
        <v>0</v>
      </c>
      <c r="F77" s="14">
        <f t="shared" si="36"/>
        <v>0.25157232704402516</v>
      </c>
      <c r="G77" s="14">
        <f t="shared" si="36"/>
        <v>0.38686131386861317</v>
      </c>
      <c r="H77" s="40">
        <f t="shared" si="36"/>
        <v>0</v>
      </c>
      <c r="I77" s="12">
        <f t="shared" si="36"/>
        <v>0.20059970014992504</v>
      </c>
      <c r="J77" s="12">
        <f t="shared" si="36"/>
        <v>0</v>
      </c>
      <c r="K77" s="14">
        <f t="shared" si="36"/>
        <v>0</v>
      </c>
      <c r="L77" s="14">
        <f t="shared" si="36"/>
        <v>0</v>
      </c>
      <c r="M77" s="14">
        <f t="shared" si="37"/>
        <v>0</v>
      </c>
      <c r="N77" s="12">
        <f t="shared" si="38"/>
        <v>0</v>
      </c>
      <c r="O77" s="12">
        <f t="shared" si="38"/>
        <v>0</v>
      </c>
      <c r="P77" s="14">
        <f t="shared" si="38"/>
        <v>0</v>
      </c>
      <c r="Q77" s="12">
        <f t="shared" si="39"/>
        <v>0</v>
      </c>
      <c r="R77" s="56"/>
      <c r="S77" s="76">
        <f>+GETPIVOTDATA(" Tot # Instr. New",'NEW Counts Pivot Table'!$A$3,"State","MS","Category",1,"Category2","Four-Year")</f>
        <v>281</v>
      </c>
      <c r="T77" s="77">
        <f>+GETPIVOTDATA(" Tot # Instr. New",'NEW Counts Pivot Table'!$A$3,"State","MS","Category",2,"Category2","Four-Year")</f>
        <v>215</v>
      </c>
      <c r="U77" s="77">
        <f>+GETPIVOTDATA(" Tot # Instr. New",'NEW Counts Pivot Table'!$A$3,"State","MS","Category",3,"Category2","Four-Year")</f>
        <v>0</v>
      </c>
      <c r="V77" s="77">
        <f>+GETPIVOTDATA(" Tot # Instr. New",'NEW Counts Pivot Table'!$A$3,"State","MS","Category",4,"Category2","Four-Year")</f>
        <v>120</v>
      </c>
      <c r="W77" s="77">
        <f>+GETPIVOTDATA(" Tot # Instr. New",'NEW Counts Pivot Table'!$A$3,"State","MS","Category",5,"Category2","Four-Year")</f>
        <v>53</v>
      </c>
      <c r="X77" s="77">
        <f>+GETPIVOTDATA(" Tot # Instr. New",'NEW Counts Pivot Table'!$A$3,"State","MS","Category",6,"Category2","Four-Year")</f>
        <v>0</v>
      </c>
      <c r="Y77" s="78">
        <f>+GETPIVOTDATA(" Tot # Instr. New",'NEW Counts Pivot Table'!$A$3,"State","MS","Category2","Four-Year")</f>
        <v>669</v>
      </c>
      <c r="Z77" s="76">
        <f>+GETPIVOTDATA(" Tot # Instr. New",'NEW Counts Pivot Table'!$A$3,"State","AR","Category",7,"Category2","Two-Year")</f>
        <v>0</v>
      </c>
      <c r="AA77" s="77">
        <f>+GETPIVOTDATA(" Tot # Instr. New",'NEW Counts Pivot Table'!$A$3,"State","AR","Category",8,"Category2","Two-Year")</f>
        <v>0</v>
      </c>
      <c r="AB77" s="77">
        <f>+GETPIVOTDATA(" Tot # Instr. New",'NEW Counts Pivot Table'!$A$3,"State","DE","Category",9,"Category2","Two-Year")</f>
        <v>0</v>
      </c>
      <c r="AC77" s="77">
        <f>+GETPIVOTDATA(" Tot # Instr. New",'NEW Counts Pivot Table'!$A$3,"State","DE","Category",10,"Category2","Two-Year")</f>
        <v>0</v>
      </c>
      <c r="AD77" s="77">
        <f>+GETPIVOTDATA(" Tot # Instr. New",'NEW Counts Pivot Table'!$A$3,"State","MS","Category",11,"Category2","Two-Year")</f>
        <v>0</v>
      </c>
      <c r="AE77" s="78">
        <f>+GETPIVOTDATA(" Tot # Instr. New",'NEW Counts Pivot Table'!$A$3,"State","MS","Category2","Two-Year")</f>
        <v>0</v>
      </c>
      <c r="AF77" s="76">
        <f>+GETPIVOTDATA(" Tot # Instr. New",'NEW Counts Pivot Table'!$A$3,"State","MS","Category",12,"Category2","Technical Institutes")</f>
        <v>0</v>
      </c>
      <c r="AG77" s="77">
        <f>+GETPIVOTDATA(" Tot # Instr. New",'NEW Counts Pivot Table'!$A$3,"State","MS","Category",13,"Category2","Technical Institutes")</f>
        <v>0</v>
      </c>
      <c r="AH77" s="76">
        <f>+GETPIVOTDATA(" Tot # Instr. New",'NEW Counts Pivot Table'!$A$3,"State","MS","Category2","Technical Institutes")</f>
        <v>0</v>
      </c>
    </row>
    <row r="78" spans="1:36" x14ac:dyDescent="0.2">
      <c r="A78" s="10"/>
      <c r="B78" s="18" t="s">
        <v>83</v>
      </c>
      <c r="C78" s="12">
        <f t="shared" si="36"/>
        <v>3.9265357821405951E-2</v>
      </c>
      <c r="D78" s="14">
        <f t="shared" si="36"/>
        <v>1.4010507880910683E-2</v>
      </c>
      <c r="E78" s="14">
        <f t="shared" si="36"/>
        <v>0</v>
      </c>
      <c r="F78" s="14">
        <f t="shared" si="36"/>
        <v>0</v>
      </c>
      <c r="G78" s="14">
        <f t="shared" si="36"/>
        <v>0</v>
      </c>
      <c r="H78" s="40">
        <f t="shared" si="36"/>
        <v>0</v>
      </c>
      <c r="I78" s="12">
        <f t="shared" si="36"/>
        <v>2.3388305847076463E-2</v>
      </c>
      <c r="J78" s="12">
        <f t="shared" si="36"/>
        <v>0</v>
      </c>
      <c r="K78" s="14">
        <f t="shared" si="36"/>
        <v>0</v>
      </c>
      <c r="L78" s="14">
        <f t="shared" si="36"/>
        <v>0</v>
      </c>
      <c r="M78" s="14">
        <f t="shared" si="37"/>
        <v>0</v>
      </c>
      <c r="N78" s="12">
        <f t="shared" si="38"/>
        <v>0</v>
      </c>
      <c r="O78" s="12">
        <f t="shared" si="38"/>
        <v>0</v>
      </c>
      <c r="P78" s="14">
        <f t="shared" si="38"/>
        <v>0</v>
      </c>
      <c r="Q78" s="12">
        <f t="shared" si="39"/>
        <v>0</v>
      </c>
      <c r="R78" s="56"/>
      <c r="S78" s="76">
        <f>++GETPIVOTDATA(" Tot # Undes. New",'NEW Counts Pivot Table'!$A$3,"State","MS","Category",1,"Category2","Four-Year")</f>
        <v>62</v>
      </c>
      <c r="T78" s="77">
        <f>+GETPIVOTDATA(" Tot # Undes. New",'NEW Counts Pivot Table'!$A$3,"State","MS","Category",2,"Category2","Four-Year")</f>
        <v>16</v>
      </c>
      <c r="U78" s="77">
        <f>+GETPIVOTDATA(" Tot # Undes. New",'NEW Counts Pivot Table'!$A$3,"State","MS","Category",3,"Category2","Four-Year")</f>
        <v>0</v>
      </c>
      <c r="V78" s="77">
        <f>+GETPIVOTDATA(" Tot # Undes. New",'NEW Counts Pivot Table'!$A$3,"State","MS","Category",4,"Category2","Four-Year")</f>
        <v>0</v>
      </c>
      <c r="W78" s="77">
        <f>+GETPIVOTDATA(" Tot # Undes. New",'NEW Counts Pivot Table'!$A$3,"State","MS","Category",5,"Category2","Four-Year")</f>
        <v>0</v>
      </c>
      <c r="X78" s="77">
        <f>+GETPIVOTDATA(" Tot # Undes. New",'NEW Counts Pivot Table'!$A$3,"State","MS","Category",6,"Category2","Four-Year")</f>
        <v>0</v>
      </c>
      <c r="Y78" s="78">
        <f>+GETPIVOTDATA(" Tot # Undes. New",'NEW Counts Pivot Table'!$A$3,"State","MS","Category2","Four-Year")</f>
        <v>78</v>
      </c>
      <c r="Z78" s="76">
        <f>+GETPIVOTDATA(" Tot # Undes. New",'NEW Counts Pivot Table'!$A$3,"State","AR","Category",7,"Category2","Two-Year")</f>
        <v>0</v>
      </c>
      <c r="AA78" s="77">
        <f>+GETPIVOTDATA(" Tot # Undes. New",'NEW Counts Pivot Table'!$A$3,"State","AR","Category",8,"Category2","Two-Year")</f>
        <v>0</v>
      </c>
      <c r="AB78" s="77">
        <f>+GETPIVOTDATA(" Tot # Undes. New",'NEW Counts Pivot Table'!$A$3,"State","DE","Category",9,"Category2","Two-Year")</f>
        <v>0</v>
      </c>
      <c r="AC78" s="77">
        <f>+GETPIVOTDATA(" Tot # Undes. New",'NEW Counts Pivot Table'!$A$3,"State","DE","Category",10,"Category2","Two-Year")</f>
        <v>0</v>
      </c>
      <c r="AD78" s="77">
        <f>+GETPIVOTDATA(" Tot # Undes. New",'NEW Counts Pivot Table'!$A$3,"State","MS","Category",11,"Category2","Two-Year")</f>
        <v>0</v>
      </c>
      <c r="AE78" s="78">
        <f>+GETPIVOTDATA(" Tot # Undes. New",'NEW Counts Pivot Table'!$A$3,"State","MS","Category2","Two-Year")</f>
        <v>0</v>
      </c>
      <c r="AF78" s="76">
        <f>+GETPIVOTDATA(" Tot # Undes. New",'NEW Counts Pivot Table'!$A$3,"State","MS","Category",12,"Category2","Technical Institutes")</f>
        <v>0</v>
      </c>
      <c r="AG78" s="77">
        <f>+GETPIVOTDATA(" Tot # Undes. New",'NEW Counts Pivot Table'!$A$3,"State","MS","Category",13,"Category2","Technical Institutes")</f>
        <v>0</v>
      </c>
      <c r="AH78" s="76">
        <f>+GETPIVOTDATA(" Tot # Undes. New",'NEW Counts Pivot Table'!$A$3,"State","MS","Category2","Technical Institutes")</f>
        <v>0</v>
      </c>
    </row>
    <row r="79" spans="1:36" x14ac:dyDescent="0.2">
      <c r="A79" s="10"/>
      <c r="B79" s="18" t="s">
        <v>82</v>
      </c>
      <c r="C79" s="12">
        <f t="shared" si="36"/>
        <v>0</v>
      </c>
      <c r="D79" s="14">
        <f t="shared" si="36"/>
        <v>0</v>
      </c>
      <c r="E79" s="103">
        <f t="shared" si="36"/>
        <v>0</v>
      </c>
      <c r="F79" s="14">
        <f t="shared" si="36"/>
        <v>0</v>
      </c>
      <c r="G79" s="103">
        <f t="shared" si="36"/>
        <v>0</v>
      </c>
      <c r="H79" s="40">
        <f t="shared" si="36"/>
        <v>0</v>
      </c>
      <c r="I79" s="102">
        <f t="shared" si="36"/>
        <v>0</v>
      </c>
      <c r="J79" s="12">
        <f t="shared" si="36"/>
        <v>0</v>
      </c>
      <c r="K79" s="14">
        <f t="shared" si="36"/>
        <v>1</v>
      </c>
      <c r="L79" s="14">
        <f t="shared" si="36"/>
        <v>1</v>
      </c>
      <c r="M79" s="14">
        <f t="shared" si="37"/>
        <v>1</v>
      </c>
      <c r="N79" s="12">
        <f t="shared" si="38"/>
        <v>1</v>
      </c>
      <c r="O79" s="12">
        <f t="shared" si="38"/>
        <v>0</v>
      </c>
      <c r="P79" s="14">
        <f t="shared" si="38"/>
        <v>0</v>
      </c>
      <c r="Q79" s="12">
        <f t="shared" si="39"/>
        <v>0</v>
      </c>
      <c r="R79" s="56"/>
      <c r="S79" s="76">
        <f>+GETPIVOTDATA(" Tot # Single Rnk New",'NEW Counts Pivot Table'!$A$3,"State","MS","Category",1,"Category2","Four-Year")</f>
        <v>0</v>
      </c>
      <c r="T79" s="77">
        <f>+GETPIVOTDATA(" Tot # Single Rnk New",'NEW Counts Pivot Table'!$A$3,"State","MS","Category",2,"Category2","Four-Year")</f>
        <v>0</v>
      </c>
      <c r="U79" s="77">
        <f>+GETPIVOTDATA(" Tot # Single Rnk New",'NEW Counts Pivot Table'!$A$3,"State","MS","Category",3,"Category2","Four-Year")</f>
        <v>0</v>
      </c>
      <c r="V79" s="77">
        <f>+GETPIVOTDATA(" Tot # Single Rnk New",'NEW Counts Pivot Table'!$A$3,"State","MS","Category",4,"Category2","Four-Year")</f>
        <v>0</v>
      </c>
      <c r="W79" s="77">
        <f>+GETPIVOTDATA(" Tot # Single Rnk New",'NEW Counts Pivot Table'!$A$3,"State","MS","Category",5,"Category2","Four-Year")</f>
        <v>0</v>
      </c>
      <c r="X79" s="77">
        <f>+GETPIVOTDATA(" Tot # Single Rnk New",'NEW Counts Pivot Table'!$A$3,"State","MS","Category",6,"Category2","Four-Year")</f>
        <v>0</v>
      </c>
      <c r="Y79" s="78">
        <f>+GETPIVOTDATA(" Tot # Single Rnk New",'NEW Counts Pivot Table'!$A$3,"State","MS","Category2","Four-Year")</f>
        <v>0</v>
      </c>
      <c r="Z79" s="76">
        <f>+GETPIVOTDATA(" Tot # Single Rnk New",'NEW Counts Pivot Table'!$A$3,"State","AR","Category",7,"Category2","Two-Year")</f>
        <v>0</v>
      </c>
      <c r="AA79" s="77">
        <f>+GETPIVOTDATA(" Tot # Single Rnk New",'NEW Counts Pivot Table'!$A$3,"State","AR","Category",8,"Category2","Two-Year")</f>
        <v>327</v>
      </c>
      <c r="AB79" s="77">
        <f>+GETPIVOTDATA(" Tot # Single Rnk New",'NEW Counts Pivot Table'!$A$3,"State","DE","Category",9,"Category2","Two-Year")</f>
        <v>122</v>
      </c>
      <c r="AC79" s="77">
        <f>+GETPIVOTDATA(" Tot # Single Rnk New",'NEW Counts Pivot Table'!$A$3,"State","DE","Category",10,"Category2","Two-Year")</f>
        <v>85</v>
      </c>
      <c r="AD79" s="77">
        <f>+GETPIVOTDATA(" Tot # Single Rnk New",'NEW Counts Pivot Table'!$A$3,"State","MS","Category",11,"Category2","Two-Year")</f>
        <v>0</v>
      </c>
      <c r="AE79" s="78">
        <f>+GETPIVOTDATA(" Tot # Single Rnk New",'NEW Counts Pivot Table'!$A$3,"State","MS","Category2","Two-Year")</f>
        <v>2521.9</v>
      </c>
      <c r="AF79" s="76">
        <f>+GETPIVOTDATA(" Tot # Single Rnk New",'NEW Counts Pivot Table'!$A$3,"State","MS","Category",12,"Category2","Technical Institutes")</f>
        <v>0</v>
      </c>
      <c r="AG79" s="77">
        <f>+GETPIVOTDATA(" Tot # Single Rnk New",'NEW Counts Pivot Table'!$A$3,"State","MS","Category",13,"Category2","Technical Institutes")</f>
        <v>0</v>
      </c>
      <c r="AH79" s="76">
        <f>+GETPIVOTDATA(" Tot # Single Rnk New",'NEW Counts Pivot Table'!$A$3,"State","MS","Category2","Technical Institutes")</f>
        <v>0</v>
      </c>
    </row>
    <row r="80" spans="1:36" s="33" customFormat="1" x14ac:dyDescent="0.25">
      <c r="A80" s="109"/>
      <c r="B80" s="110" t="s">
        <v>84</v>
      </c>
      <c r="C80" s="13">
        <f t="shared" si="36"/>
        <v>1</v>
      </c>
      <c r="D80" s="11">
        <f t="shared" si="36"/>
        <v>1</v>
      </c>
      <c r="E80" s="11">
        <f t="shared" si="36"/>
        <v>0</v>
      </c>
      <c r="F80" s="11">
        <f t="shared" si="36"/>
        <v>1</v>
      </c>
      <c r="G80" s="11">
        <f t="shared" si="36"/>
        <v>1</v>
      </c>
      <c r="H80" s="41">
        <f t="shared" si="36"/>
        <v>0</v>
      </c>
      <c r="I80" s="13">
        <f t="shared" si="36"/>
        <v>1</v>
      </c>
      <c r="J80" s="13">
        <f t="shared" si="36"/>
        <v>0</v>
      </c>
      <c r="K80" s="11">
        <f t="shared" si="36"/>
        <v>1</v>
      </c>
      <c r="L80" s="11">
        <f t="shared" si="36"/>
        <v>1</v>
      </c>
      <c r="M80" s="11">
        <f t="shared" si="37"/>
        <v>1</v>
      </c>
      <c r="N80" s="13">
        <f t="shared" si="38"/>
        <v>1</v>
      </c>
      <c r="O80" s="13">
        <f t="shared" si="38"/>
        <v>0</v>
      </c>
      <c r="P80" s="11">
        <f t="shared" si="38"/>
        <v>0</v>
      </c>
      <c r="Q80" s="13">
        <f t="shared" si="39"/>
        <v>0</v>
      </c>
      <c r="R80" s="57"/>
      <c r="S80" s="79">
        <f>+GETPIVOTDATA(" All Ranks # New",'NEW Counts Pivot Table'!$A$3,"State","MS","Category",1,"Category2","Four-Year")</f>
        <v>1579</v>
      </c>
      <c r="T80" s="80">
        <f>+GETPIVOTDATA(" All Ranks # New",'NEW Counts Pivot Table'!$A$3,"State","MS","Category",2,"Category2","Four-Year")</f>
        <v>1142</v>
      </c>
      <c r="U80" s="80">
        <f>+GETPIVOTDATA(" All Ranks # New",'NEW Counts Pivot Table'!$A$3,"State","MS","Category",3,"Category2","Four-Year")</f>
        <v>0</v>
      </c>
      <c r="V80" s="80">
        <f>+GETPIVOTDATA(" All Ranks # New",'NEW Counts Pivot Table'!$A$3,"State","MS","Category",4,"Category2","Four-Year")</f>
        <v>477</v>
      </c>
      <c r="W80" s="80">
        <f>+GETPIVOTDATA(" All Ranks # New",'NEW Counts Pivot Table'!$A$3,"State","MS","Category",5,"Category2","Four-Year")</f>
        <v>137</v>
      </c>
      <c r="X80" s="80">
        <f>+GETPIVOTDATA(" All Ranks # New",'NEW Counts Pivot Table'!$A$3,"State","MS","Category",6,"Category2","Four-Year")</f>
        <v>0</v>
      </c>
      <c r="Y80" s="81">
        <f>+GETPIVOTDATA(" All Ranks # New",'NEW Counts Pivot Table'!$A$3,"State","MS","Category2","Four-Year")</f>
        <v>3335</v>
      </c>
      <c r="Z80" s="79">
        <f>+GETPIVOTDATA(" All Ranks # New",'NEW Counts Pivot Table'!$A$3,"State","AR","Category",7,"Category2","Two-Year")</f>
        <v>0</v>
      </c>
      <c r="AA80" s="80">
        <f>+GETPIVOTDATA(" All Ranks # New",'NEW Counts Pivot Table'!$A$3,"State","AR","Category",8,"Category2","Two-Year")</f>
        <v>327</v>
      </c>
      <c r="AB80" s="80">
        <f>+GETPIVOTDATA(" All Ranks # New",'NEW Counts Pivot Table'!$A$3,"State","DE","Category",9,"Category2","Two-Year")</f>
        <v>122</v>
      </c>
      <c r="AC80" s="80">
        <f>+GETPIVOTDATA(" All Ranks # New",'NEW Counts Pivot Table'!$A$3,"State","DE","Category",10,"Category2","Two-Year")</f>
        <v>85</v>
      </c>
      <c r="AD80" s="80">
        <f>+GETPIVOTDATA(" All Ranks # New",'NEW Counts Pivot Table'!$A$3,"State","MS","Category",11,"Category2","Two-Year")</f>
        <v>0</v>
      </c>
      <c r="AE80" s="81">
        <f>+GETPIVOTDATA(" All Ranks # New",'NEW Counts Pivot Table'!$A$3,"State","MS","Category2","Two-Year")</f>
        <v>2521.9</v>
      </c>
      <c r="AF80" s="79">
        <f>+GETPIVOTDATA(" All Ranks # New",'NEW Counts Pivot Table'!$A$3,"State","MS","Category",12,"Category2","Technical Institutes")</f>
        <v>0</v>
      </c>
      <c r="AG80" s="80">
        <f>+GETPIVOTDATA(" All Ranks # New",'NEW Counts Pivot Table'!$A$3,"State","MS","Category",13,"Category2","Technical Institutes")</f>
        <v>0</v>
      </c>
      <c r="AH80" s="79">
        <f>+GETPIVOTDATA(" All Ranks # New",'NEW Counts Pivot Table'!$A$3,"State","MS","Category2","Technical Institutes")</f>
        <v>0</v>
      </c>
      <c r="AI80" s="82"/>
      <c r="AJ80" s="82"/>
    </row>
    <row r="81" spans="1:36" x14ac:dyDescent="0.2">
      <c r="A81" s="18" t="s">
        <v>109</v>
      </c>
      <c r="B81" s="15" t="s">
        <v>99</v>
      </c>
      <c r="C81" s="16">
        <f t="shared" ref="C81:L87" si="40">IF(S$87&gt;0,(S81/S$87),0)</f>
        <v>0.34720908230842007</v>
      </c>
      <c r="D81" s="17">
        <f t="shared" si="40"/>
        <v>0.22039134912461381</v>
      </c>
      <c r="E81" s="17">
        <f t="shared" si="40"/>
        <v>0.22440944881889763</v>
      </c>
      <c r="F81" s="17">
        <f t="shared" si="40"/>
        <v>0.17857142857142858</v>
      </c>
      <c r="G81" s="17">
        <f t="shared" si="40"/>
        <v>0.14732142857142858</v>
      </c>
      <c r="H81" s="39">
        <f t="shared" si="40"/>
        <v>0.30107526881720431</v>
      </c>
      <c r="I81" s="16">
        <f t="shared" si="40"/>
        <v>0.26967035042977239</v>
      </c>
      <c r="J81" s="16">
        <f t="shared" si="40"/>
        <v>0</v>
      </c>
      <c r="K81" s="17">
        <f t="shared" si="40"/>
        <v>0</v>
      </c>
      <c r="L81" s="17">
        <f t="shared" si="40"/>
        <v>0</v>
      </c>
      <c r="M81" s="17">
        <f t="shared" ref="M81:M87" si="41">IF(AC$87&gt;0,(AC81/AC$87),0)</f>
        <v>0</v>
      </c>
      <c r="N81" s="16">
        <f t="shared" ref="N81:P87" si="42">IF(AE$87&gt;0,(AE81/AE$87),0)</f>
        <v>0</v>
      </c>
      <c r="O81" s="91">
        <f t="shared" si="42"/>
        <v>0</v>
      </c>
      <c r="P81" s="17">
        <f t="shared" si="42"/>
        <v>0</v>
      </c>
      <c r="Q81" s="91">
        <f t="shared" ref="Q81:Q87" si="43">IF(AH$87&gt;0,(AH81/AH$87),0)</f>
        <v>0</v>
      </c>
      <c r="R81" s="83"/>
      <c r="S81" s="73">
        <f>+GETPIVOTDATA(" Total # Prof New",'NEW Counts Pivot Table'!$A$3,"State","NC","Category",1,"Category2","Four-Year")</f>
        <v>1468</v>
      </c>
      <c r="T81" s="74">
        <f>+GETPIVOTDATA(" Total # Prof New",'NEW Counts Pivot Table'!$A$3,"State","NC","Category",2,"Category2","Four-Year")</f>
        <v>214</v>
      </c>
      <c r="U81" s="74">
        <f>+GETPIVOTDATA(" Total # Prof New",'NEW Counts Pivot Table'!$A$3,"State","NC","Category",3,"Category2","Four-Year")</f>
        <v>912</v>
      </c>
      <c r="V81" s="74">
        <f>+GETPIVOTDATA(" Total # Prof New",'NEW Counts Pivot Table'!$A$3,"State","NC","Category",4,"Category2","Four-Year")</f>
        <v>50</v>
      </c>
      <c r="W81" s="74">
        <f>+GETPIVOTDATA(" Total # Prof New",'NEW Counts Pivot Table'!$A$3,"State","NC","Category",5,"Category2","Four-Year")</f>
        <v>99</v>
      </c>
      <c r="X81" s="74">
        <f>+GETPIVOTDATA(" Total # Prof New",'NEW Counts Pivot Table'!$A$3,"State","NC","Category",6,"Category2","Four-Year")</f>
        <v>112</v>
      </c>
      <c r="Y81" s="75">
        <f>+GETPIVOTDATA(" Total # Prof New",'NEW Counts Pivot Table'!$A$3,"State","NC","Category2","Four-Year")</f>
        <v>2855</v>
      </c>
      <c r="Z81" s="73">
        <f>+GETPIVOTDATA(" Total # Prof New",'NEW Counts Pivot Table'!$A$3,"State","AR","Category",7,"Category2","Two-Year")</f>
        <v>0</v>
      </c>
      <c r="AA81" s="74">
        <f>+GETPIVOTDATA(" Total # Prof New",'NEW Counts Pivot Table'!$A$3,"State","AR","Category",8,"Category2","Two-Year")</f>
        <v>0</v>
      </c>
      <c r="AB81" s="74">
        <f>+GETPIVOTDATA(" Total # Prof New",'NEW Counts Pivot Table'!$A$3,"State","DE","Category",9,"Category2","Two-Year")</f>
        <v>0</v>
      </c>
      <c r="AC81" s="74">
        <f>+GETPIVOTDATA(" Total # Prof New",'NEW Counts Pivot Table'!$A$3,"State","DE","Category",10,"Category2","Two-Year")</f>
        <v>0</v>
      </c>
      <c r="AD81" s="74">
        <f>+GETPIVOTDATA(" Total # Prof New",'NEW Counts Pivot Table'!$A$3,"State","NC","Category",11,"Category2","Two-Year")</f>
        <v>0</v>
      </c>
      <c r="AE81" s="75">
        <f>+GETPIVOTDATA(" Total # Prof New",'NEW Counts Pivot Table'!$A$3,"State","NC","Category2","Two-Year")</f>
        <v>0</v>
      </c>
      <c r="AF81" s="73">
        <f>+GETPIVOTDATA(" Total # Prof New",'NEW Counts Pivot Table'!$A$3,"State","NC","Category",12,"Category2","Technical Institutes")</f>
        <v>0</v>
      </c>
      <c r="AG81" s="74">
        <f>+GETPIVOTDATA(" Total # Prof New",'NEW Counts Pivot Table'!$A$3,"State","NC","Category",13,"Category2","Technical Institutes")</f>
        <v>0</v>
      </c>
      <c r="AH81" s="73">
        <f>+GETPIVOTDATA(" Total # Prof New",'NEW Counts Pivot Table'!$A$3,"State","NC","Category2","Technical Institutes")</f>
        <v>0</v>
      </c>
    </row>
    <row r="82" spans="1:36" x14ac:dyDescent="0.2">
      <c r="A82" s="10"/>
      <c r="B82" s="18" t="s">
        <v>100</v>
      </c>
      <c r="C82" s="12">
        <f t="shared" si="40"/>
        <v>0.25070955534531691</v>
      </c>
      <c r="D82" s="14">
        <f t="shared" si="40"/>
        <v>0.31307929969104015</v>
      </c>
      <c r="E82" s="14">
        <f t="shared" si="40"/>
        <v>0.30536417322834647</v>
      </c>
      <c r="F82" s="14">
        <f t="shared" si="40"/>
        <v>0.31785714285714284</v>
      </c>
      <c r="G82" s="14">
        <f t="shared" si="40"/>
        <v>0.27976190476190477</v>
      </c>
      <c r="H82" s="40">
        <f t="shared" si="40"/>
        <v>0.26881720430107525</v>
      </c>
      <c r="I82" s="12">
        <f t="shared" si="40"/>
        <v>0.28166619438934543</v>
      </c>
      <c r="J82" s="12">
        <f t="shared" si="40"/>
        <v>0</v>
      </c>
      <c r="K82" s="14">
        <f t="shared" si="40"/>
        <v>0</v>
      </c>
      <c r="L82" s="14">
        <f t="shared" si="40"/>
        <v>0</v>
      </c>
      <c r="M82" s="14">
        <f t="shared" si="41"/>
        <v>0</v>
      </c>
      <c r="N82" s="12">
        <f t="shared" si="42"/>
        <v>0</v>
      </c>
      <c r="O82" s="12">
        <f t="shared" si="42"/>
        <v>0</v>
      </c>
      <c r="P82" s="14">
        <f t="shared" si="42"/>
        <v>0</v>
      </c>
      <c r="Q82" s="12">
        <f t="shared" si="43"/>
        <v>0</v>
      </c>
      <c r="R82" s="56"/>
      <c r="S82" s="76">
        <f>+GETPIVOTDATA(" Tot # Asc. Prof New",'NEW Counts Pivot Table'!$A$3,"State","NC","Category",1,"Category2","Four-Year")</f>
        <v>1060</v>
      </c>
      <c r="T82" s="77">
        <f>+GETPIVOTDATA(" Tot # Asc. Prof New",'NEW Counts Pivot Table'!$A$3,"State","NC","Category",2,"Category2","Four-Year")</f>
        <v>304</v>
      </c>
      <c r="U82" s="77">
        <f>+GETPIVOTDATA(" Tot # Asc. Prof New",'NEW Counts Pivot Table'!$A$3,"State","NC","Category",3,"Category2","Four-Year")</f>
        <v>1241</v>
      </c>
      <c r="V82" s="77">
        <f>+GETPIVOTDATA(" Tot # Asc. Prof New",'NEW Counts Pivot Table'!$A$3,"State","NC","Category",4,"Category2","Four-Year")</f>
        <v>89</v>
      </c>
      <c r="W82" s="77">
        <f>+GETPIVOTDATA(" Tot # Asc. Prof New",'NEW Counts Pivot Table'!$A$3,"State","NC","Category",5,"Category2","Four-Year")</f>
        <v>188</v>
      </c>
      <c r="X82" s="77">
        <f>+GETPIVOTDATA(" Tot # Asc. Prof New",'NEW Counts Pivot Table'!$A$3,"State","NC","Category",6,"Category2","Four-Year")</f>
        <v>100</v>
      </c>
      <c r="Y82" s="78">
        <f>+GETPIVOTDATA(" Tot # Asc. Prof New",'NEW Counts Pivot Table'!$A$3,"State","NC","Category2","Four-Year")</f>
        <v>2982</v>
      </c>
      <c r="Z82" s="76">
        <f>+GETPIVOTDATA(" Tot # Asc. Prof New",'NEW Counts Pivot Table'!$A$3,"State","AR","Category",7,"Category2","Two-Year")</f>
        <v>0</v>
      </c>
      <c r="AA82" s="77">
        <f>+GETPIVOTDATA(" Tot # Asc. Prof New",'NEW Counts Pivot Table'!$A$3,"State","AR","Category",8,"Category2","Two-Year")</f>
        <v>0</v>
      </c>
      <c r="AB82" s="77">
        <f>+GETPIVOTDATA(" Tot # Asc. Prof New",'NEW Counts Pivot Table'!$A$3,"State","DE","Category",9,"Category2","Two-Year")</f>
        <v>0</v>
      </c>
      <c r="AC82" s="77">
        <f>+GETPIVOTDATA(" Tot # Asc. Prof New",'NEW Counts Pivot Table'!$A$3,"State","DE","Category",10,"Category2","Two-Year")</f>
        <v>0</v>
      </c>
      <c r="AD82" s="77">
        <f>+GETPIVOTDATA(" Tot # Asc. Prof New",'NEW Counts Pivot Table'!$A$3,"State","NC","Category",11,"Category2","Two-Year")</f>
        <v>0</v>
      </c>
      <c r="AE82" s="78">
        <f>+GETPIVOTDATA(" Tot # Asc. Prof New",'NEW Counts Pivot Table'!$A$3,"State","NC","Category2","Two-Year")</f>
        <v>0</v>
      </c>
      <c r="AF82" s="76">
        <f>+GETPIVOTDATA(" Tot # Asc. Prof New",'NEW Counts Pivot Table'!$A$3,"State","NC","Category",12,"Category2","Technical Institutes")</f>
        <v>0</v>
      </c>
      <c r="AG82" s="77">
        <f>+GETPIVOTDATA(" Tot # Asc. Prof New",'NEW Counts Pivot Table'!$A$3,"State","NC","Category",13,"Category2","Technical Institutes")</f>
        <v>0</v>
      </c>
      <c r="AH82" s="76">
        <f>+GETPIVOTDATA(" Tot # Asc. Prof New",'NEW Counts Pivot Table'!$A$3,"State","NC","Category2","Technical Institutes")</f>
        <v>0</v>
      </c>
    </row>
    <row r="83" spans="1:36" x14ac:dyDescent="0.2">
      <c r="A83" s="10"/>
      <c r="B83" s="18" t="s">
        <v>101</v>
      </c>
      <c r="C83" s="12">
        <f t="shared" si="40"/>
        <v>0.19607379375591297</v>
      </c>
      <c r="D83" s="14">
        <f t="shared" si="40"/>
        <v>0.22039134912461381</v>
      </c>
      <c r="E83" s="14">
        <f t="shared" si="40"/>
        <v>0.24483267716535434</v>
      </c>
      <c r="F83" s="14">
        <f t="shared" si="40"/>
        <v>0.36071428571428571</v>
      </c>
      <c r="G83" s="14">
        <f t="shared" si="40"/>
        <v>0.33035714285714285</v>
      </c>
      <c r="H83" s="40">
        <f t="shared" si="40"/>
        <v>0.22580645161290322</v>
      </c>
      <c r="I83" s="12">
        <f t="shared" si="40"/>
        <v>0.23094361008784359</v>
      </c>
      <c r="J83" s="12">
        <f t="shared" si="40"/>
        <v>0</v>
      </c>
      <c r="K83" s="14">
        <f t="shared" si="40"/>
        <v>0</v>
      </c>
      <c r="L83" s="14">
        <f t="shared" si="40"/>
        <v>0</v>
      </c>
      <c r="M83" s="14">
        <f t="shared" si="41"/>
        <v>0</v>
      </c>
      <c r="N83" s="12">
        <f t="shared" si="42"/>
        <v>0</v>
      </c>
      <c r="O83" s="12">
        <f t="shared" si="42"/>
        <v>0</v>
      </c>
      <c r="P83" s="14">
        <f t="shared" si="42"/>
        <v>0</v>
      </c>
      <c r="Q83" s="12">
        <f t="shared" si="43"/>
        <v>0</v>
      </c>
      <c r="R83" s="56"/>
      <c r="S83" s="76">
        <f>+GETPIVOTDATA(" Tot # Ast. Prof New",'NEW Counts Pivot Table'!$A$3,"State","NC","Category",1,"Category2","Four-Year")</f>
        <v>829</v>
      </c>
      <c r="T83" s="77">
        <f>+GETPIVOTDATA(" Tot # Ast. Prof New",'NEW Counts Pivot Table'!$A$3,"State","NC","Category",2,"Category2","Four-Year")</f>
        <v>214</v>
      </c>
      <c r="U83" s="77">
        <f>+GETPIVOTDATA(" Tot # Ast. Prof New",'NEW Counts Pivot Table'!$A$3,"State","NC","Category",3,"Category2","Four-Year")</f>
        <v>995</v>
      </c>
      <c r="V83" s="77">
        <f>+GETPIVOTDATA(" Tot # Ast. Prof New",'NEW Counts Pivot Table'!$A$3,"State","NC","Category",4,"Category2","Four-Year")</f>
        <v>101</v>
      </c>
      <c r="W83" s="77">
        <f>+GETPIVOTDATA(" Tot # Ast. Prof New",'NEW Counts Pivot Table'!$A$3,"State","NC","Category",5,"Category2","Four-Year")</f>
        <v>222</v>
      </c>
      <c r="X83" s="77">
        <f>+GETPIVOTDATA(" Tot # Ast. Prof New",'NEW Counts Pivot Table'!$A$3,"State","NC","Category",6,"Category2","Four-Year")</f>
        <v>84</v>
      </c>
      <c r="Y83" s="78">
        <f>+GETPIVOTDATA(" Tot # Ast. Prof New",'NEW Counts Pivot Table'!$A$3,"State","NC","Category2","Four-Year")</f>
        <v>2445</v>
      </c>
      <c r="Z83" s="76">
        <f>+GETPIVOTDATA(" Tot # Ast. Prof New",'NEW Counts Pivot Table'!$A$3,"State","AR","Category",7,"Category2","Two-Year")</f>
        <v>0</v>
      </c>
      <c r="AA83" s="77">
        <f>+GETPIVOTDATA(" Tot # Ast. Prof New",'NEW Counts Pivot Table'!$A$3,"State","AR","Category",8,"Category2","Two-Year")</f>
        <v>0</v>
      </c>
      <c r="AB83" s="77">
        <f>+GETPIVOTDATA(" Tot # Ast. Prof New",'NEW Counts Pivot Table'!$A$3,"State","DE","Category",9,"Category2","Two-Year")</f>
        <v>0</v>
      </c>
      <c r="AC83" s="77">
        <f>+GETPIVOTDATA(" Tot # Ast. Prof New",'NEW Counts Pivot Table'!$A$3,"State","DE","Category",10,"Category2","Two-Year")</f>
        <v>0</v>
      </c>
      <c r="AD83" s="77">
        <f>+GETPIVOTDATA(" Tot # Ast. Prof New",'NEW Counts Pivot Table'!$A$3,"State","NC","Category",11,"Category2","Two-Year")</f>
        <v>0</v>
      </c>
      <c r="AE83" s="78">
        <f>+GETPIVOTDATA(" Tot # Ast. Prof New",'NEW Counts Pivot Table'!$A$3,"State","NC","Category2","Two-Year")</f>
        <v>0</v>
      </c>
      <c r="AF83" s="76">
        <f>+GETPIVOTDATA(" Tot # Ast. Prof New",'NEW Counts Pivot Table'!$A$3,"State","NC","Category",12,"Category2","Technical Institutes")</f>
        <v>0</v>
      </c>
      <c r="AG83" s="77">
        <f>+GETPIVOTDATA(" Tot # Ast. Prof New",'NEW Counts Pivot Table'!$A$3,"State","NC","Category",13,"Category2","Technical Institutes")</f>
        <v>0</v>
      </c>
      <c r="AH83" s="76">
        <f>+GETPIVOTDATA(" Tot # Ast. Prof New",'NEW Counts Pivot Table'!$A$3,"State","NC","Category2","Technical Institutes")</f>
        <v>0</v>
      </c>
    </row>
    <row r="84" spans="1:36" x14ac:dyDescent="0.2">
      <c r="A84" s="10"/>
      <c r="B84" s="18" t="s">
        <v>102</v>
      </c>
      <c r="C84" s="12">
        <f t="shared" si="40"/>
        <v>1.5610217596972564E-2</v>
      </c>
      <c r="D84" s="153">
        <f t="shared" si="40"/>
        <v>0</v>
      </c>
      <c r="E84" s="14">
        <f t="shared" si="40"/>
        <v>1.0580708661417323E-2</v>
      </c>
      <c r="F84" s="14">
        <f t="shared" si="40"/>
        <v>2.5000000000000001E-2</v>
      </c>
      <c r="G84" s="14">
        <f t="shared" si="40"/>
        <v>7.8869047619047616E-2</v>
      </c>
      <c r="H84" s="40">
        <f t="shared" si="40"/>
        <v>1.3440860215053764E-2</v>
      </c>
      <c r="I84" s="12">
        <f t="shared" si="40"/>
        <v>1.6435250779257581E-2</v>
      </c>
      <c r="J84" s="12">
        <f t="shared" si="40"/>
        <v>0</v>
      </c>
      <c r="K84" s="14">
        <f t="shared" si="40"/>
        <v>0</v>
      </c>
      <c r="L84" s="14">
        <f t="shared" si="40"/>
        <v>0</v>
      </c>
      <c r="M84" s="14">
        <f t="shared" si="41"/>
        <v>0</v>
      </c>
      <c r="N84" s="12">
        <f t="shared" si="42"/>
        <v>0</v>
      </c>
      <c r="O84" s="12">
        <f t="shared" si="42"/>
        <v>0</v>
      </c>
      <c r="P84" s="14">
        <f t="shared" si="42"/>
        <v>0</v>
      </c>
      <c r="Q84" s="12">
        <f t="shared" si="43"/>
        <v>0</v>
      </c>
      <c r="R84" s="56"/>
      <c r="S84" s="76">
        <f>+GETPIVOTDATA(" Tot # Instr. New",'NEW Counts Pivot Table'!$A$3,"State","NC","Category",1,"Category2","Four-Year")</f>
        <v>66</v>
      </c>
      <c r="T84" s="77">
        <f>+GETPIVOTDATA(" Tot # Instr. New",'NEW Counts Pivot Table'!$A$3,"State","NC","Category",2,"Category2","Four-Year")</f>
        <v>0</v>
      </c>
      <c r="U84" s="77">
        <f>+GETPIVOTDATA(" Tot # Instr. New",'NEW Counts Pivot Table'!$A$3,"State","NC","Category",3,"Category2","Four-Year")</f>
        <v>43</v>
      </c>
      <c r="V84" s="77">
        <f>+GETPIVOTDATA(" Tot # Instr. New",'NEW Counts Pivot Table'!$A$3,"State","NC","Category",4,"Category2","Four-Year")</f>
        <v>7</v>
      </c>
      <c r="W84" s="77">
        <f>+GETPIVOTDATA(" Tot # Instr. New",'NEW Counts Pivot Table'!$A$3,"State","NC","Category",5,"Category2","Four-Year")</f>
        <v>53</v>
      </c>
      <c r="X84" s="77">
        <f>+GETPIVOTDATA(" Tot # Instr. New",'NEW Counts Pivot Table'!$A$3,"State","NC","Category",6,"Category2","Four-Year")</f>
        <v>5</v>
      </c>
      <c r="Y84" s="78">
        <f>+GETPIVOTDATA(" Tot # Instr. New",'NEW Counts Pivot Table'!$A$3,"State","NC","Category2","Four-Year")</f>
        <v>174</v>
      </c>
      <c r="Z84" s="76">
        <f>+GETPIVOTDATA(" Tot # Instr. New",'NEW Counts Pivot Table'!$A$3,"State","AR","Category",7,"Category2","Two-Year")</f>
        <v>0</v>
      </c>
      <c r="AA84" s="77">
        <f>+GETPIVOTDATA(" Tot # Instr. New",'NEW Counts Pivot Table'!$A$3,"State","AR","Category",8,"Category2","Two-Year")</f>
        <v>0</v>
      </c>
      <c r="AB84" s="77">
        <f>+GETPIVOTDATA(" Tot # Instr. New",'NEW Counts Pivot Table'!$A$3,"State","DE","Category",9,"Category2","Two-Year")</f>
        <v>0</v>
      </c>
      <c r="AC84" s="77">
        <f>+GETPIVOTDATA(" Tot # Instr. New",'NEW Counts Pivot Table'!$A$3,"State","DE","Category",10,"Category2","Two-Year")</f>
        <v>0</v>
      </c>
      <c r="AD84" s="77">
        <f>+GETPIVOTDATA(" Tot # Instr. New",'NEW Counts Pivot Table'!$A$3,"State","NC","Category",11,"Category2","Two-Year")</f>
        <v>0</v>
      </c>
      <c r="AE84" s="78">
        <f>+GETPIVOTDATA(" Tot # Instr. New",'NEW Counts Pivot Table'!$A$3,"State","NC","Category2","Two-Year")</f>
        <v>0</v>
      </c>
      <c r="AF84" s="76">
        <f>+GETPIVOTDATA(" Tot # Instr. New",'NEW Counts Pivot Table'!$A$3,"State","NC","Category",12,"Category2","Technical Institutes")</f>
        <v>0</v>
      </c>
      <c r="AG84" s="77">
        <f>+GETPIVOTDATA(" Tot # Instr. New",'NEW Counts Pivot Table'!$A$3,"State","NC","Category",13,"Category2","Technical Institutes")</f>
        <v>0</v>
      </c>
      <c r="AH84" s="76">
        <f>+GETPIVOTDATA(" Tot # Instr. New",'NEW Counts Pivot Table'!$A$3,"State","NC","Category2","Technical Institutes")</f>
        <v>0</v>
      </c>
    </row>
    <row r="85" spans="1:36" x14ac:dyDescent="0.2">
      <c r="A85" s="10"/>
      <c r="B85" s="18" t="s">
        <v>83</v>
      </c>
      <c r="C85" s="12">
        <f t="shared" si="40"/>
        <v>0.19039735099337748</v>
      </c>
      <c r="D85" s="14">
        <f t="shared" si="40"/>
        <v>0.24613800205973224</v>
      </c>
      <c r="E85" s="14">
        <f t="shared" si="40"/>
        <v>0.21481299212598426</v>
      </c>
      <c r="F85" s="14">
        <f t="shared" si="40"/>
        <v>0.11785714285714285</v>
      </c>
      <c r="G85" s="14">
        <f t="shared" si="40"/>
        <v>0.16369047619047619</v>
      </c>
      <c r="H85" s="40">
        <f t="shared" si="40"/>
        <v>0.19086021505376344</v>
      </c>
      <c r="I85" s="12">
        <f t="shared" si="40"/>
        <v>0.20128459431378104</v>
      </c>
      <c r="J85" s="12">
        <f t="shared" si="40"/>
        <v>0</v>
      </c>
      <c r="K85" s="14">
        <f t="shared" si="40"/>
        <v>0</v>
      </c>
      <c r="L85" s="14">
        <f t="shared" si="40"/>
        <v>0</v>
      </c>
      <c r="M85" s="14">
        <f t="shared" si="41"/>
        <v>0</v>
      </c>
      <c r="N85" s="12">
        <f t="shared" si="42"/>
        <v>0</v>
      </c>
      <c r="O85" s="12">
        <f t="shared" si="42"/>
        <v>0</v>
      </c>
      <c r="P85" s="14">
        <f t="shared" si="42"/>
        <v>0</v>
      </c>
      <c r="Q85" s="12">
        <f t="shared" si="43"/>
        <v>0</v>
      </c>
      <c r="R85" s="56"/>
      <c r="S85" s="76">
        <f>++GETPIVOTDATA(" Tot # Undes. New",'NEW Counts Pivot Table'!$A$3,"State","NC","Category",1,"Category2","Four-Year")</f>
        <v>805</v>
      </c>
      <c r="T85" s="77">
        <f>+GETPIVOTDATA(" Tot # Undes. New",'NEW Counts Pivot Table'!$A$3,"State","NC","Category",2,"Category2","Four-Year")</f>
        <v>239</v>
      </c>
      <c r="U85" s="77">
        <f>+GETPIVOTDATA(" Tot # Undes. New",'NEW Counts Pivot Table'!$A$3,"State","NC","Category",3,"Category2","Four-Year")</f>
        <v>873</v>
      </c>
      <c r="V85" s="77">
        <f>+GETPIVOTDATA(" Tot # Undes. New",'NEW Counts Pivot Table'!$A$3,"State","NC","Category",4,"Category2","Four-Year")</f>
        <v>33</v>
      </c>
      <c r="W85" s="77">
        <f>+GETPIVOTDATA(" Tot # Undes. New",'NEW Counts Pivot Table'!$A$3,"State","NC","Category",5,"Category2","Four-Year")</f>
        <v>110</v>
      </c>
      <c r="X85" s="77">
        <f>+GETPIVOTDATA(" Tot # Undes. New",'NEW Counts Pivot Table'!$A$3,"State","NC","Category",6,"Category2","Four-Year")</f>
        <v>71</v>
      </c>
      <c r="Y85" s="78">
        <f>+GETPIVOTDATA(" Tot # Undes. New",'NEW Counts Pivot Table'!$A$3,"State","NC","Category2","Four-Year")</f>
        <v>2131</v>
      </c>
      <c r="Z85" s="76">
        <f>+GETPIVOTDATA(" Tot # Undes. New",'NEW Counts Pivot Table'!$A$3,"State","AR","Category",7,"Category2","Two-Year")</f>
        <v>0</v>
      </c>
      <c r="AA85" s="77">
        <f>+GETPIVOTDATA(" Tot # Undes. New",'NEW Counts Pivot Table'!$A$3,"State","AR","Category",8,"Category2","Two-Year")</f>
        <v>0</v>
      </c>
      <c r="AB85" s="77">
        <f>+GETPIVOTDATA(" Tot # Undes. New",'NEW Counts Pivot Table'!$A$3,"State","DE","Category",9,"Category2","Two-Year")</f>
        <v>0</v>
      </c>
      <c r="AC85" s="77">
        <f>+GETPIVOTDATA(" Tot # Undes. New",'NEW Counts Pivot Table'!$A$3,"State","DE","Category",10,"Category2","Two-Year")</f>
        <v>0</v>
      </c>
      <c r="AD85" s="77">
        <f>+GETPIVOTDATA(" Tot # Undes. New",'NEW Counts Pivot Table'!$A$3,"State","NC","Category",11,"Category2","Two-Year")</f>
        <v>0</v>
      </c>
      <c r="AE85" s="78">
        <f>+GETPIVOTDATA(" Tot # Undes. New",'NEW Counts Pivot Table'!$A$3,"State","NC","Category2","Two-Year")</f>
        <v>0</v>
      </c>
      <c r="AF85" s="76">
        <f>+GETPIVOTDATA(" Tot # Undes. New",'NEW Counts Pivot Table'!$A$3,"State","NC","Category",12,"Category2","Technical Institutes")</f>
        <v>0</v>
      </c>
      <c r="AG85" s="77">
        <f>+GETPIVOTDATA(" Tot # Undes. New",'NEW Counts Pivot Table'!$A$3,"State","NC","Category",13,"Category2","Technical Institutes")</f>
        <v>0</v>
      </c>
      <c r="AH85" s="76">
        <f>+GETPIVOTDATA(" Tot # Undes. New",'NEW Counts Pivot Table'!$A$3,"State","NC","Category2","Technical Institutes")</f>
        <v>0</v>
      </c>
    </row>
    <row r="86" spans="1:36" x14ac:dyDescent="0.2">
      <c r="A86" s="10"/>
      <c r="B86" s="18" t="s">
        <v>82</v>
      </c>
      <c r="C86" s="12">
        <f t="shared" si="40"/>
        <v>0</v>
      </c>
      <c r="D86" s="14">
        <f t="shared" si="40"/>
        <v>0</v>
      </c>
      <c r="E86" s="103">
        <f t="shared" si="40"/>
        <v>0</v>
      </c>
      <c r="F86" s="14">
        <f t="shared" si="40"/>
        <v>0</v>
      </c>
      <c r="G86" s="103">
        <f t="shared" si="40"/>
        <v>0</v>
      </c>
      <c r="H86" s="40">
        <f t="shared" si="40"/>
        <v>0</v>
      </c>
      <c r="I86" s="102">
        <f t="shared" si="40"/>
        <v>0</v>
      </c>
      <c r="J86" s="12">
        <f t="shared" si="40"/>
        <v>0</v>
      </c>
      <c r="K86" s="14">
        <f t="shared" si="40"/>
        <v>1</v>
      </c>
      <c r="L86" s="14">
        <f t="shared" si="40"/>
        <v>1</v>
      </c>
      <c r="M86" s="14">
        <f t="shared" si="41"/>
        <v>1</v>
      </c>
      <c r="N86" s="12">
        <f t="shared" si="42"/>
        <v>1</v>
      </c>
      <c r="O86" s="12">
        <f t="shared" si="42"/>
        <v>0</v>
      </c>
      <c r="P86" s="14">
        <f t="shared" si="42"/>
        <v>0</v>
      </c>
      <c r="Q86" s="12">
        <f t="shared" si="43"/>
        <v>0</v>
      </c>
      <c r="R86" s="56"/>
      <c r="S86" s="76">
        <f>+GETPIVOTDATA(" Tot # Single Rnk New",'NEW Counts Pivot Table'!$A$3,"State","NC","Category",1,"Category2","Four-Year")</f>
        <v>0</v>
      </c>
      <c r="T86" s="77">
        <f>+GETPIVOTDATA(" Tot # Single Rnk New",'NEW Counts Pivot Table'!$A$3,"State","NC","Category",2,"Category2","Four-Year")</f>
        <v>0</v>
      </c>
      <c r="U86" s="77">
        <f>+GETPIVOTDATA(" Tot # Single Rnk New",'NEW Counts Pivot Table'!$A$3,"State","NC","Category",3,"Category2","Four-Year")</f>
        <v>0</v>
      </c>
      <c r="V86" s="77">
        <f>+GETPIVOTDATA(" Tot # Single Rnk New",'NEW Counts Pivot Table'!$A$3,"State","NC","Category",4,"Category2","Four-Year")</f>
        <v>0</v>
      </c>
      <c r="W86" s="77">
        <f>+GETPIVOTDATA(" Tot # Single Rnk New",'NEW Counts Pivot Table'!$A$3,"State","NC","Category",5,"Category2","Four-Year")</f>
        <v>0</v>
      </c>
      <c r="X86" s="77">
        <f>+GETPIVOTDATA(" Tot # Single Rnk New",'NEW Counts Pivot Table'!$A$3,"State","NC","Category",6,"Category2","Four-Year")</f>
        <v>0</v>
      </c>
      <c r="Y86" s="78">
        <f>+GETPIVOTDATA(" Tot # Single Rnk New",'NEW Counts Pivot Table'!$A$3,"State","NC","Category2","Four-Year")</f>
        <v>0</v>
      </c>
      <c r="Z86" s="76">
        <f>+GETPIVOTDATA(" Tot # Single Rnk New",'NEW Counts Pivot Table'!$A$3,"State","AR","Category",7,"Category2","Two-Year")</f>
        <v>0</v>
      </c>
      <c r="AA86" s="77">
        <f>+GETPIVOTDATA(" Tot # Single Rnk New",'NEW Counts Pivot Table'!$A$3,"State","AR","Category",8,"Category2","Two-Year")</f>
        <v>327</v>
      </c>
      <c r="AB86" s="77">
        <f>+GETPIVOTDATA(" Tot # Single Rnk New",'NEW Counts Pivot Table'!$A$3,"State","DE","Category",9,"Category2","Two-Year")</f>
        <v>122</v>
      </c>
      <c r="AC86" s="77">
        <f>+GETPIVOTDATA(" Tot # Single Rnk New",'NEW Counts Pivot Table'!$A$3,"State","DE","Category",10,"Category2","Two-Year")</f>
        <v>85</v>
      </c>
      <c r="AD86" s="77">
        <f>+GETPIVOTDATA(" Tot # Single Rnk New",'NEW Counts Pivot Table'!$A$3,"State","NC","Category",11,"Category2","Two-Year")</f>
        <v>0</v>
      </c>
      <c r="AE86" s="78">
        <f>+GETPIVOTDATA(" Tot # Single Rnk New",'NEW Counts Pivot Table'!$A$3,"State","NC","Category2","Two-Year")</f>
        <v>6216</v>
      </c>
      <c r="AF86" s="76">
        <f>+GETPIVOTDATA(" Tot # Single Rnk New",'NEW Counts Pivot Table'!$A$3,"State","NC","Category",12,"Category2","Technical Institutes")</f>
        <v>0</v>
      </c>
      <c r="AG86" s="77">
        <f>+GETPIVOTDATA(" Tot # Single Rnk New",'NEW Counts Pivot Table'!$A$3,"State","NC","Category",13,"Category2","Technical Institutes")</f>
        <v>0</v>
      </c>
      <c r="AH86" s="76">
        <f>+GETPIVOTDATA(" Tot # Single Rnk New",'NEW Counts Pivot Table'!$A$3,"State","NC","Category2","Technical Institutes")</f>
        <v>0</v>
      </c>
    </row>
    <row r="87" spans="1:36" s="33" customFormat="1" x14ac:dyDescent="0.25">
      <c r="A87" s="109"/>
      <c r="B87" s="110" t="s">
        <v>84</v>
      </c>
      <c r="C87" s="13">
        <f t="shared" si="40"/>
        <v>1</v>
      </c>
      <c r="D87" s="11">
        <f t="shared" si="40"/>
        <v>1</v>
      </c>
      <c r="E87" s="11">
        <f t="shared" si="40"/>
        <v>1</v>
      </c>
      <c r="F87" s="11">
        <f t="shared" si="40"/>
        <v>1</v>
      </c>
      <c r="G87" s="11">
        <f t="shared" si="40"/>
        <v>1</v>
      </c>
      <c r="H87" s="41">
        <f t="shared" si="40"/>
        <v>1</v>
      </c>
      <c r="I87" s="13">
        <f t="shared" si="40"/>
        <v>1</v>
      </c>
      <c r="J87" s="13">
        <f t="shared" si="40"/>
        <v>0</v>
      </c>
      <c r="K87" s="11">
        <f t="shared" si="40"/>
        <v>1</v>
      </c>
      <c r="L87" s="11">
        <f t="shared" si="40"/>
        <v>1</v>
      </c>
      <c r="M87" s="11">
        <f t="shared" si="41"/>
        <v>1</v>
      </c>
      <c r="N87" s="13">
        <f t="shared" si="42"/>
        <v>1</v>
      </c>
      <c r="O87" s="13">
        <f t="shared" si="42"/>
        <v>0</v>
      </c>
      <c r="P87" s="11">
        <f t="shared" si="42"/>
        <v>0</v>
      </c>
      <c r="Q87" s="13">
        <f t="shared" si="43"/>
        <v>0</v>
      </c>
      <c r="R87" s="57"/>
      <c r="S87" s="79">
        <f>+GETPIVOTDATA(" All Ranks # New",'NEW Counts Pivot Table'!$A$3,"State","NC","Category",1,"Category2","Four-Year")</f>
        <v>4228</v>
      </c>
      <c r="T87" s="80">
        <f>+GETPIVOTDATA(" All Ranks # New",'NEW Counts Pivot Table'!$A$3,"State","NC","Category",2,"Category2","Four-Year")</f>
        <v>971</v>
      </c>
      <c r="U87" s="80">
        <f>+GETPIVOTDATA(" All Ranks # New",'NEW Counts Pivot Table'!$A$3,"State","NC","Category",3,"Category2","Four-Year")</f>
        <v>4064</v>
      </c>
      <c r="V87" s="80">
        <f>+GETPIVOTDATA(" All Ranks # New",'NEW Counts Pivot Table'!$A$3,"State","NC","Category",4,"Category2","Four-Year")</f>
        <v>280</v>
      </c>
      <c r="W87" s="80">
        <f>+GETPIVOTDATA(" All Ranks # New",'NEW Counts Pivot Table'!$A$3,"State","NC","Category",5,"Category2","Four-Year")</f>
        <v>672</v>
      </c>
      <c r="X87" s="80">
        <f>+GETPIVOTDATA(" All Ranks # New",'NEW Counts Pivot Table'!$A$3,"State","NC","Category",6,"Category2","Four-Year")</f>
        <v>372</v>
      </c>
      <c r="Y87" s="81">
        <f>+GETPIVOTDATA(" All Ranks # New",'NEW Counts Pivot Table'!$A$3,"State","NC","Category2","Four-Year")</f>
        <v>10587</v>
      </c>
      <c r="Z87" s="79">
        <f>+GETPIVOTDATA(" All Ranks # New",'NEW Counts Pivot Table'!$A$3,"State","AR","Category",7,"Category2","Two-Year")</f>
        <v>0</v>
      </c>
      <c r="AA87" s="80">
        <f>+GETPIVOTDATA(" All Ranks # New",'NEW Counts Pivot Table'!$A$3,"State","AR","Category",8,"Category2","Two-Year")</f>
        <v>327</v>
      </c>
      <c r="AB87" s="80">
        <f>+GETPIVOTDATA(" All Ranks # New",'NEW Counts Pivot Table'!$A$3,"State","DE","Category",9,"Category2","Two-Year")</f>
        <v>122</v>
      </c>
      <c r="AC87" s="80">
        <f>+GETPIVOTDATA(" All Ranks # New",'NEW Counts Pivot Table'!$A$3,"State","DE","Category",10,"Category2","Two-Year")</f>
        <v>85</v>
      </c>
      <c r="AD87" s="80">
        <f>+GETPIVOTDATA(" All Ranks # New",'NEW Counts Pivot Table'!$A$3,"State","NC","Category",11,"Category2","Two-Year")</f>
        <v>0</v>
      </c>
      <c r="AE87" s="81">
        <f>+GETPIVOTDATA(" All Ranks # New",'NEW Counts Pivot Table'!$A$3,"State","NC","Category2","Two-Year")</f>
        <v>6216</v>
      </c>
      <c r="AF87" s="79">
        <f>+GETPIVOTDATA(" All Ranks # New",'NEW Counts Pivot Table'!$A$3,"State","NC","Category",12,"Category2","Technical Institutes")</f>
        <v>0</v>
      </c>
      <c r="AG87" s="80">
        <f>+GETPIVOTDATA(" All Ranks # New",'NEW Counts Pivot Table'!$A$3,"State","NC","Category",13,"Category2","Technical Institutes")</f>
        <v>0</v>
      </c>
      <c r="AH87" s="79">
        <f>+GETPIVOTDATA(" All Ranks # New",'NEW Counts Pivot Table'!$A$3,"State","NC","Category2","Technical Institutes")</f>
        <v>0</v>
      </c>
      <c r="AI87" s="82"/>
      <c r="AJ87" s="82"/>
    </row>
    <row r="88" spans="1:36" x14ac:dyDescent="0.2">
      <c r="A88" s="18" t="s">
        <v>79</v>
      </c>
      <c r="B88" s="15" t="s">
        <v>99</v>
      </c>
      <c r="C88" s="16">
        <f t="shared" ref="C88:L94" si="44">IF(S$94&gt;0,(S88/S$94),0)</f>
        <v>0.34514563106796114</v>
      </c>
      <c r="D88" s="17">
        <f t="shared" si="44"/>
        <v>0</v>
      </c>
      <c r="E88" s="17">
        <f t="shared" si="44"/>
        <v>0.28774193548387095</v>
      </c>
      <c r="F88" s="17">
        <f t="shared" si="44"/>
        <v>0</v>
      </c>
      <c r="G88" s="17">
        <f t="shared" si="44"/>
        <v>0.21577217962760131</v>
      </c>
      <c r="H88" s="39">
        <f t="shared" si="44"/>
        <v>0.18357487922705315</v>
      </c>
      <c r="I88" s="16">
        <f t="shared" si="44"/>
        <v>0.29557522123893804</v>
      </c>
      <c r="J88" s="16">
        <f t="shared" si="44"/>
        <v>0</v>
      </c>
      <c r="K88" s="17">
        <f t="shared" si="44"/>
        <v>0</v>
      </c>
      <c r="L88" s="17">
        <f t="shared" si="44"/>
        <v>0</v>
      </c>
      <c r="M88" s="17">
        <f t="shared" ref="M88:M94" si="45">IF(AC$94&gt;0,(AC88/AC$94),0)</f>
        <v>0</v>
      </c>
      <c r="N88" s="16">
        <f t="shared" ref="N88:P94" si="46">IF(AE$94&gt;0,(AE88/AE$94),0)</f>
        <v>0</v>
      </c>
      <c r="O88" s="91">
        <f t="shared" si="46"/>
        <v>0</v>
      </c>
      <c r="P88" s="17">
        <f t="shared" si="46"/>
        <v>0</v>
      </c>
      <c r="Q88" s="91">
        <f t="shared" ref="Q88:Q94" si="47">IF(AH$94&gt;0,(AH88/AH$94),0)</f>
        <v>0</v>
      </c>
      <c r="R88" s="83"/>
      <c r="S88" s="73">
        <f>+GETPIVOTDATA(" Total # Prof New",'NEW Counts Pivot Table'!$A$3,"State","OK","Category",1,"Category2","Four-Year")</f>
        <v>711</v>
      </c>
      <c r="T88" s="74">
        <f>+GETPIVOTDATA(" Total # Prof New",'NEW Counts Pivot Table'!$A$3,"State","OK","Category",2,"Category2","Four-Year")</f>
        <v>0</v>
      </c>
      <c r="U88" s="74">
        <f>+GETPIVOTDATA(" Total # Prof New",'NEW Counts Pivot Table'!$A$3,"State","OK","Category",3,"Category2","Four-Year")</f>
        <v>223</v>
      </c>
      <c r="V88" s="74">
        <f>+GETPIVOTDATA(" Total # Prof New",'NEW Counts Pivot Table'!$A$3,"State","OK","Category",4,"Category2","Four-Year")</f>
        <v>0</v>
      </c>
      <c r="W88" s="74">
        <f>+GETPIVOTDATA(" Total # Prof New",'NEW Counts Pivot Table'!$A$3,"State","OK","Category",5,"Category2","Four-Year")</f>
        <v>197</v>
      </c>
      <c r="X88" s="74">
        <f>+GETPIVOTDATA(" Total # Prof New",'NEW Counts Pivot Table'!$A$3,"State","OK","Category",6,"Category2","Four-Year")</f>
        <v>38</v>
      </c>
      <c r="Y88" s="75">
        <f>+GETPIVOTDATA(" Total # Prof New",'NEW Counts Pivot Table'!$A$3,"State","OK","Category2","Four-Year")</f>
        <v>1169</v>
      </c>
      <c r="Z88" s="73">
        <f>+GETPIVOTDATA(" Total # Prof New",'NEW Counts Pivot Table'!$A$3,"State","AR","Category",7,"Category2","Two-Year")</f>
        <v>0</v>
      </c>
      <c r="AA88" s="74">
        <f>+GETPIVOTDATA(" Total # Prof New",'NEW Counts Pivot Table'!$A$3,"State","AR","Category",8,"Category2","Two-Year")</f>
        <v>0</v>
      </c>
      <c r="AB88" s="74">
        <f>+GETPIVOTDATA(" Total # Prof New",'NEW Counts Pivot Table'!$A$3,"State","DE","Category",9,"Category2","Two-Year")</f>
        <v>0</v>
      </c>
      <c r="AC88" s="74">
        <f>+GETPIVOTDATA(" Total # Prof New",'NEW Counts Pivot Table'!$A$3,"State","DE","Category",10,"Category2","Two-Year")</f>
        <v>0</v>
      </c>
      <c r="AD88" s="74">
        <f>+GETPIVOTDATA(" Total # Prof New",'NEW Counts Pivot Table'!$A$3,"State","OK","Category",11,"Category2","Two-Year")</f>
        <v>0</v>
      </c>
      <c r="AE88" s="75">
        <f>+GETPIVOTDATA(" Total # Prof New",'NEW Counts Pivot Table'!$A$3,"State","OK","Category2","Two-Year")</f>
        <v>0</v>
      </c>
      <c r="AF88" s="73">
        <f>+GETPIVOTDATA(" Total # Prof New",'NEW Counts Pivot Table'!$A$3,"State","OK","Category",12,"Category2","Technical Institutes")</f>
        <v>0</v>
      </c>
      <c r="AG88" s="74">
        <f>+GETPIVOTDATA(" Total # Prof New",'NEW Counts Pivot Table'!$A$3,"State","OK","Category",13,"Category2","Technical Institutes")</f>
        <v>0</v>
      </c>
      <c r="AH88" s="73">
        <f>+GETPIVOTDATA(" Total # Prof New",'NEW Counts Pivot Table'!$A$3,"State","OK","Category2","Technical Institutes")</f>
        <v>0</v>
      </c>
    </row>
    <row r="89" spans="1:36" x14ac:dyDescent="0.2">
      <c r="A89" s="10"/>
      <c r="B89" s="18" t="s">
        <v>100</v>
      </c>
      <c r="C89" s="12">
        <f t="shared" si="44"/>
        <v>0.279126213592233</v>
      </c>
      <c r="D89" s="14">
        <f t="shared" si="44"/>
        <v>0</v>
      </c>
      <c r="E89" s="14">
        <f t="shared" si="44"/>
        <v>0.19741935483870968</v>
      </c>
      <c r="F89" s="14">
        <f t="shared" si="44"/>
        <v>0</v>
      </c>
      <c r="G89" s="14">
        <f t="shared" si="44"/>
        <v>0.20700985761226726</v>
      </c>
      <c r="H89" s="40">
        <f t="shared" si="44"/>
        <v>0.28019323671497587</v>
      </c>
      <c r="I89" s="12">
        <f t="shared" si="44"/>
        <v>0.24652338811630847</v>
      </c>
      <c r="J89" s="12">
        <f t="shared" si="44"/>
        <v>0</v>
      </c>
      <c r="K89" s="14">
        <f t="shared" si="44"/>
        <v>0</v>
      </c>
      <c r="L89" s="14">
        <f t="shared" si="44"/>
        <v>0</v>
      </c>
      <c r="M89" s="14">
        <f t="shared" si="45"/>
        <v>0</v>
      </c>
      <c r="N89" s="154">
        <f t="shared" si="46"/>
        <v>0</v>
      </c>
      <c r="O89" s="12">
        <f t="shared" si="46"/>
        <v>0</v>
      </c>
      <c r="P89" s="14">
        <f t="shared" si="46"/>
        <v>0</v>
      </c>
      <c r="Q89" s="12">
        <f t="shared" si="47"/>
        <v>0</v>
      </c>
      <c r="R89" s="56"/>
      <c r="S89" s="76">
        <f>+GETPIVOTDATA(" Tot # Asc. Prof New",'NEW Counts Pivot Table'!$A$3,"State","OK","Category",1,"Category2","Four-Year")</f>
        <v>575</v>
      </c>
      <c r="T89" s="77">
        <f>+GETPIVOTDATA(" Tot # Asc. Prof New",'NEW Counts Pivot Table'!$A$3,"State","OK","Category",2,"Category2","Four-Year")</f>
        <v>0</v>
      </c>
      <c r="U89" s="77">
        <f>+GETPIVOTDATA(" Tot # Asc. Prof New",'NEW Counts Pivot Table'!$A$3,"State","OK","Category",3,"Category2","Four-Year")</f>
        <v>153</v>
      </c>
      <c r="V89" s="77">
        <f>+GETPIVOTDATA(" Tot # Asc. Prof New",'NEW Counts Pivot Table'!$A$3,"State","OK","Category",4,"Category2","Four-Year")</f>
        <v>0</v>
      </c>
      <c r="W89" s="77">
        <f>+GETPIVOTDATA(" Tot # Asc. Prof New",'NEW Counts Pivot Table'!$A$3,"State","OK","Category",5,"Category2","Four-Year")</f>
        <v>189</v>
      </c>
      <c r="X89" s="77">
        <f>+GETPIVOTDATA(" Tot # Asc. Prof New",'NEW Counts Pivot Table'!$A$3,"State","OK","Category",6,"Category2","Four-Year")</f>
        <v>58</v>
      </c>
      <c r="Y89" s="78">
        <f>+GETPIVOTDATA(" Tot # Asc. Prof New",'NEW Counts Pivot Table'!$A$3,"State","OK","Category2","Four-Year")</f>
        <v>975</v>
      </c>
      <c r="Z89" s="76">
        <f>+GETPIVOTDATA(" Tot # Asc. Prof New",'NEW Counts Pivot Table'!$A$3,"State","AR","Category",7,"Category2","Two-Year")</f>
        <v>0</v>
      </c>
      <c r="AA89" s="77">
        <f>+GETPIVOTDATA(" Tot # Asc. Prof New",'NEW Counts Pivot Table'!$A$3,"State","AR","Category",8,"Category2","Two-Year")</f>
        <v>0</v>
      </c>
      <c r="AB89" s="77">
        <f>+GETPIVOTDATA(" Tot # Asc. Prof New",'NEW Counts Pivot Table'!$A$3,"State","DE","Category",9,"Category2","Two-Year")</f>
        <v>0</v>
      </c>
      <c r="AC89" s="77">
        <f>+GETPIVOTDATA(" Tot # Asc. Prof New",'NEW Counts Pivot Table'!$A$3,"State","DE","Category",10,"Category2","Two-Year")</f>
        <v>0</v>
      </c>
      <c r="AD89" s="77">
        <f>+GETPIVOTDATA(" Tot # Asc. Prof New",'NEW Counts Pivot Table'!$A$3,"State","OK","Category",11,"Category2","Two-Year")</f>
        <v>0</v>
      </c>
      <c r="AE89" s="78">
        <f>+GETPIVOTDATA(" Tot # Asc. Prof New",'NEW Counts Pivot Table'!$A$3,"State","OK","Category2","Two-Year")</f>
        <v>0</v>
      </c>
      <c r="AF89" s="76">
        <f>+GETPIVOTDATA(" Tot # Asc. Prof New",'NEW Counts Pivot Table'!$A$3,"State","OK","Category",12,"Category2","Technical Institutes")</f>
        <v>0</v>
      </c>
      <c r="AG89" s="77">
        <f>+GETPIVOTDATA(" Tot # Asc. Prof New",'NEW Counts Pivot Table'!$A$3,"State","OK","Category",13,"Category2","Technical Institutes")</f>
        <v>0</v>
      </c>
      <c r="AH89" s="76">
        <f>+GETPIVOTDATA(" Tot # Asc. Prof New",'NEW Counts Pivot Table'!$A$3,"State","OK","Category2","Technical Institutes")</f>
        <v>0</v>
      </c>
    </row>
    <row r="90" spans="1:36" x14ac:dyDescent="0.2">
      <c r="A90" s="10"/>
      <c r="B90" s="18" t="s">
        <v>101</v>
      </c>
      <c r="C90" s="12">
        <f t="shared" si="44"/>
        <v>0.23592233009708738</v>
      </c>
      <c r="D90" s="14">
        <f t="shared" si="44"/>
        <v>0</v>
      </c>
      <c r="E90" s="14">
        <f t="shared" si="44"/>
        <v>0.28387096774193549</v>
      </c>
      <c r="F90" s="14">
        <f t="shared" si="44"/>
        <v>0</v>
      </c>
      <c r="G90" s="14">
        <f t="shared" si="44"/>
        <v>0.28477546549835708</v>
      </c>
      <c r="H90" s="40">
        <f t="shared" si="44"/>
        <v>0.29468599033816423</v>
      </c>
      <c r="I90" s="12">
        <f t="shared" si="44"/>
        <v>0.25967130214917827</v>
      </c>
      <c r="J90" s="12">
        <f t="shared" si="44"/>
        <v>0</v>
      </c>
      <c r="K90" s="14">
        <f t="shared" si="44"/>
        <v>0</v>
      </c>
      <c r="L90" s="14">
        <f t="shared" si="44"/>
        <v>0</v>
      </c>
      <c r="M90" s="14">
        <f t="shared" si="45"/>
        <v>0</v>
      </c>
      <c r="N90" s="12">
        <f t="shared" si="46"/>
        <v>0</v>
      </c>
      <c r="O90" s="12">
        <f t="shared" si="46"/>
        <v>0</v>
      </c>
      <c r="P90" s="14">
        <f t="shared" si="46"/>
        <v>0</v>
      </c>
      <c r="Q90" s="12">
        <f t="shared" si="47"/>
        <v>0</v>
      </c>
      <c r="R90" s="56"/>
      <c r="S90" s="76">
        <f>+GETPIVOTDATA(" Tot # Ast. Prof New",'NEW Counts Pivot Table'!$A$3,"State","OK","Category",1,"Category2","Four-Year")</f>
        <v>486</v>
      </c>
      <c r="T90" s="77">
        <f>+GETPIVOTDATA(" Tot # Ast. Prof New",'NEW Counts Pivot Table'!$A$3,"State","OK","Category",2,"Category2","Four-Year")</f>
        <v>0</v>
      </c>
      <c r="U90" s="77">
        <f>+GETPIVOTDATA(" Tot # Ast. Prof New",'NEW Counts Pivot Table'!$A$3,"State","OK","Category",3,"Category2","Four-Year")</f>
        <v>220</v>
      </c>
      <c r="V90" s="77">
        <f>+GETPIVOTDATA(" Tot # Ast. Prof New",'NEW Counts Pivot Table'!$A$3,"State","OK","Category",4,"Category2","Four-Year")</f>
        <v>0</v>
      </c>
      <c r="W90" s="77">
        <f>+GETPIVOTDATA(" Tot # Ast. Prof New",'NEW Counts Pivot Table'!$A$3,"State","OK","Category",5,"Category2","Four-Year")</f>
        <v>260</v>
      </c>
      <c r="X90" s="77">
        <f>+GETPIVOTDATA(" Tot # Ast. Prof New",'NEW Counts Pivot Table'!$A$3,"State","OK","Category",6,"Category2","Four-Year")</f>
        <v>61</v>
      </c>
      <c r="Y90" s="78">
        <f>+GETPIVOTDATA(" Tot # Ast. Prof New",'NEW Counts Pivot Table'!$A$3,"State","OK","Category2","Four-Year")</f>
        <v>1027</v>
      </c>
      <c r="Z90" s="76">
        <f>+GETPIVOTDATA(" Tot # Ast. Prof New",'NEW Counts Pivot Table'!$A$3,"State","AR","Category",7,"Category2","Two-Year")</f>
        <v>0</v>
      </c>
      <c r="AA90" s="77">
        <f>+GETPIVOTDATA(" Tot # Ast. Prof New",'NEW Counts Pivot Table'!$A$3,"State","AR","Category",8,"Category2","Two-Year")</f>
        <v>0</v>
      </c>
      <c r="AB90" s="77">
        <f>+GETPIVOTDATA(" Tot # Ast. Prof New",'NEW Counts Pivot Table'!$A$3,"State","DE","Category",9,"Category2","Two-Year")</f>
        <v>0</v>
      </c>
      <c r="AC90" s="77">
        <f>+GETPIVOTDATA(" Tot # Ast. Prof New",'NEW Counts Pivot Table'!$A$3,"State","DE","Category",10,"Category2","Two-Year")</f>
        <v>0</v>
      </c>
      <c r="AD90" s="77">
        <f>+GETPIVOTDATA(" Tot # Ast. Prof New",'NEW Counts Pivot Table'!$A$3,"State","OK","Category",11,"Category2","Two-Year")</f>
        <v>0</v>
      </c>
      <c r="AE90" s="78">
        <f>+GETPIVOTDATA(" Tot # Ast. Prof New",'NEW Counts Pivot Table'!$A$3,"State","OK","Category2","Two-Year")</f>
        <v>0</v>
      </c>
      <c r="AF90" s="76">
        <f>+GETPIVOTDATA(" Tot # Ast. Prof New",'NEW Counts Pivot Table'!$A$3,"State","OK","Category",12,"Category2","Technical Institutes")</f>
        <v>0</v>
      </c>
      <c r="AG90" s="77">
        <f>+GETPIVOTDATA(" Tot # Ast. Prof New",'NEW Counts Pivot Table'!$A$3,"State","OK","Category",13,"Category2","Technical Institutes")</f>
        <v>0</v>
      </c>
      <c r="AH90" s="76">
        <f>+GETPIVOTDATA(" Tot # Ast. Prof New",'NEW Counts Pivot Table'!$A$3,"State","OK","Category2","Technical Institutes")</f>
        <v>0</v>
      </c>
    </row>
    <row r="91" spans="1:36" x14ac:dyDescent="0.2">
      <c r="A91" s="10"/>
      <c r="B91" s="18" t="s">
        <v>102</v>
      </c>
      <c r="C91" s="12">
        <f t="shared" si="44"/>
        <v>0.13980582524271845</v>
      </c>
      <c r="D91" s="14">
        <f t="shared" si="44"/>
        <v>0</v>
      </c>
      <c r="E91" s="14">
        <f t="shared" si="44"/>
        <v>0.23096774193548386</v>
      </c>
      <c r="F91" s="14">
        <f t="shared" si="44"/>
        <v>0</v>
      </c>
      <c r="G91" s="14">
        <f t="shared" si="44"/>
        <v>0.29244249726177435</v>
      </c>
      <c r="H91" s="40">
        <f t="shared" si="44"/>
        <v>0.24154589371980675</v>
      </c>
      <c r="I91" s="12">
        <f t="shared" si="44"/>
        <v>0.19823008849557522</v>
      </c>
      <c r="J91" s="12">
        <f t="shared" si="44"/>
        <v>0</v>
      </c>
      <c r="K91" s="14">
        <f t="shared" si="44"/>
        <v>0</v>
      </c>
      <c r="L91" s="14">
        <f t="shared" si="44"/>
        <v>0</v>
      </c>
      <c r="M91" s="14">
        <f t="shared" si="45"/>
        <v>0</v>
      </c>
      <c r="N91" s="12">
        <f t="shared" si="46"/>
        <v>0</v>
      </c>
      <c r="O91" s="12">
        <f t="shared" si="46"/>
        <v>0</v>
      </c>
      <c r="P91" s="14">
        <f t="shared" si="46"/>
        <v>0</v>
      </c>
      <c r="Q91" s="12">
        <f t="shared" si="47"/>
        <v>0</v>
      </c>
      <c r="R91" s="56"/>
      <c r="S91" s="76">
        <f>+GETPIVOTDATA(" Tot # Instr. New",'NEW Counts Pivot Table'!$A$3,"State","OK","Category",1,"Category2","Four-Year")</f>
        <v>288</v>
      </c>
      <c r="T91" s="77">
        <f>+GETPIVOTDATA(" Tot # Instr. New",'NEW Counts Pivot Table'!$A$3,"State","OK","Category",2,"Category2","Four-Year")</f>
        <v>0</v>
      </c>
      <c r="U91" s="77">
        <f>+GETPIVOTDATA(" Tot # Instr. New",'NEW Counts Pivot Table'!$A$3,"State","OK","Category",3,"Category2","Four-Year")</f>
        <v>179</v>
      </c>
      <c r="V91" s="77">
        <f>+GETPIVOTDATA(" Tot # Instr. New",'NEW Counts Pivot Table'!$A$3,"State","OK","Category",4,"Category2","Four-Year")</f>
        <v>0</v>
      </c>
      <c r="W91" s="77">
        <f>+GETPIVOTDATA(" Tot # Instr. New",'NEW Counts Pivot Table'!$A$3,"State","OK","Category",5,"Category2","Four-Year")</f>
        <v>267</v>
      </c>
      <c r="X91" s="77">
        <f>+GETPIVOTDATA(" Tot # Instr. New",'NEW Counts Pivot Table'!$A$3,"State","OK","Category",6,"Category2","Four-Year")</f>
        <v>50</v>
      </c>
      <c r="Y91" s="78">
        <f>+GETPIVOTDATA(" Tot # Instr. New",'NEW Counts Pivot Table'!$A$3,"State","OK","Category2","Four-Year")</f>
        <v>784</v>
      </c>
      <c r="Z91" s="76">
        <f>+GETPIVOTDATA(" Tot # Instr. New",'NEW Counts Pivot Table'!$A$3,"State","AR","Category",7,"Category2","Two-Year")</f>
        <v>0</v>
      </c>
      <c r="AA91" s="77">
        <f>+GETPIVOTDATA(" Tot # Instr. New",'NEW Counts Pivot Table'!$A$3,"State","AR","Category",8,"Category2","Two-Year")</f>
        <v>0</v>
      </c>
      <c r="AB91" s="77">
        <f>+GETPIVOTDATA(" Tot # Instr. New",'NEW Counts Pivot Table'!$A$3,"State","DE","Category",9,"Category2","Two-Year")</f>
        <v>0</v>
      </c>
      <c r="AC91" s="77">
        <f>+GETPIVOTDATA(" Tot # Instr. New",'NEW Counts Pivot Table'!$A$3,"State","DE","Category",10,"Category2","Two-Year")</f>
        <v>0</v>
      </c>
      <c r="AD91" s="77">
        <f>+GETPIVOTDATA(" Tot # Instr. New",'NEW Counts Pivot Table'!$A$3,"State","OK","Category",11,"Category2","Two-Year")</f>
        <v>0</v>
      </c>
      <c r="AE91" s="78">
        <f>+GETPIVOTDATA(" Tot # Instr. New",'NEW Counts Pivot Table'!$A$3,"State","OK","Category2","Two-Year")</f>
        <v>0</v>
      </c>
      <c r="AF91" s="76">
        <f>+GETPIVOTDATA(" Tot # Instr. New",'NEW Counts Pivot Table'!$A$3,"State","OK","Category",12,"Category2","Technical Institutes")</f>
        <v>0</v>
      </c>
      <c r="AG91" s="77">
        <f>+GETPIVOTDATA(" Tot # Instr. New",'NEW Counts Pivot Table'!$A$3,"State","OK","Category",13,"Category2","Technical Institutes")</f>
        <v>0</v>
      </c>
      <c r="AH91" s="76">
        <f>+GETPIVOTDATA(" Tot # Instr. New",'NEW Counts Pivot Table'!$A$3,"State","OK","Category2","Technical Institutes")</f>
        <v>0</v>
      </c>
    </row>
    <row r="92" spans="1:36" x14ac:dyDescent="0.2">
      <c r="A92" s="10"/>
      <c r="B92" s="18" t="s">
        <v>83</v>
      </c>
      <c r="C92" s="12">
        <f t="shared" si="44"/>
        <v>0</v>
      </c>
      <c r="D92" s="14">
        <f t="shared" si="44"/>
        <v>0</v>
      </c>
      <c r="E92" s="14">
        <f t="shared" si="44"/>
        <v>0</v>
      </c>
      <c r="F92" s="14">
        <f t="shared" si="44"/>
        <v>0</v>
      </c>
      <c r="G92" s="14">
        <f t="shared" si="44"/>
        <v>0</v>
      </c>
      <c r="H92" s="40">
        <f t="shared" si="44"/>
        <v>0</v>
      </c>
      <c r="I92" s="12">
        <f t="shared" si="44"/>
        <v>0</v>
      </c>
      <c r="J92" s="12">
        <f t="shared" si="44"/>
        <v>0</v>
      </c>
      <c r="K92" s="14">
        <f t="shared" si="44"/>
        <v>0</v>
      </c>
      <c r="L92" s="14">
        <f t="shared" si="44"/>
        <v>0</v>
      </c>
      <c r="M92" s="14">
        <f t="shared" si="45"/>
        <v>0</v>
      </c>
      <c r="N92" s="12">
        <f t="shared" si="46"/>
        <v>0</v>
      </c>
      <c r="O92" s="12">
        <f t="shared" si="46"/>
        <v>0</v>
      </c>
      <c r="P92" s="14">
        <f t="shared" si="46"/>
        <v>0</v>
      </c>
      <c r="Q92" s="12">
        <f t="shared" si="47"/>
        <v>0</v>
      </c>
      <c r="R92" s="56"/>
      <c r="S92" s="76">
        <f>++GETPIVOTDATA(" Tot # Undes. New",'NEW Counts Pivot Table'!$A$3,"State","OK","Category",1,"Category2","Four-Year")</f>
        <v>0</v>
      </c>
      <c r="T92" s="77">
        <f>+GETPIVOTDATA(" Tot # Undes. New",'NEW Counts Pivot Table'!$A$3,"State","OK","Category",2,"Category2","Four-Year")</f>
        <v>0</v>
      </c>
      <c r="U92" s="77">
        <f>+GETPIVOTDATA(" Tot # Undes. New",'NEW Counts Pivot Table'!$A$3,"State","OK","Category",3,"Category2","Four-Year")</f>
        <v>0</v>
      </c>
      <c r="V92" s="77">
        <f>+GETPIVOTDATA(" Tot # Undes. New",'NEW Counts Pivot Table'!$A$3,"State","OK","Category",4,"Category2","Four-Year")</f>
        <v>0</v>
      </c>
      <c r="W92" s="77">
        <f>+GETPIVOTDATA(" Tot # Undes. New",'NEW Counts Pivot Table'!$A$3,"State","OK","Category",5,"Category2","Four-Year")</f>
        <v>0</v>
      </c>
      <c r="X92" s="77">
        <f>+GETPIVOTDATA(" Tot # Undes. New",'NEW Counts Pivot Table'!$A$3,"State","OK","Category",6,"Category2","Four-Year")</f>
        <v>0</v>
      </c>
      <c r="Y92" s="78">
        <f>+GETPIVOTDATA(" Tot # Undes. New",'NEW Counts Pivot Table'!$A$3,"State","OK","Category2","Four-Year")</f>
        <v>0</v>
      </c>
      <c r="Z92" s="76">
        <f>+GETPIVOTDATA(" Tot # Undes. New",'NEW Counts Pivot Table'!$A$3,"State","AR","Category",7,"Category2","Two-Year")</f>
        <v>0</v>
      </c>
      <c r="AA92" s="77">
        <f>+GETPIVOTDATA(" Tot # Undes. New",'NEW Counts Pivot Table'!$A$3,"State","AR","Category",8,"Category2","Two-Year")</f>
        <v>0</v>
      </c>
      <c r="AB92" s="77">
        <f>+GETPIVOTDATA(" Tot # Undes. New",'NEW Counts Pivot Table'!$A$3,"State","DE","Category",9,"Category2","Two-Year")</f>
        <v>0</v>
      </c>
      <c r="AC92" s="77">
        <f>+GETPIVOTDATA(" Tot # Undes. New",'NEW Counts Pivot Table'!$A$3,"State","DE","Category",10,"Category2","Two-Year")</f>
        <v>0</v>
      </c>
      <c r="AD92" s="77">
        <f>+GETPIVOTDATA(" Tot # Undes. New",'NEW Counts Pivot Table'!$A$3,"State","OK","Category",11,"Category2","Two-Year")</f>
        <v>0</v>
      </c>
      <c r="AE92" s="78">
        <f>+GETPIVOTDATA(" Tot # Undes. New",'NEW Counts Pivot Table'!$A$3,"State","OK","Category2","Two-Year")</f>
        <v>0</v>
      </c>
      <c r="AF92" s="76">
        <f>+GETPIVOTDATA(" Tot # Undes. New",'NEW Counts Pivot Table'!$A$3,"State","OK","Category",12,"Category2","Technical Institutes")</f>
        <v>0</v>
      </c>
      <c r="AG92" s="77">
        <f>+GETPIVOTDATA(" Tot # Undes. New",'NEW Counts Pivot Table'!$A$3,"State","OK","Category",13,"Category2","Technical Institutes")</f>
        <v>0</v>
      </c>
      <c r="AH92" s="76">
        <f>+GETPIVOTDATA(" Tot # Undes. New",'NEW Counts Pivot Table'!$A$3,"State","OK","Category2","Technical Institutes")</f>
        <v>0</v>
      </c>
    </row>
    <row r="93" spans="1:36" x14ac:dyDescent="0.2">
      <c r="A93" s="10"/>
      <c r="B93" s="18" t="s">
        <v>82</v>
      </c>
      <c r="C93" s="12">
        <f t="shared" si="44"/>
        <v>0</v>
      </c>
      <c r="D93" s="14">
        <f t="shared" si="44"/>
        <v>0</v>
      </c>
      <c r="E93" s="103">
        <f t="shared" si="44"/>
        <v>0</v>
      </c>
      <c r="F93" s="14">
        <f t="shared" si="44"/>
        <v>0</v>
      </c>
      <c r="G93" s="103">
        <f t="shared" si="44"/>
        <v>0</v>
      </c>
      <c r="H93" s="40">
        <f t="shared" si="44"/>
        <v>0</v>
      </c>
      <c r="I93" s="102">
        <f t="shared" si="44"/>
        <v>0</v>
      </c>
      <c r="J93" s="12">
        <f t="shared" si="44"/>
        <v>0</v>
      </c>
      <c r="K93" s="14">
        <f t="shared" si="44"/>
        <v>1</v>
      </c>
      <c r="L93" s="14">
        <f t="shared" si="44"/>
        <v>1</v>
      </c>
      <c r="M93" s="14">
        <f t="shared" si="45"/>
        <v>1</v>
      </c>
      <c r="N93" s="12">
        <f t="shared" si="46"/>
        <v>1</v>
      </c>
      <c r="O93" s="12">
        <f t="shared" si="46"/>
        <v>1</v>
      </c>
      <c r="P93" s="14">
        <f t="shared" si="46"/>
        <v>1</v>
      </c>
      <c r="Q93" s="12">
        <f t="shared" si="47"/>
        <v>1</v>
      </c>
      <c r="R93" s="56"/>
      <c r="S93" s="76">
        <f>+GETPIVOTDATA(" Tot # Single Rnk New",'NEW Counts Pivot Table'!$A$3,"State","OK","Category",1,"Category2","Four-Year")</f>
        <v>0</v>
      </c>
      <c r="T93" s="77">
        <f>+GETPIVOTDATA(" Tot # Single Rnk New",'NEW Counts Pivot Table'!$A$3,"State","OK","Category",2,"Category2","Four-Year")</f>
        <v>0</v>
      </c>
      <c r="U93" s="77">
        <f>+GETPIVOTDATA(" Tot # Single Rnk New",'NEW Counts Pivot Table'!$A$3,"State","OK","Category",3,"Category2","Four-Year")</f>
        <v>0</v>
      </c>
      <c r="V93" s="77">
        <f>+GETPIVOTDATA(" Tot # Single Rnk New",'NEW Counts Pivot Table'!$A$3,"State","OK","Category",4,"Category2","Four-Year")</f>
        <v>0</v>
      </c>
      <c r="W93" s="77">
        <f>+GETPIVOTDATA(" Tot # Single Rnk New",'NEW Counts Pivot Table'!$A$3,"State","OK","Category",5,"Category2","Four-Year")</f>
        <v>0</v>
      </c>
      <c r="X93" s="77">
        <f>+GETPIVOTDATA(" Tot # Single Rnk New",'NEW Counts Pivot Table'!$A$3,"State","OK","Category",6,"Category2","Four-Year")</f>
        <v>0</v>
      </c>
      <c r="Y93" s="78">
        <f>+GETPIVOTDATA(" Tot # Single Rnk New",'NEW Counts Pivot Table'!$A$3,"State","OK","Category2","Four-Year")</f>
        <v>0</v>
      </c>
      <c r="Z93" s="76">
        <f>+GETPIVOTDATA(" Tot # Single Rnk New",'NEW Counts Pivot Table'!$A$3,"State","AR","Category",7,"Category2","Two-Year")</f>
        <v>0</v>
      </c>
      <c r="AA93" s="77">
        <f>+GETPIVOTDATA(" Tot # Single Rnk New",'NEW Counts Pivot Table'!$A$3,"State","AR","Category",8,"Category2","Two-Year")</f>
        <v>327</v>
      </c>
      <c r="AB93" s="77">
        <f>+GETPIVOTDATA(" Tot # Single Rnk New",'NEW Counts Pivot Table'!$A$3,"State","DE","Category",9,"Category2","Two-Year")</f>
        <v>122</v>
      </c>
      <c r="AC93" s="77">
        <f>+GETPIVOTDATA(" Tot # Single Rnk New",'NEW Counts Pivot Table'!$A$3,"State","DE","Category",10,"Category2","Two-Year")</f>
        <v>85</v>
      </c>
      <c r="AD93" s="77">
        <f>+GETPIVOTDATA(" Tot # Single Rnk New",'NEW Counts Pivot Table'!$A$3,"State","OK","Category",11,"Category2","Two-Year")</f>
        <v>0</v>
      </c>
      <c r="AE93" s="78">
        <f>+GETPIVOTDATA(" Tot # Single Rnk New",'NEW Counts Pivot Table'!$A$3,"State","OK","Category2","Two-Year")</f>
        <v>1261</v>
      </c>
      <c r="AF93" s="76">
        <f>+GETPIVOTDATA(" Tot # Single Rnk New",'NEW Counts Pivot Table'!$A$3,"State","OK","Category",12,"Category2","Technical Institutes")</f>
        <v>215</v>
      </c>
      <c r="AG93" s="77">
        <f>+GETPIVOTDATA(" Tot # Single Rnk New",'NEW Counts Pivot Table'!$A$3,"State","OK","Category",13,"Category2","Technical Institutes")</f>
        <v>916</v>
      </c>
      <c r="AH93" s="76">
        <f>+GETPIVOTDATA(" Tot # Single Rnk New",'NEW Counts Pivot Table'!$A$3,"State","OK","Category2","Technical Institutes")</f>
        <v>1131</v>
      </c>
    </row>
    <row r="94" spans="1:36" s="33" customFormat="1" x14ac:dyDescent="0.25">
      <c r="A94" s="109"/>
      <c r="B94" s="110" t="s">
        <v>84</v>
      </c>
      <c r="C94" s="13">
        <f t="shared" si="44"/>
        <v>1</v>
      </c>
      <c r="D94" s="11">
        <f t="shared" si="44"/>
        <v>0</v>
      </c>
      <c r="E94" s="11">
        <f t="shared" si="44"/>
        <v>1</v>
      </c>
      <c r="F94" s="11">
        <f t="shared" si="44"/>
        <v>0</v>
      </c>
      <c r="G94" s="11">
        <f t="shared" si="44"/>
        <v>1</v>
      </c>
      <c r="H94" s="41">
        <f t="shared" si="44"/>
        <v>1</v>
      </c>
      <c r="I94" s="13">
        <f t="shared" si="44"/>
        <v>1</v>
      </c>
      <c r="J94" s="13">
        <f t="shared" si="44"/>
        <v>0</v>
      </c>
      <c r="K94" s="11">
        <f t="shared" si="44"/>
        <v>1</v>
      </c>
      <c r="L94" s="11">
        <f t="shared" si="44"/>
        <v>1</v>
      </c>
      <c r="M94" s="11">
        <f t="shared" si="45"/>
        <v>1</v>
      </c>
      <c r="N94" s="13">
        <f t="shared" si="46"/>
        <v>1</v>
      </c>
      <c r="O94" s="13">
        <f t="shared" si="46"/>
        <v>1</v>
      </c>
      <c r="P94" s="11">
        <f t="shared" si="46"/>
        <v>1</v>
      </c>
      <c r="Q94" s="13">
        <f t="shared" si="47"/>
        <v>1</v>
      </c>
      <c r="R94" s="57"/>
      <c r="S94" s="79">
        <f>+GETPIVOTDATA(" All Ranks # New",'NEW Counts Pivot Table'!$A$3,"State","OK","Category",1,"Category2","Four-Year")</f>
        <v>2060</v>
      </c>
      <c r="T94" s="80">
        <f>+GETPIVOTDATA(" All Ranks # New",'NEW Counts Pivot Table'!$A$3,"State","OK","Category",2,"Category2","Four-Year")</f>
        <v>0</v>
      </c>
      <c r="U94" s="80">
        <f>+GETPIVOTDATA(" All Ranks # New",'NEW Counts Pivot Table'!$A$3,"State","OK","Category",3,"Category2","Four-Year")</f>
        <v>775</v>
      </c>
      <c r="V94" s="80">
        <f>+GETPIVOTDATA(" All Ranks # New",'NEW Counts Pivot Table'!$A$3,"State","OK","Category",4,"Category2","Four-Year")</f>
        <v>0</v>
      </c>
      <c r="W94" s="80">
        <f>+GETPIVOTDATA(" All Ranks # New",'NEW Counts Pivot Table'!$A$3,"State","OK","Category",5,"Category2","Four-Year")</f>
        <v>913</v>
      </c>
      <c r="X94" s="80">
        <f>+GETPIVOTDATA(" All Ranks # New",'NEW Counts Pivot Table'!$A$3,"State","OK","Category",6,"Category2","Four-Year")</f>
        <v>207</v>
      </c>
      <c r="Y94" s="81">
        <f>+GETPIVOTDATA(" All Ranks # New",'NEW Counts Pivot Table'!$A$3,"State","OK","Category2","Four-Year")</f>
        <v>3955</v>
      </c>
      <c r="Z94" s="79">
        <f>+GETPIVOTDATA(" All Ranks # New",'NEW Counts Pivot Table'!$A$3,"State","AR","Category",7,"Category2","Two-Year")</f>
        <v>0</v>
      </c>
      <c r="AA94" s="80">
        <f>+GETPIVOTDATA(" All Ranks # New",'NEW Counts Pivot Table'!$A$3,"State","AR","Category",8,"Category2","Two-Year")</f>
        <v>327</v>
      </c>
      <c r="AB94" s="80">
        <f>+GETPIVOTDATA(" All Ranks # New",'NEW Counts Pivot Table'!$A$3,"State","DE","Category",9,"Category2","Two-Year")</f>
        <v>122</v>
      </c>
      <c r="AC94" s="80">
        <f>+GETPIVOTDATA(" All Ranks # New",'NEW Counts Pivot Table'!$A$3,"State","DE","Category",10,"Category2","Two-Year")</f>
        <v>85</v>
      </c>
      <c r="AD94" s="80">
        <f>+GETPIVOTDATA(" All Ranks # New",'NEW Counts Pivot Table'!$A$3,"State","OK","Category",11,"Category2","Two-Year")</f>
        <v>0</v>
      </c>
      <c r="AE94" s="81">
        <f>+GETPIVOTDATA(" All Ranks # New",'NEW Counts Pivot Table'!$A$3,"State","OK","Category2","Two-Year")</f>
        <v>1261</v>
      </c>
      <c r="AF94" s="79">
        <f>+GETPIVOTDATA(" All Ranks # New",'NEW Counts Pivot Table'!$A$3,"State","OK","Category",12,"Category2","Technical Institutes")</f>
        <v>215</v>
      </c>
      <c r="AG94" s="80">
        <f>+GETPIVOTDATA(" All Ranks # New",'NEW Counts Pivot Table'!$A$3,"State","OK","Category",13,"Category2","Technical Institutes")</f>
        <v>916</v>
      </c>
      <c r="AH94" s="79">
        <f>+GETPIVOTDATA(" All Ranks # New",'NEW Counts Pivot Table'!$A$3,"State","OK","Category2","Technical Institutes")</f>
        <v>1131</v>
      </c>
      <c r="AI94" s="82"/>
      <c r="AJ94" s="82"/>
    </row>
    <row r="95" spans="1:36" x14ac:dyDescent="0.2">
      <c r="A95" s="18" t="s">
        <v>113</v>
      </c>
      <c r="B95" s="15" t="s">
        <v>99</v>
      </c>
      <c r="C95" s="16">
        <f t="shared" ref="C95:L101" si="48">IF(S$101&gt;0,(S95/S$101),0)</f>
        <v>0.30227374052608114</v>
      </c>
      <c r="D95" s="17">
        <f t="shared" si="48"/>
        <v>0</v>
      </c>
      <c r="E95" s="17">
        <f t="shared" si="48"/>
        <v>0.26889714993804215</v>
      </c>
      <c r="F95" s="17">
        <f t="shared" si="48"/>
        <v>0.3258426966292135</v>
      </c>
      <c r="G95" s="17">
        <f t="shared" si="48"/>
        <v>0.21642764015645372</v>
      </c>
      <c r="H95" s="39">
        <f t="shared" si="48"/>
        <v>0.15315315315315314</v>
      </c>
      <c r="I95" s="16">
        <f t="shared" si="48"/>
        <v>0.26461538461538464</v>
      </c>
      <c r="J95" s="16">
        <f t="shared" si="48"/>
        <v>0</v>
      </c>
      <c r="K95" s="17">
        <f t="shared" si="48"/>
        <v>0</v>
      </c>
      <c r="L95" s="17">
        <f t="shared" si="48"/>
        <v>0</v>
      </c>
      <c r="M95" s="17">
        <f t="shared" ref="M95:M101" si="49">IF(AC$101&gt;0,(AC95/AC$101),0)</f>
        <v>0</v>
      </c>
      <c r="N95" s="16">
        <f t="shared" ref="N95:P101" si="50">IF(AE$101&gt;0,(AE95/AE$101),0)</f>
        <v>8.126195028680689E-3</v>
      </c>
      <c r="O95" s="91">
        <f t="shared" si="50"/>
        <v>0</v>
      </c>
      <c r="P95" s="17">
        <f t="shared" si="50"/>
        <v>0</v>
      </c>
      <c r="Q95" s="91">
        <f t="shared" ref="Q95:Q101" si="51">IF(AH$101&gt;0,(AH95/AH$101),0)</f>
        <v>0</v>
      </c>
      <c r="R95" s="83"/>
      <c r="S95" s="73">
        <f>+GETPIVOTDATA(" Total # Prof New",'NEW Counts Pivot Table'!$A$3,"State","SC","Category",1,"Category2","Four-Year")</f>
        <v>678</v>
      </c>
      <c r="T95" s="74">
        <f>+GETPIVOTDATA(" Total # Prof New",'NEW Counts Pivot Table'!$A$3,"State","SC","Category",2,"Category2","Four-Year")</f>
        <v>0</v>
      </c>
      <c r="U95" s="74">
        <f>+GETPIVOTDATA(" Total # Prof New",'NEW Counts Pivot Table'!$A$3,"State","SC","Category",3,"Category2","Four-Year")</f>
        <v>217</v>
      </c>
      <c r="V95" s="74">
        <f>+GETPIVOTDATA(" Total # Prof New",'NEW Counts Pivot Table'!$A$3,"State","SC","Category",4,"Category2","Four-Year")</f>
        <v>58</v>
      </c>
      <c r="W95" s="74">
        <f>+GETPIVOTDATA(" Total # Prof New",'NEW Counts Pivot Table'!$A$3,"State","SC","Category",5,"Category2","Four-Year")</f>
        <v>166</v>
      </c>
      <c r="X95" s="74">
        <f>+GETPIVOTDATA(" Total # Prof New",'NEW Counts Pivot Table'!$A$3,"State","SC","Category",6,"Category2","Four-Year")</f>
        <v>85</v>
      </c>
      <c r="Y95" s="75">
        <f>+GETPIVOTDATA(" Total # Prof New",'NEW Counts Pivot Table'!$A$3,"State","SC","Category2","Four-Year")</f>
        <v>1204</v>
      </c>
      <c r="Z95" s="73">
        <f>+GETPIVOTDATA(" Total # Prof New",'NEW Counts Pivot Table'!$A$3,"State","AR","Category",7,"Category2","Two-Year")</f>
        <v>0</v>
      </c>
      <c r="AA95" s="74">
        <f>+GETPIVOTDATA(" Total # Prof New",'NEW Counts Pivot Table'!$A$3,"State","AR","Category",8,"Category2","Two-Year")</f>
        <v>0</v>
      </c>
      <c r="AB95" s="74">
        <f>+GETPIVOTDATA(" Total # Prof New",'NEW Counts Pivot Table'!$A$3,"State","DE","Category",9,"Category2","Two-Year")</f>
        <v>0</v>
      </c>
      <c r="AC95" s="74">
        <f>+GETPIVOTDATA(" Total # Prof New",'NEW Counts Pivot Table'!$A$3,"State","DE","Category",10,"Category2","Two-Year")</f>
        <v>0</v>
      </c>
      <c r="AD95" s="74">
        <f>+GETPIVOTDATA(" Total # Prof New",'NEW Counts Pivot Table'!$A$3,"State","SC","Category",11,"Category2","Two-Year")</f>
        <v>0</v>
      </c>
      <c r="AE95" s="75">
        <f>+GETPIVOTDATA(" Total # Prof New",'NEW Counts Pivot Table'!$A$3,"State","SC","Category2","Two-Year")</f>
        <v>17</v>
      </c>
      <c r="AF95" s="73">
        <f>+GETPIVOTDATA(" Total # Prof New",'NEW Counts Pivot Table'!$A$3,"State","SC","Category",12,"Category2","Technical Institutes")</f>
        <v>0</v>
      </c>
      <c r="AG95" s="74">
        <f>+GETPIVOTDATA(" Total # Prof New",'NEW Counts Pivot Table'!$A$3,"State","SC","Category",13,"Category2","Technical Institutes")</f>
        <v>0</v>
      </c>
      <c r="AH95" s="73">
        <f>+GETPIVOTDATA(" Total # Prof New",'NEW Counts Pivot Table'!$A$3,"State","SC","Category2","Technical Institutes")</f>
        <v>0</v>
      </c>
    </row>
    <row r="96" spans="1:36" x14ac:dyDescent="0.2">
      <c r="A96" s="10"/>
      <c r="B96" s="18" t="s">
        <v>100</v>
      </c>
      <c r="C96" s="12">
        <f t="shared" si="48"/>
        <v>0.27017387427552386</v>
      </c>
      <c r="D96" s="14">
        <f t="shared" si="48"/>
        <v>0</v>
      </c>
      <c r="E96" s="14">
        <f t="shared" si="48"/>
        <v>0.31598513011152418</v>
      </c>
      <c r="F96" s="14">
        <f t="shared" si="48"/>
        <v>0.29775280898876405</v>
      </c>
      <c r="G96" s="14">
        <f t="shared" si="48"/>
        <v>0.26466753585397651</v>
      </c>
      <c r="H96" s="40">
        <f t="shared" si="48"/>
        <v>0.24144144144144145</v>
      </c>
      <c r="I96" s="12">
        <f t="shared" si="48"/>
        <v>0.27494505494505495</v>
      </c>
      <c r="J96" s="12">
        <f t="shared" si="48"/>
        <v>0</v>
      </c>
      <c r="K96" s="14">
        <f t="shared" si="48"/>
        <v>0</v>
      </c>
      <c r="L96" s="14">
        <f t="shared" si="48"/>
        <v>0</v>
      </c>
      <c r="M96" s="14">
        <f t="shared" si="49"/>
        <v>0</v>
      </c>
      <c r="N96" s="12">
        <f t="shared" si="50"/>
        <v>1.1472275334608031E-2</v>
      </c>
      <c r="O96" s="12">
        <f t="shared" si="50"/>
        <v>0</v>
      </c>
      <c r="P96" s="14">
        <f t="shared" si="50"/>
        <v>0</v>
      </c>
      <c r="Q96" s="12">
        <f t="shared" si="51"/>
        <v>0</v>
      </c>
      <c r="R96" s="56"/>
      <c r="S96" s="76">
        <f>+GETPIVOTDATA(" Tot # Asc. Prof New",'NEW Counts Pivot Table'!$A$3,"State","SC","Category",1,"Category2","Four-Year")</f>
        <v>606</v>
      </c>
      <c r="T96" s="77">
        <f>+GETPIVOTDATA(" Tot # Asc. Prof New",'NEW Counts Pivot Table'!$A$3,"State","SC","Category",2,"Category2","Four-Year")</f>
        <v>0</v>
      </c>
      <c r="U96" s="77">
        <f>+GETPIVOTDATA(" Tot # Asc. Prof New",'NEW Counts Pivot Table'!$A$3,"State","SC","Category",3,"Category2","Four-Year")</f>
        <v>255</v>
      </c>
      <c r="V96" s="77">
        <f>+GETPIVOTDATA(" Tot # Asc. Prof New",'NEW Counts Pivot Table'!$A$3,"State","SC","Category",4,"Category2","Four-Year")</f>
        <v>53</v>
      </c>
      <c r="W96" s="77">
        <f>+GETPIVOTDATA(" Tot # Asc. Prof New",'NEW Counts Pivot Table'!$A$3,"State","SC","Category",5,"Category2","Four-Year")</f>
        <v>203</v>
      </c>
      <c r="X96" s="77">
        <f>+GETPIVOTDATA(" Tot # Asc. Prof New",'NEW Counts Pivot Table'!$A$3,"State","SC","Category",6,"Category2","Four-Year")</f>
        <v>134</v>
      </c>
      <c r="Y96" s="78">
        <f>+GETPIVOTDATA(" Tot # Asc. Prof New",'NEW Counts Pivot Table'!$A$3,"State","SC","Category2","Four-Year")</f>
        <v>1251</v>
      </c>
      <c r="Z96" s="76">
        <f>+GETPIVOTDATA(" Tot # Asc. Prof New",'NEW Counts Pivot Table'!$A$3,"State","AR","Category",7,"Category2","Two-Year")</f>
        <v>0</v>
      </c>
      <c r="AA96" s="77">
        <f>+GETPIVOTDATA(" Tot # Asc. Prof New",'NEW Counts Pivot Table'!$A$3,"State","AR","Category",8,"Category2","Two-Year")</f>
        <v>0</v>
      </c>
      <c r="AB96" s="77">
        <f>+GETPIVOTDATA(" Tot # Asc. Prof New",'NEW Counts Pivot Table'!$A$3,"State","DE","Category",9,"Category2","Two-Year")</f>
        <v>0</v>
      </c>
      <c r="AC96" s="77">
        <f>+GETPIVOTDATA(" Tot # Asc. Prof New",'NEW Counts Pivot Table'!$A$3,"State","DE","Category",10,"Category2","Two-Year")</f>
        <v>0</v>
      </c>
      <c r="AD96" s="77">
        <f>+GETPIVOTDATA(" Tot # Asc. Prof New",'NEW Counts Pivot Table'!$A$3,"State","SC","Category",11,"Category2","Two-Year")</f>
        <v>0</v>
      </c>
      <c r="AE96" s="78">
        <f>+GETPIVOTDATA(" Tot # Asc. Prof New",'NEW Counts Pivot Table'!$A$3,"State","SC","Category2","Two-Year")</f>
        <v>24</v>
      </c>
      <c r="AF96" s="76">
        <f>+GETPIVOTDATA(" Tot # Asc. Prof New",'NEW Counts Pivot Table'!$A$3,"State","SC","Category",12,"Category2","Technical Institutes")</f>
        <v>0</v>
      </c>
      <c r="AG96" s="77">
        <f>+GETPIVOTDATA(" Tot # Asc. Prof New",'NEW Counts Pivot Table'!$A$3,"State","SC","Category",13,"Category2","Technical Institutes")</f>
        <v>0</v>
      </c>
      <c r="AH96" s="76">
        <f>+GETPIVOTDATA(" Tot # Asc. Prof New",'NEW Counts Pivot Table'!$A$3,"State","SC","Category2","Technical Institutes")</f>
        <v>0</v>
      </c>
    </row>
    <row r="97" spans="1:36" x14ac:dyDescent="0.2">
      <c r="A97" s="10"/>
      <c r="B97" s="18" t="s">
        <v>101</v>
      </c>
      <c r="C97" s="12">
        <f t="shared" si="48"/>
        <v>0.25590726705305394</v>
      </c>
      <c r="D97" s="14">
        <f t="shared" si="48"/>
        <v>0</v>
      </c>
      <c r="E97" s="14">
        <f t="shared" si="48"/>
        <v>0.30235439900867411</v>
      </c>
      <c r="F97" s="14">
        <f t="shared" si="48"/>
        <v>0.3595505617977528</v>
      </c>
      <c r="G97" s="14">
        <f t="shared" si="48"/>
        <v>0.32855280312907431</v>
      </c>
      <c r="H97" s="40">
        <f t="shared" si="48"/>
        <v>0.31531531531531531</v>
      </c>
      <c r="I97" s="12">
        <f t="shared" si="48"/>
        <v>0.28769230769230769</v>
      </c>
      <c r="J97" s="12">
        <f t="shared" si="48"/>
        <v>0</v>
      </c>
      <c r="K97" s="14">
        <f t="shared" si="48"/>
        <v>0</v>
      </c>
      <c r="L97" s="14">
        <f t="shared" si="48"/>
        <v>0</v>
      </c>
      <c r="M97" s="14">
        <f t="shared" si="49"/>
        <v>0</v>
      </c>
      <c r="N97" s="12">
        <f t="shared" si="50"/>
        <v>1.7208413001912046E-2</v>
      </c>
      <c r="O97" s="12">
        <f t="shared" si="50"/>
        <v>0</v>
      </c>
      <c r="P97" s="14">
        <f t="shared" si="50"/>
        <v>0</v>
      </c>
      <c r="Q97" s="12">
        <f t="shared" si="51"/>
        <v>0</v>
      </c>
      <c r="R97" s="56"/>
      <c r="S97" s="76">
        <f>+GETPIVOTDATA(" Tot # Ast. Prof New",'NEW Counts Pivot Table'!$A$3,"State","SC","Category",1,"Category2","Four-Year")</f>
        <v>574</v>
      </c>
      <c r="T97" s="77">
        <f>+GETPIVOTDATA(" Tot # Ast. Prof New",'NEW Counts Pivot Table'!$A$3,"State","SC","Category",2,"Category2","Four-Year")</f>
        <v>0</v>
      </c>
      <c r="U97" s="77">
        <f>+GETPIVOTDATA(" Tot # Ast. Prof New",'NEW Counts Pivot Table'!$A$3,"State","SC","Category",3,"Category2","Four-Year")</f>
        <v>244</v>
      </c>
      <c r="V97" s="77">
        <f>+GETPIVOTDATA(" Tot # Ast. Prof New",'NEW Counts Pivot Table'!$A$3,"State","SC","Category",4,"Category2","Four-Year")</f>
        <v>64</v>
      </c>
      <c r="W97" s="77">
        <f>+GETPIVOTDATA(" Tot # Ast. Prof New",'NEW Counts Pivot Table'!$A$3,"State","SC","Category",5,"Category2","Four-Year")</f>
        <v>252</v>
      </c>
      <c r="X97" s="77">
        <f>+GETPIVOTDATA(" Tot # Ast. Prof New",'NEW Counts Pivot Table'!$A$3,"State","SC","Category",6,"Category2","Four-Year")</f>
        <v>175</v>
      </c>
      <c r="Y97" s="78">
        <f>+GETPIVOTDATA(" Tot # Ast. Prof New",'NEW Counts Pivot Table'!$A$3,"State","SC","Category2","Four-Year")</f>
        <v>1309</v>
      </c>
      <c r="Z97" s="76">
        <f>+GETPIVOTDATA(" Tot # Ast. Prof New",'NEW Counts Pivot Table'!$A$3,"State","AR","Category",7,"Category2","Two-Year")</f>
        <v>0</v>
      </c>
      <c r="AA97" s="77">
        <f>+GETPIVOTDATA(" Tot # Ast. Prof New",'NEW Counts Pivot Table'!$A$3,"State","AR","Category",8,"Category2","Two-Year")</f>
        <v>0</v>
      </c>
      <c r="AB97" s="77">
        <f>+GETPIVOTDATA(" Tot # Ast. Prof New",'NEW Counts Pivot Table'!$A$3,"State","DE","Category",9,"Category2","Two-Year")</f>
        <v>0</v>
      </c>
      <c r="AC97" s="77">
        <f>+GETPIVOTDATA(" Tot # Ast. Prof New",'NEW Counts Pivot Table'!$A$3,"State","DE","Category",10,"Category2","Two-Year")</f>
        <v>0</v>
      </c>
      <c r="AD97" s="77">
        <f>+GETPIVOTDATA(" Tot # Ast. Prof New",'NEW Counts Pivot Table'!$A$3,"State","SC","Category",11,"Category2","Two-Year")</f>
        <v>0</v>
      </c>
      <c r="AE97" s="78">
        <f>+GETPIVOTDATA(" Tot # Ast. Prof New",'NEW Counts Pivot Table'!$A$3,"State","SC","Category2","Two-Year")</f>
        <v>36</v>
      </c>
      <c r="AF97" s="76">
        <f>+GETPIVOTDATA(" Tot # Ast. Prof New",'NEW Counts Pivot Table'!$A$3,"State","SC","Category",12,"Category2","Technical Institutes")</f>
        <v>0</v>
      </c>
      <c r="AG97" s="77">
        <f>+GETPIVOTDATA(" Tot # Ast. Prof New",'NEW Counts Pivot Table'!$A$3,"State","SC","Category",13,"Category2","Technical Institutes")</f>
        <v>0</v>
      </c>
      <c r="AH97" s="76">
        <f>+GETPIVOTDATA(" Tot # Ast. Prof New",'NEW Counts Pivot Table'!$A$3,"State","SC","Category2","Technical Institutes")</f>
        <v>0</v>
      </c>
    </row>
    <row r="98" spans="1:36" x14ac:dyDescent="0.2">
      <c r="A98" s="10"/>
      <c r="B98" s="18" t="s">
        <v>102</v>
      </c>
      <c r="C98" s="12">
        <f t="shared" si="48"/>
        <v>6.9995541685242982E-2</v>
      </c>
      <c r="D98" s="14">
        <f t="shared" si="48"/>
        <v>0</v>
      </c>
      <c r="E98" s="14">
        <f t="shared" si="48"/>
        <v>0.11152416356877323</v>
      </c>
      <c r="F98" s="14">
        <f t="shared" si="48"/>
        <v>1.6853932584269662E-2</v>
      </c>
      <c r="G98" s="14">
        <f t="shared" si="48"/>
        <v>7.9530638852672753E-2</v>
      </c>
      <c r="H98" s="40">
        <f t="shared" si="48"/>
        <v>0.2810810810810811</v>
      </c>
      <c r="I98" s="12">
        <f t="shared" si="48"/>
        <v>0.10263736263736263</v>
      </c>
      <c r="J98" s="12">
        <f t="shared" si="48"/>
        <v>0</v>
      </c>
      <c r="K98" s="14">
        <f t="shared" si="48"/>
        <v>0</v>
      </c>
      <c r="L98" s="14">
        <f t="shared" si="48"/>
        <v>0</v>
      </c>
      <c r="M98" s="14">
        <f t="shared" si="49"/>
        <v>0</v>
      </c>
      <c r="N98" s="12">
        <f t="shared" si="50"/>
        <v>2.390057361376673E-2</v>
      </c>
      <c r="O98" s="12">
        <f t="shared" si="50"/>
        <v>0</v>
      </c>
      <c r="P98" s="14">
        <f t="shared" si="50"/>
        <v>0</v>
      </c>
      <c r="Q98" s="12">
        <f t="shared" si="51"/>
        <v>0</v>
      </c>
      <c r="R98" s="56"/>
      <c r="S98" s="76">
        <f>+GETPIVOTDATA(" Tot # Instr. New",'NEW Counts Pivot Table'!$A$3,"State","SC","Category",1,"Category2","Four-Year")</f>
        <v>157</v>
      </c>
      <c r="T98" s="77">
        <f>+GETPIVOTDATA(" Tot # Instr. New",'NEW Counts Pivot Table'!$A$3,"State","SC","Category",2,"Category2","Four-Year")</f>
        <v>0</v>
      </c>
      <c r="U98" s="77">
        <f>+GETPIVOTDATA(" Tot # Instr. New",'NEW Counts Pivot Table'!$A$3,"State","SC","Category",3,"Category2","Four-Year")</f>
        <v>90</v>
      </c>
      <c r="V98" s="77">
        <f>+GETPIVOTDATA(" Tot # Instr. New",'NEW Counts Pivot Table'!$A$3,"State","SC","Category",4,"Category2","Four-Year")</f>
        <v>3</v>
      </c>
      <c r="W98" s="77">
        <f>+GETPIVOTDATA(" Tot # Instr. New",'NEW Counts Pivot Table'!$A$3,"State","SC","Category",5,"Category2","Four-Year")</f>
        <v>61</v>
      </c>
      <c r="X98" s="77">
        <f>+GETPIVOTDATA(" Tot # Instr. New",'NEW Counts Pivot Table'!$A$3,"State","SC","Category",6,"Category2","Four-Year")</f>
        <v>156</v>
      </c>
      <c r="Y98" s="78">
        <f>+GETPIVOTDATA(" Tot # Instr. New",'NEW Counts Pivot Table'!$A$3,"State","SC","Category2","Four-Year")</f>
        <v>467</v>
      </c>
      <c r="Z98" s="76">
        <f>+GETPIVOTDATA(" Tot # Instr. New",'NEW Counts Pivot Table'!$A$3,"State","AR","Category",7,"Category2","Two-Year")</f>
        <v>0</v>
      </c>
      <c r="AA98" s="77">
        <f>+GETPIVOTDATA(" Tot # Instr. New",'NEW Counts Pivot Table'!$A$3,"State","AR","Category",8,"Category2","Two-Year")</f>
        <v>0</v>
      </c>
      <c r="AB98" s="77">
        <f>+GETPIVOTDATA(" Tot # Instr. New",'NEW Counts Pivot Table'!$A$3,"State","DE","Category",9,"Category2","Two-Year")</f>
        <v>0</v>
      </c>
      <c r="AC98" s="77">
        <f>+GETPIVOTDATA(" Tot # Instr. New",'NEW Counts Pivot Table'!$A$3,"State","DE","Category",10,"Category2","Two-Year")</f>
        <v>0</v>
      </c>
      <c r="AD98" s="77">
        <f>+GETPIVOTDATA(" Tot # Instr. New",'NEW Counts Pivot Table'!$A$3,"State","SC","Category",11,"Category2","Two-Year")</f>
        <v>0</v>
      </c>
      <c r="AE98" s="78">
        <f>+GETPIVOTDATA(" Tot # Instr. New",'NEW Counts Pivot Table'!$A$3,"State","SC","Category2","Two-Year")</f>
        <v>50</v>
      </c>
      <c r="AF98" s="76">
        <f>+GETPIVOTDATA(" Tot # Instr. New",'NEW Counts Pivot Table'!$A$3,"State","SC","Category",12,"Category2","Technical Institutes")</f>
        <v>0</v>
      </c>
      <c r="AG98" s="77">
        <f>+GETPIVOTDATA(" Tot # Instr. New",'NEW Counts Pivot Table'!$A$3,"State","SC","Category",13,"Category2","Technical Institutes")</f>
        <v>0</v>
      </c>
      <c r="AH98" s="76">
        <f>+GETPIVOTDATA(" Tot # Instr. New",'NEW Counts Pivot Table'!$A$3,"State","SC","Category2","Technical Institutes")</f>
        <v>0</v>
      </c>
    </row>
    <row r="99" spans="1:36" x14ac:dyDescent="0.2">
      <c r="A99" s="10"/>
      <c r="B99" s="18" t="s">
        <v>83</v>
      </c>
      <c r="C99" s="12">
        <f t="shared" si="48"/>
        <v>0.10164957646009808</v>
      </c>
      <c r="D99" s="14">
        <f t="shared" si="48"/>
        <v>0</v>
      </c>
      <c r="E99" s="14">
        <f t="shared" si="48"/>
        <v>1.2391573729863693E-3</v>
      </c>
      <c r="F99" s="14">
        <f t="shared" si="48"/>
        <v>0</v>
      </c>
      <c r="G99" s="14">
        <f t="shared" si="48"/>
        <v>0.11082138200782268</v>
      </c>
      <c r="H99" s="40">
        <f t="shared" si="48"/>
        <v>9.0090090090090089E-3</v>
      </c>
      <c r="I99" s="12">
        <f t="shared" si="48"/>
        <v>7.0109890109890105E-2</v>
      </c>
      <c r="J99" s="12">
        <f t="shared" si="48"/>
        <v>0</v>
      </c>
      <c r="K99" s="14">
        <f t="shared" si="48"/>
        <v>0</v>
      </c>
      <c r="L99" s="14">
        <f t="shared" si="48"/>
        <v>0</v>
      </c>
      <c r="M99" s="14">
        <f t="shared" si="49"/>
        <v>0</v>
      </c>
      <c r="N99" s="12">
        <f t="shared" si="50"/>
        <v>0.93929254302103249</v>
      </c>
      <c r="O99" s="12">
        <f t="shared" si="50"/>
        <v>0</v>
      </c>
      <c r="P99" s="14">
        <f t="shared" si="50"/>
        <v>0</v>
      </c>
      <c r="Q99" s="12">
        <f t="shared" si="51"/>
        <v>0</v>
      </c>
      <c r="R99" s="56"/>
      <c r="S99" s="76">
        <f>++GETPIVOTDATA(" Tot # Undes. New",'NEW Counts Pivot Table'!$A$3,"State","SC","Category",1,"Category2","Four-Year")</f>
        <v>228</v>
      </c>
      <c r="T99" s="77">
        <f>+GETPIVOTDATA(" Tot # Undes. New",'NEW Counts Pivot Table'!$A$3,"State","SC","Category",2,"Category2","Four-Year")</f>
        <v>0</v>
      </c>
      <c r="U99" s="77">
        <f>+GETPIVOTDATA(" Tot # Undes. New",'NEW Counts Pivot Table'!$A$3,"State","SC","Category",3,"Category2","Four-Year")</f>
        <v>1</v>
      </c>
      <c r="V99" s="77">
        <f>+GETPIVOTDATA(" Tot # Undes. New",'NEW Counts Pivot Table'!$A$3,"State","SC","Category",4,"Category2","Four-Year")</f>
        <v>0</v>
      </c>
      <c r="W99" s="77">
        <f>+GETPIVOTDATA(" Tot # Undes. New",'NEW Counts Pivot Table'!$A$3,"State","SC","Category",5,"Category2","Four-Year")</f>
        <v>85</v>
      </c>
      <c r="X99" s="77">
        <f>+GETPIVOTDATA(" Tot # Undes. New",'NEW Counts Pivot Table'!$A$3,"State","SC","Category",6,"Category2","Four-Year")</f>
        <v>5</v>
      </c>
      <c r="Y99" s="78">
        <f>+GETPIVOTDATA(" Tot # Undes. New",'NEW Counts Pivot Table'!$A$3,"State","SC","Category2","Four-Year")</f>
        <v>319</v>
      </c>
      <c r="Z99" s="76">
        <f>+GETPIVOTDATA(" Tot # Undes. New",'NEW Counts Pivot Table'!$A$3,"State","AR","Category",7,"Category2","Two-Year")</f>
        <v>0</v>
      </c>
      <c r="AA99" s="77">
        <f>+GETPIVOTDATA(" Tot # Undes. New",'NEW Counts Pivot Table'!$A$3,"State","AR","Category",8,"Category2","Two-Year")</f>
        <v>0</v>
      </c>
      <c r="AB99" s="77">
        <f>+GETPIVOTDATA(" Tot # Undes. New",'NEW Counts Pivot Table'!$A$3,"State","DE","Category",9,"Category2","Two-Year")</f>
        <v>0</v>
      </c>
      <c r="AC99" s="77">
        <f>+GETPIVOTDATA(" Tot # Undes. New",'NEW Counts Pivot Table'!$A$3,"State","DE","Category",10,"Category2","Two-Year")</f>
        <v>0</v>
      </c>
      <c r="AD99" s="77">
        <f>+GETPIVOTDATA(" Tot # Undes. New",'NEW Counts Pivot Table'!$A$3,"State","SC","Category",11,"Category2","Two-Year")</f>
        <v>0</v>
      </c>
      <c r="AE99" s="78">
        <f>+GETPIVOTDATA(" Tot # Undes. New",'NEW Counts Pivot Table'!$A$3,"State","SC","Category2","Two-Year")</f>
        <v>1965</v>
      </c>
      <c r="AF99" s="76">
        <f>+GETPIVOTDATA(" Tot # Undes. New",'NEW Counts Pivot Table'!$A$3,"State","SC","Category",12,"Category2","Technical Institutes")</f>
        <v>0</v>
      </c>
      <c r="AG99" s="77">
        <f>+GETPIVOTDATA(" Tot # Undes. New",'NEW Counts Pivot Table'!$A$3,"State","SC","Category",13,"Category2","Technical Institutes")</f>
        <v>0</v>
      </c>
      <c r="AH99" s="76">
        <f>+GETPIVOTDATA(" Tot # Undes. New",'NEW Counts Pivot Table'!$A$3,"State","SC","Category2","Technical Institutes")</f>
        <v>0</v>
      </c>
    </row>
    <row r="100" spans="1:36" x14ac:dyDescent="0.2">
      <c r="A100" s="10"/>
      <c r="B100" s="18" t="s">
        <v>82</v>
      </c>
      <c r="C100" s="12">
        <f t="shared" si="48"/>
        <v>0</v>
      </c>
      <c r="D100" s="14">
        <f t="shared" si="48"/>
        <v>0</v>
      </c>
      <c r="E100" s="103">
        <f t="shared" si="48"/>
        <v>0</v>
      </c>
      <c r="F100" s="14">
        <f t="shared" si="48"/>
        <v>0</v>
      </c>
      <c r="G100" s="103">
        <f t="shared" si="48"/>
        <v>0</v>
      </c>
      <c r="H100" s="40">
        <f t="shared" si="48"/>
        <v>0</v>
      </c>
      <c r="I100" s="102">
        <f t="shared" si="48"/>
        <v>0</v>
      </c>
      <c r="J100" s="12">
        <f t="shared" si="48"/>
        <v>0</v>
      </c>
      <c r="K100" s="14">
        <f t="shared" si="48"/>
        <v>1</v>
      </c>
      <c r="L100" s="14">
        <f t="shared" si="48"/>
        <v>1</v>
      </c>
      <c r="M100" s="14">
        <f t="shared" si="49"/>
        <v>1</v>
      </c>
      <c r="N100" s="12">
        <f t="shared" si="50"/>
        <v>0</v>
      </c>
      <c r="O100" s="12">
        <f t="shared" si="50"/>
        <v>0</v>
      </c>
      <c r="P100" s="14">
        <f t="shared" si="50"/>
        <v>0</v>
      </c>
      <c r="Q100" s="12">
        <f t="shared" si="51"/>
        <v>0</v>
      </c>
      <c r="R100" s="56"/>
      <c r="S100" s="76">
        <f>+GETPIVOTDATA(" Tot # Single Rnk New",'NEW Counts Pivot Table'!$A$3,"State","SC","Category",1,"Category2","Four-Year")</f>
        <v>0</v>
      </c>
      <c r="T100" s="77">
        <f>+GETPIVOTDATA(" Tot # Single Rnk New",'NEW Counts Pivot Table'!$A$3,"State","SC","Category",2,"Category2","Four-Year")</f>
        <v>0</v>
      </c>
      <c r="U100" s="77">
        <f>+GETPIVOTDATA(" Tot # Single Rnk New",'NEW Counts Pivot Table'!$A$3,"State","SC","Category",3,"Category2","Four-Year")</f>
        <v>0</v>
      </c>
      <c r="V100" s="77">
        <f>+GETPIVOTDATA(" Tot # Single Rnk New",'NEW Counts Pivot Table'!$A$3,"State","SC","Category",4,"Category2","Four-Year")</f>
        <v>0</v>
      </c>
      <c r="W100" s="77">
        <f>+GETPIVOTDATA(" Tot # Single Rnk New",'NEW Counts Pivot Table'!$A$3,"State","SC","Category",5,"Category2","Four-Year")</f>
        <v>0</v>
      </c>
      <c r="X100" s="77">
        <f>+GETPIVOTDATA(" Tot # Single Rnk New",'NEW Counts Pivot Table'!$A$3,"State","SC","Category",6,"Category2","Four-Year")</f>
        <v>0</v>
      </c>
      <c r="Y100" s="78">
        <f>+GETPIVOTDATA(" Tot # Single Rnk New",'NEW Counts Pivot Table'!$A$3,"State","SC","Category2","Four-Year")</f>
        <v>0</v>
      </c>
      <c r="Z100" s="76">
        <f>+GETPIVOTDATA(" Tot # Single Rnk New",'NEW Counts Pivot Table'!$A$3,"State","AR","Category",7,"Category2","Two-Year")</f>
        <v>0</v>
      </c>
      <c r="AA100" s="77">
        <f>+GETPIVOTDATA(" Tot # Single Rnk New",'NEW Counts Pivot Table'!$A$3,"State","AR","Category",8,"Category2","Two-Year")</f>
        <v>327</v>
      </c>
      <c r="AB100" s="77">
        <f>+GETPIVOTDATA(" Tot # Single Rnk New",'NEW Counts Pivot Table'!$A$3,"State","DE","Category",9,"Category2","Two-Year")</f>
        <v>122</v>
      </c>
      <c r="AC100" s="77">
        <f>+GETPIVOTDATA(" Tot # Single Rnk New",'NEW Counts Pivot Table'!$A$3,"State","DE","Category",10,"Category2","Two-Year")</f>
        <v>85</v>
      </c>
      <c r="AD100" s="77">
        <f>+GETPIVOTDATA(" Tot # Single Rnk New",'NEW Counts Pivot Table'!$A$3,"State","SC","Category",11,"Category2","Two-Year")</f>
        <v>0</v>
      </c>
      <c r="AE100" s="78">
        <f>+GETPIVOTDATA(" Tot # Single Rnk New",'NEW Counts Pivot Table'!$A$3,"State","SC","Category2","Two-Year")</f>
        <v>0</v>
      </c>
      <c r="AF100" s="76">
        <f>+GETPIVOTDATA(" Tot # Single Rnk New",'NEW Counts Pivot Table'!$A$3,"State","SC","Category",12,"Category2","Technical Institutes")</f>
        <v>0</v>
      </c>
      <c r="AG100" s="77">
        <f>+GETPIVOTDATA(" Tot # Single Rnk New",'NEW Counts Pivot Table'!$A$3,"State","SC","Category",13,"Category2","Technical Institutes")</f>
        <v>0</v>
      </c>
      <c r="AH100" s="76">
        <f>+GETPIVOTDATA(" Tot # Single Rnk New",'NEW Counts Pivot Table'!$A$3,"State","SC","Category2","Technical Institutes")</f>
        <v>0</v>
      </c>
    </row>
    <row r="101" spans="1:36" s="33" customFormat="1" x14ac:dyDescent="0.25">
      <c r="A101" s="109"/>
      <c r="B101" s="110" t="s">
        <v>84</v>
      </c>
      <c r="C101" s="13">
        <f t="shared" si="48"/>
        <v>1</v>
      </c>
      <c r="D101" s="11">
        <f t="shared" si="48"/>
        <v>0</v>
      </c>
      <c r="E101" s="11">
        <f t="shared" si="48"/>
        <v>1</v>
      </c>
      <c r="F101" s="11">
        <f t="shared" si="48"/>
        <v>1</v>
      </c>
      <c r="G101" s="11">
        <f t="shared" si="48"/>
        <v>1</v>
      </c>
      <c r="H101" s="41">
        <f t="shared" si="48"/>
        <v>1</v>
      </c>
      <c r="I101" s="13">
        <f t="shared" si="48"/>
        <v>1</v>
      </c>
      <c r="J101" s="13">
        <f t="shared" si="48"/>
        <v>0</v>
      </c>
      <c r="K101" s="11">
        <f t="shared" si="48"/>
        <v>1</v>
      </c>
      <c r="L101" s="11">
        <f t="shared" si="48"/>
        <v>1</v>
      </c>
      <c r="M101" s="11">
        <f t="shared" si="49"/>
        <v>1</v>
      </c>
      <c r="N101" s="13">
        <f t="shared" si="50"/>
        <v>1</v>
      </c>
      <c r="O101" s="13">
        <f t="shared" si="50"/>
        <v>0</v>
      </c>
      <c r="P101" s="11">
        <f t="shared" si="50"/>
        <v>0</v>
      </c>
      <c r="Q101" s="13">
        <f t="shared" si="51"/>
        <v>0</v>
      </c>
      <c r="R101" s="57"/>
      <c r="S101" s="79">
        <f>+GETPIVOTDATA(" All Ranks # New",'NEW Counts Pivot Table'!$A$3,"State","SC","Category",1,"Category2","Four-Year")</f>
        <v>2243</v>
      </c>
      <c r="T101" s="80">
        <f>+GETPIVOTDATA(" All Ranks # New",'NEW Counts Pivot Table'!$A$3,"State","SC","Category",2,"Category2","Four-Year")</f>
        <v>0</v>
      </c>
      <c r="U101" s="80">
        <f>+GETPIVOTDATA(" All Ranks # New",'NEW Counts Pivot Table'!$A$3,"State","SC","Category",3,"Category2","Four-Year")</f>
        <v>807</v>
      </c>
      <c r="V101" s="80">
        <f>+GETPIVOTDATA(" All Ranks # New",'NEW Counts Pivot Table'!$A$3,"State","SC","Category",4,"Category2","Four-Year")</f>
        <v>178</v>
      </c>
      <c r="W101" s="80">
        <f>+GETPIVOTDATA(" All Ranks # New",'NEW Counts Pivot Table'!$A$3,"State","SC","Category",5,"Category2","Four-Year")</f>
        <v>767</v>
      </c>
      <c r="X101" s="80">
        <f>+GETPIVOTDATA(" All Ranks # New",'NEW Counts Pivot Table'!$A$3,"State","SC","Category",6,"Category2","Four-Year")</f>
        <v>555</v>
      </c>
      <c r="Y101" s="81">
        <f>+GETPIVOTDATA(" All Ranks # New",'NEW Counts Pivot Table'!$A$3,"State","SC","Category2","Four-Year")</f>
        <v>4550</v>
      </c>
      <c r="Z101" s="79">
        <f>+GETPIVOTDATA(" All Ranks # New",'NEW Counts Pivot Table'!$A$3,"State","AR","Category",7,"Category2","Two-Year")</f>
        <v>0</v>
      </c>
      <c r="AA101" s="80">
        <f>+GETPIVOTDATA(" All Ranks # New",'NEW Counts Pivot Table'!$A$3,"State","AR","Category",8,"Category2","Two-Year")</f>
        <v>327</v>
      </c>
      <c r="AB101" s="80">
        <f>+GETPIVOTDATA(" All Ranks # New",'NEW Counts Pivot Table'!$A$3,"State","DE","Category",9,"Category2","Two-Year")</f>
        <v>122</v>
      </c>
      <c r="AC101" s="80">
        <f>+GETPIVOTDATA(" All Ranks # New",'NEW Counts Pivot Table'!$A$3,"State","DE","Category",10,"Category2","Two-Year")</f>
        <v>85</v>
      </c>
      <c r="AD101" s="80">
        <f>+GETPIVOTDATA(" All Ranks # New",'NEW Counts Pivot Table'!$A$3,"State","SC","Category",11,"Category2","Two-Year")</f>
        <v>0</v>
      </c>
      <c r="AE101" s="81">
        <f>+GETPIVOTDATA(" All Ranks # New",'NEW Counts Pivot Table'!$A$3,"State","SC","Category2","Two-Year")</f>
        <v>2092</v>
      </c>
      <c r="AF101" s="79">
        <f>+GETPIVOTDATA(" All Ranks # New",'NEW Counts Pivot Table'!$A$3,"State","SC","Category",12,"Category2","Technical Institutes")</f>
        <v>0</v>
      </c>
      <c r="AG101" s="80">
        <f>+GETPIVOTDATA(" All Ranks # New",'NEW Counts Pivot Table'!$A$3,"State","SC","Category",13,"Category2","Technical Institutes")</f>
        <v>0</v>
      </c>
      <c r="AH101" s="79">
        <f>+GETPIVOTDATA(" All Ranks # New",'NEW Counts Pivot Table'!$A$3,"State","SC","Category2","Technical Institutes")</f>
        <v>0</v>
      </c>
      <c r="AI101" s="82"/>
      <c r="AJ101" s="82"/>
    </row>
    <row r="102" spans="1:36" x14ac:dyDescent="0.2">
      <c r="A102" s="18" t="s">
        <v>78</v>
      </c>
      <c r="B102" s="15" t="s">
        <v>99</v>
      </c>
      <c r="C102" s="16">
        <f t="shared" ref="C102:L108" si="52">IF(S$108&gt;0,(S102/S$108),0)</f>
        <v>0.31541218637992829</v>
      </c>
      <c r="D102" s="17">
        <f t="shared" si="52"/>
        <v>0.2446043165467626</v>
      </c>
      <c r="E102" s="17">
        <f t="shared" si="52"/>
        <v>0.32672512390392683</v>
      </c>
      <c r="F102" s="17">
        <f t="shared" si="52"/>
        <v>0</v>
      </c>
      <c r="G102" s="17">
        <f t="shared" si="52"/>
        <v>0.27941176470588236</v>
      </c>
      <c r="H102" s="39">
        <f t="shared" si="52"/>
        <v>0</v>
      </c>
      <c r="I102" s="16">
        <f t="shared" si="52"/>
        <v>0.31375579598145287</v>
      </c>
      <c r="J102" s="16">
        <f t="shared" si="52"/>
        <v>0</v>
      </c>
      <c r="K102" s="17">
        <f t="shared" si="52"/>
        <v>0</v>
      </c>
      <c r="L102" s="17">
        <f t="shared" si="52"/>
        <v>0</v>
      </c>
      <c r="M102" s="17">
        <f t="shared" ref="M102:M108" si="53">IF(AC$108&gt;0,(AC102/AC$108),0)</f>
        <v>0</v>
      </c>
      <c r="N102" s="16">
        <f t="shared" ref="N102:P108" si="54">IF(AE$108&gt;0,(AE102/AE$108),0)</f>
        <v>0.11794298490776971</v>
      </c>
      <c r="O102" s="91">
        <f t="shared" si="54"/>
        <v>0</v>
      </c>
      <c r="P102" s="17">
        <f t="shared" si="54"/>
        <v>0</v>
      </c>
      <c r="Q102" s="91">
        <f t="shared" ref="Q102:Q108" si="55">IF(AH$108&gt;0,(AH102/AH$108),0)</f>
        <v>0</v>
      </c>
      <c r="R102" s="83"/>
      <c r="S102" s="73">
        <f>+GETPIVOTDATA(" Total # Prof New",'NEW Counts Pivot Table'!$A$3,"State","TN","Category",1,"Category2","Four-Year")</f>
        <v>792</v>
      </c>
      <c r="T102" s="74">
        <f>+GETPIVOTDATA(" Total # Prof New",'NEW Counts Pivot Table'!$A$3,"State","TN","Category",2,"Category2","Four-Year")</f>
        <v>102</v>
      </c>
      <c r="U102" s="74">
        <f>+GETPIVOTDATA(" Total # Prof New",'NEW Counts Pivot Table'!$A$3,"State","TN","Category",3,"Category2","Four-Year")</f>
        <v>857</v>
      </c>
      <c r="V102" s="74">
        <f>+GETPIVOTDATA(" Total # Prof New",'NEW Counts Pivot Table'!$A$3,"State","TN","Category",4,"Category2","Four-Year")</f>
        <v>0</v>
      </c>
      <c r="W102" s="74">
        <f>+GETPIVOTDATA(" Total # Prof New",'NEW Counts Pivot Table'!$A$3,"State","TN","Category",5,"Category2","Four-Year")</f>
        <v>76</v>
      </c>
      <c r="X102" s="74">
        <f>+GETPIVOTDATA(" Total # Prof New",'NEW Counts Pivot Table'!$A$3,"State","TN","Category",6,"Category2","Four-Year")</f>
        <v>0</v>
      </c>
      <c r="Y102" s="75">
        <f>+GETPIVOTDATA(" Total # Prof New",'NEW Counts Pivot Table'!$A$3,"State","TN","Category2","Four-Year")</f>
        <v>1827</v>
      </c>
      <c r="Z102" s="73">
        <f>+GETPIVOTDATA(" Total # Prof New",'NEW Counts Pivot Table'!$A$3,"State","AR","Category",7,"Category2","Two-Year")</f>
        <v>0</v>
      </c>
      <c r="AA102" s="74">
        <f>+GETPIVOTDATA(" Total # Prof New",'NEW Counts Pivot Table'!$A$3,"State","AR","Category",8,"Category2","Two-Year")</f>
        <v>0</v>
      </c>
      <c r="AB102" s="74">
        <f>+GETPIVOTDATA(" Total # Prof New",'NEW Counts Pivot Table'!$A$3,"State","DE","Category",9,"Category2","Two-Year")</f>
        <v>0</v>
      </c>
      <c r="AC102" s="74">
        <f>+GETPIVOTDATA(" Total # Prof New",'NEW Counts Pivot Table'!$A$3,"State","DE","Category",10,"Category2","Two-Year")</f>
        <v>0</v>
      </c>
      <c r="AD102" s="74">
        <f>+GETPIVOTDATA(" Total # Prof New",'NEW Counts Pivot Table'!$A$3,"State","TN","Category",11,"Category2","Two-Year")</f>
        <v>0</v>
      </c>
      <c r="AE102" s="75">
        <f>+GETPIVOTDATA(" Total # Prof New",'NEW Counts Pivot Table'!$A$3,"State","TN","Category2","Two-Year")</f>
        <v>211</v>
      </c>
      <c r="AF102" s="73">
        <f>+GETPIVOTDATA(" Total # Prof New",'NEW Counts Pivot Table'!$A$3,"State","TN","Category",12,"Category2","Technical Institutes")</f>
        <v>0</v>
      </c>
      <c r="AG102" s="74">
        <f>+GETPIVOTDATA(" Total # Prof New",'NEW Counts Pivot Table'!$A$3,"State","TN","Category",13,"Category2","Technical Institutes")</f>
        <v>0</v>
      </c>
      <c r="AH102" s="73">
        <f>+GETPIVOTDATA(" Total # Prof New",'NEW Counts Pivot Table'!$A$3,"State","TN","Category2","Technical Institutes")</f>
        <v>0</v>
      </c>
    </row>
    <row r="103" spans="1:36" x14ac:dyDescent="0.2">
      <c r="A103" s="10"/>
      <c r="B103" s="18" t="s">
        <v>100</v>
      </c>
      <c r="C103" s="12">
        <f t="shared" si="52"/>
        <v>0.26762246117084826</v>
      </c>
      <c r="D103" s="14">
        <f t="shared" si="52"/>
        <v>0.27817745803357313</v>
      </c>
      <c r="E103" s="14">
        <f t="shared" si="52"/>
        <v>0.24895158215783453</v>
      </c>
      <c r="F103" s="14">
        <f t="shared" si="52"/>
        <v>0</v>
      </c>
      <c r="G103" s="14">
        <f t="shared" si="52"/>
        <v>0.23529411764705882</v>
      </c>
      <c r="H103" s="40">
        <f t="shared" si="52"/>
        <v>0</v>
      </c>
      <c r="I103" s="12">
        <f t="shared" si="52"/>
        <v>0.25845783960157992</v>
      </c>
      <c r="J103" s="12">
        <f t="shared" si="52"/>
        <v>0</v>
      </c>
      <c r="K103" s="14">
        <f t="shared" si="52"/>
        <v>0</v>
      </c>
      <c r="L103" s="14">
        <f t="shared" si="52"/>
        <v>0</v>
      </c>
      <c r="M103" s="14">
        <f t="shared" si="53"/>
        <v>0</v>
      </c>
      <c r="N103" s="12">
        <f t="shared" si="54"/>
        <v>0.42425936277249859</v>
      </c>
      <c r="O103" s="12">
        <f t="shared" si="54"/>
        <v>0</v>
      </c>
      <c r="P103" s="14">
        <f t="shared" si="54"/>
        <v>0</v>
      </c>
      <c r="Q103" s="12">
        <f t="shared" si="55"/>
        <v>0</v>
      </c>
      <c r="R103" s="56"/>
      <c r="S103" s="76">
        <f>+GETPIVOTDATA(" Tot # Asc. Prof New",'NEW Counts Pivot Table'!$A$3,"State","TN","Category",1,"Category2","Four-Year")</f>
        <v>672</v>
      </c>
      <c r="T103" s="77">
        <f>+GETPIVOTDATA(" Tot # Asc. Prof New",'NEW Counts Pivot Table'!$A$3,"State","TN","Category",2,"Category2","Four-Year")</f>
        <v>116</v>
      </c>
      <c r="U103" s="77">
        <f>+GETPIVOTDATA(" Tot # Asc. Prof New",'NEW Counts Pivot Table'!$A$3,"State","TN","Category",3,"Category2","Four-Year")</f>
        <v>653</v>
      </c>
      <c r="V103" s="77">
        <f>+GETPIVOTDATA(" Tot # Asc. Prof New",'NEW Counts Pivot Table'!$A$3,"State","TN","Category",4,"Category2","Four-Year")</f>
        <v>0</v>
      </c>
      <c r="W103" s="77">
        <f>+GETPIVOTDATA(" Tot # Asc. Prof New",'NEW Counts Pivot Table'!$A$3,"State","TN","Category",5,"Category2","Four-Year")</f>
        <v>64</v>
      </c>
      <c r="X103" s="77">
        <f>+GETPIVOTDATA(" Tot # Asc. Prof New",'NEW Counts Pivot Table'!$A$3,"State","TN","Category",6,"Category2","Four-Year")</f>
        <v>0</v>
      </c>
      <c r="Y103" s="78">
        <f>+GETPIVOTDATA(" Tot # Asc. Prof New",'NEW Counts Pivot Table'!$A$3,"State","TN","Category2","Four-Year")</f>
        <v>1505</v>
      </c>
      <c r="Z103" s="76">
        <f>+GETPIVOTDATA(" Tot # Asc. Prof New",'NEW Counts Pivot Table'!$A$3,"State","AR","Category",7,"Category2","Two-Year")</f>
        <v>0</v>
      </c>
      <c r="AA103" s="77">
        <f>+GETPIVOTDATA(" Tot # Asc. Prof New",'NEW Counts Pivot Table'!$A$3,"State","AR","Category",8,"Category2","Two-Year")</f>
        <v>0</v>
      </c>
      <c r="AB103" s="77">
        <f>+GETPIVOTDATA(" Tot # Asc. Prof New",'NEW Counts Pivot Table'!$A$3,"State","DE","Category",9,"Category2","Two-Year")</f>
        <v>0</v>
      </c>
      <c r="AC103" s="77">
        <f>+GETPIVOTDATA(" Tot # Asc. Prof New",'NEW Counts Pivot Table'!$A$3,"State","DE","Category",10,"Category2","Two-Year")</f>
        <v>0</v>
      </c>
      <c r="AD103" s="77">
        <f>+GETPIVOTDATA(" Tot # Asc. Prof New",'NEW Counts Pivot Table'!$A$3,"State","TN","Category",11,"Category2","Two-Year")</f>
        <v>0</v>
      </c>
      <c r="AE103" s="78">
        <f>+GETPIVOTDATA(" Tot # Asc. Prof New",'NEW Counts Pivot Table'!$A$3,"State","TN","Category2","Two-Year")</f>
        <v>759</v>
      </c>
      <c r="AF103" s="76">
        <f>+GETPIVOTDATA(" Tot # Asc. Prof New",'NEW Counts Pivot Table'!$A$3,"State","TN","Category",12,"Category2","Technical Institutes")</f>
        <v>0</v>
      </c>
      <c r="AG103" s="77">
        <f>+GETPIVOTDATA(" Tot # Asc. Prof New",'NEW Counts Pivot Table'!$A$3,"State","TN","Category",13,"Category2","Technical Institutes")</f>
        <v>0</v>
      </c>
      <c r="AH103" s="76">
        <f>+GETPIVOTDATA(" Tot # Asc. Prof New",'NEW Counts Pivot Table'!$A$3,"State","TN","Category2","Technical Institutes")</f>
        <v>0</v>
      </c>
    </row>
    <row r="104" spans="1:36" x14ac:dyDescent="0.2">
      <c r="A104" s="10"/>
      <c r="B104" s="18" t="s">
        <v>101</v>
      </c>
      <c r="C104" s="12">
        <f t="shared" si="52"/>
        <v>0.2321784149741139</v>
      </c>
      <c r="D104" s="14">
        <f t="shared" si="52"/>
        <v>0.30215827338129497</v>
      </c>
      <c r="E104" s="14">
        <f t="shared" si="52"/>
        <v>0.26458253907739232</v>
      </c>
      <c r="F104" s="14">
        <f t="shared" si="52"/>
        <v>0</v>
      </c>
      <c r="G104" s="14">
        <f t="shared" si="52"/>
        <v>0.29044117647058826</v>
      </c>
      <c r="H104" s="40">
        <f t="shared" si="52"/>
        <v>0</v>
      </c>
      <c r="I104" s="12">
        <f t="shared" si="52"/>
        <v>0.25450798557444615</v>
      </c>
      <c r="J104" s="12">
        <f t="shared" si="52"/>
        <v>0</v>
      </c>
      <c r="K104" s="14">
        <f t="shared" si="52"/>
        <v>0</v>
      </c>
      <c r="L104" s="14">
        <f t="shared" si="52"/>
        <v>0</v>
      </c>
      <c r="M104" s="14">
        <f t="shared" si="53"/>
        <v>0</v>
      </c>
      <c r="N104" s="12">
        <f t="shared" si="54"/>
        <v>0.20067076579094467</v>
      </c>
      <c r="O104" s="12">
        <f t="shared" si="54"/>
        <v>0</v>
      </c>
      <c r="P104" s="14">
        <f t="shared" si="54"/>
        <v>0</v>
      </c>
      <c r="Q104" s="12">
        <f t="shared" si="55"/>
        <v>0</v>
      </c>
      <c r="R104" s="56"/>
      <c r="S104" s="76">
        <f>+GETPIVOTDATA(" Tot # Ast. Prof New",'NEW Counts Pivot Table'!$A$3,"State","TN","Category",1,"Category2","Four-Year")</f>
        <v>583</v>
      </c>
      <c r="T104" s="77">
        <f>+GETPIVOTDATA(" Tot # Ast. Prof New",'NEW Counts Pivot Table'!$A$3,"State","TN","Category",2,"Category2","Four-Year")</f>
        <v>126</v>
      </c>
      <c r="U104" s="77">
        <f>+GETPIVOTDATA(" Tot # Ast. Prof New",'NEW Counts Pivot Table'!$A$3,"State","TN","Category",3,"Category2","Four-Year")</f>
        <v>694</v>
      </c>
      <c r="V104" s="77">
        <f>+GETPIVOTDATA(" Tot # Ast. Prof New",'NEW Counts Pivot Table'!$A$3,"State","TN","Category",4,"Category2","Four-Year")</f>
        <v>0</v>
      </c>
      <c r="W104" s="77">
        <f>+GETPIVOTDATA(" Tot # Ast. Prof New",'NEW Counts Pivot Table'!$A$3,"State","TN","Category",5,"Category2","Four-Year")</f>
        <v>79</v>
      </c>
      <c r="X104" s="77">
        <f>+GETPIVOTDATA(" Tot # Ast. Prof New",'NEW Counts Pivot Table'!$A$3,"State","TN","Category",6,"Category2","Four-Year")</f>
        <v>0</v>
      </c>
      <c r="Y104" s="78">
        <f>+GETPIVOTDATA(" Tot # Ast. Prof New",'NEW Counts Pivot Table'!$A$3,"State","TN","Category2","Four-Year")</f>
        <v>1482</v>
      </c>
      <c r="Z104" s="76">
        <f>+GETPIVOTDATA(" Tot # Ast. Prof New",'NEW Counts Pivot Table'!$A$3,"State","AR","Category",7,"Category2","Two-Year")</f>
        <v>0</v>
      </c>
      <c r="AA104" s="77">
        <f>+GETPIVOTDATA(" Tot # Ast. Prof New",'NEW Counts Pivot Table'!$A$3,"State","AR","Category",8,"Category2","Two-Year")</f>
        <v>0</v>
      </c>
      <c r="AB104" s="77">
        <f>+GETPIVOTDATA(" Tot # Ast. Prof New",'NEW Counts Pivot Table'!$A$3,"State","DE","Category",9,"Category2","Two-Year")</f>
        <v>0</v>
      </c>
      <c r="AC104" s="77">
        <f>+GETPIVOTDATA(" Tot # Ast. Prof New",'NEW Counts Pivot Table'!$A$3,"State","DE","Category",10,"Category2","Two-Year")</f>
        <v>0</v>
      </c>
      <c r="AD104" s="77">
        <f>+GETPIVOTDATA(" Tot # Ast. Prof New",'NEW Counts Pivot Table'!$A$3,"State","TN","Category",11,"Category2","Two-Year")</f>
        <v>0</v>
      </c>
      <c r="AE104" s="78">
        <f>+GETPIVOTDATA(" Tot # Ast. Prof New",'NEW Counts Pivot Table'!$A$3,"State","TN","Category2","Two-Year")</f>
        <v>359</v>
      </c>
      <c r="AF104" s="76">
        <f>+GETPIVOTDATA(" Tot # Ast. Prof New",'NEW Counts Pivot Table'!$A$3,"State","TN","Category",12,"Category2","Technical Institutes")</f>
        <v>0</v>
      </c>
      <c r="AG104" s="77">
        <f>+GETPIVOTDATA(" Tot # Ast. Prof New",'NEW Counts Pivot Table'!$A$3,"State","TN","Category",13,"Category2","Technical Institutes")</f>
        <v>0</v>
      </c>
      <c r="AH104" s="76">
        <f>+GETPIVOTDATA(" Tot # Ast. Prof New",'NEW Counts Pivot Table'!$A$3,"State","TN","Category2","Technical Institutes")</f>
        <v>0</v>
      </c>
    </row>
    <row r="105" spans="1:36" x14ac:dyDescent="0.2">
      <c r="A105" s="10"/>
      <c r="B105" s="18" t="s">
        <v>102</v>
      </c>
      <c r="C105" s="12">
        <f t="shared" si="52"/>
        <v>6.8100358422939072E-2</v>
      </c>
      <c r="D105" s="14">
        <f t="shared" si="52"/>
        <v>2.8776978417266189E-2</v>
      </c>
      <c r="E105" s="14">
        <f t="shared" si="52"/>
        <v>0.10217308425467023</v>
      </c>
      <c r="F105" s="14">
        <f t="shared" si="52"/>
        <v>0</v>
      </c>
      <c r="G105" s="14">
        <f t="shared" si="52"/>
        <v>6.985294117647059E-2</v>
      </c>
      <c r="H105" s="40">
        <f t="shared" si="52"/>
        <v>0</v>
      </c>
      <c r="I105" s="12">
        <f t="shared" si="52"/>
        <v>8.0714408380559849E-2</v>
      </c>
      <c r="J105" s="12">
        <f t="shared" si="52"/>
        <v>0</v>
      </c>
      <c r="K105" s="14">
        <f t="shared" si="52"/>
        <v>0</v>
      </c>
      <c r="L105" s="14">
        <f t="shared" si="52"/>
        <v>0</v>
      </c>
      <c r="M105" s="14">
        <f t="shared" si="53"/>
        <v>0</v>
      </c>
      <c r="N105" s="12">
        <f t="shared" si="54"/>
        <v>0.25712688652878701</v>
      </c>
      <c r="O105" s="12">
        <f t="shared" si="54"/>
        <v>0</v>
      </c>
      <c r="P105" s="14">
        <f t="shared" si="54"/>
        <v>0</v>
      </c>
      <c r="Q105" s="12">
        <f t="shared" si="55"/>
        <v>0</v>
      </c>
      <c r="R105" s="56"/>
      <c r="S105" s="76">
        <f>+GETPIVOTDATA(" Tot # Instr. New",'NEW Counts Pivot Table'!$A$3,"State","TN","Category",1,"Category2","Four-Year")</f>
        <v>171</v>
      </c>
      <c r="T105" s="77">
        <f>+GETPIVOTDATA(" Tot # Instr. New",'NEW Counts Pivot Table'!$A$3,"State","TN","Category",2,"Category2","Four-Year")</f>
        <v>12</v>
      </c>
      <c r="U105" s="77">
        <f>+GETPIVOTDATA(" Tot # Instr. New",'NEW Counts Pivot Table'!$A$3,"State","TN","Category",3,"Category2","Four-Year")</f>
        <v>268</v>
      </c>
      <c r="V105" s="77">
        <f>+GETPIVOTDATA(" Tot # Instr. New",'NEW Counts Pivot Table'!$A$3,"State","TN","Category",4,"Category2","Four-Year")</f>
        <v>0</v>
      </c>
      <c r="W105" s="77">
        <f>+GETPIVOTDATA(" Tot # Instr. New",'NEW Counts Pivot Table'!$A$3,"State","TN","Category",5,"Category2","Four-Year")</f>
        <v>19</v>
      </c>
      <c r="X105" s="77">
        <f>+GETPIVOTDATA(" Tot # Instr. New",'NEW Counts Pivot Table'!$A$3,"State","TN","Category",6,"Category2","Four-Year")</f>
        <v>0</v>
      </c>
      <c r="Y105" s="78">
        <f>+GETPIVOTDATA(" Tot # Instr. New",'NEW Counts Pivot Table'!$A$3,"State","TN","Category2","Four-Year")</f>
        <v>470</v>
      </c>
      <c r="Z105" s="76">
        <f>+GETPIVOTDATA(" Tot # Instr. New",'NEW Counts Pivot Table'!$A$3,"State","AR","Category",7,"Category2","Two-Year")</f>
        <v>0</v>
      </c>
      <c r="AA105" s="77">
        <f>+GETPIVOTDATA(" Tot # Instr. New",'NEW Counts Pivot Table'!$A$3,"State","AR","Category",8,"Category2","Two-Year")</f>
        <v>0</v>
      </c>
      <c r="AB105" s="77">
        <f>+GETPIVOTDATA(" Tot # Instr. New",'NEW Counts Pivot Table'!$A$3,"State","DE","Category",9,"Category2","Two-Year")</f>
        <v>0</v>
      </c>
      <c r="AC105" s="77">
        <f>+GETPIVOTDATA(" Tot # Instr. New",'NEW Counts Pivot Table'!$A$3,"State","DE","Category",10,"Category2","Two-Year")</f>
        <v>0</v>
      </c>
      <c r="AD105" s="77">
        <f>+GETPIVOTDATA(" Tot # Instr. New",'NEW Counts Pivot Table'!$A$3,"State","TN","Category",11,"Category2","Two-Year")</f>
        <v>0</v>
      </c>
      <c r="AE105" s="78">
        <f>+GETPIVOTDATA(" Tot # Instr. New",'NEW Counts Pivot Table'!$A$3,"State","TN","Category2","Two-Year")</f>
        <v>460</v>
      </c>
      <c r="AF105" s="76">
        <f>+GETPIVOTDATA(" Tot # Instr. New",'NEW Counts Pivot Table'!$A$3,"State","TN","Category",12,"Category2","Technical Institutes")</f>
        <v>0</v>
      </c>
      <c r="AG105" s="77">
        <f>+GETPIVOTDATA(" Tot # Instr. New",'NEW Counts Pivot Table'!$A$3,"State","TN","Category",13,"Category2","Technical Institutes")</f>
        <v>0</v>
      </c>
      <c r="AH105" s="76">
        <f>+GETPIVOTDATA(" Tot # Instr. New",'NEW Counts Pivot Table'!$A$3,"State","TN","Category2","Technical Institutes")</f>
        <v>0</v>
      </c>
    </row>
    <row r="106" spans="1:36" x14ac:dyDescent="0.2">
      <c r="A106" s="10"/>
      <c r="B106" s="18" t="s">
        <v>83</v>
      </c>
      <c r="C106" s="12">
        <f t="shared" si="52"/>
        <v>0.11668657905217045</v>
      </c>
      <c r="D106" s="14">
        <f t="shared" si="52"/>
        <v>0.14628297362110312</v>
      </c>
      <c r="E106" s="14">
        <f t="shared" si="52"/>
        <v>5.7567670606176131E-2</v>
      </c>
      <c r="F106" s="14">
        <f t="shared" si="52"/>
        <v>0</v>
      </c>
      <c r="G106" s="14">
        <f t="shared" si="52"/>
        <v>0.125</v>
      </c>
      <c r="H106" s="40">
        <f t="shared" si="52"/>
        <v>0</v>
      </c>
      <c r="I106" s="12">
        <f t="shared" si="52"/>
        <v>9.2563970461961187E-2</v>
      </c>
      <c r="J106" s="12">
        <f t="shared" si="52"/>
        <v>0</v>
      </c>
      <c r="K106" s="153">
        <f t="shared" si="52"/>
        <v>0</v>
      </c>
      <c r="L106" s="14">
        <f t="shared" si="52"/>
        <v>0</v>
      </c>
      <c r="M106" s="14">
        <f t="shared" si="53"/>
        <v>0</v>
      </c>
      <c r="N106" s="154">
        <f t="shared" si="54"/>
        <v>0</v>
      </c>
      <c r="O106" s="12">
        <f t="shared" si="54"/>
        <v>0</v>
      </c>
      <c r="P106" s="14">
        <f t="shared" si="54"/>
        <v>0</v>
      </c>
      <c r="Q106" s="12">
        <f t="shared" si="55"/>
        <v>0</v>
      </c>
      <c r="R106" s="56"/>
      <c r="S106" s="76">
        <f>++GETPIVOTDATA(" Tot # Undes. New",'NEW Counts Pivot Table'!$A$3,"State","TN","Category",1,"Category2","Four-Year")</f>
        <v>293</v>
      </c>
      <c r="T106" s="77">
        <f>+GETPIVOTDATA(" Tot # Undes. New",'NEW Counts Pivot Table'!$A$3,"State","TN","Category",2,"Category2","Four-Year")</f>
        <v>61</v>
      </c>
      <c r="U106" s="77">
        <f>+GETPIVOTDATA(" Tot # Undes. New",'NEW Counts Pivot Table'!$A$3,"State","TN","Category",3,"Category2","Four-Year")</f>
        <v>151</v>
      </c>
      <c r="V106" s="77">
        <f>+GETPIVOTDATA(" Tot # Undes. New",'NEW Counts Pivot Table'!$A$3,"State","TN","Category",4,"Category2","Four-Year")</f>
        <v>0</v>
      </c>
      <c r="W106" s="77">
        <f>+GETPIVOTDATA(" Tot # Undes. New",'NEW Counts Pivot Table'!$A$3,"State","TN","Category",5,"Category2","Four-Year")</f>
        <v>34</v>
      </c>
      <c r="X106" s="77">
        <f>+GETPIVOTDATA(" Tot # Undes. New",'NEW Counts Pivot Table'!$A$3,"State","TN","Category",6,"Category2","Four-Year")</f>
        <v>0</v>
      </c>
      <c r="Y106" s="78">
        <f>+GETPIVOTDATA(" Tot # Undes. New",'NEW Counts Pivot Table'!$A$3,"State","TN","Category2","Four-Year")</f>
        <v>539</v>
      </c>
      <c r="Z106" s="76">
        <f>+GETPIVOTDATA(" Tot # Undes. New",'NEW Counts Pivot Table'!$A$3,"State","AR","Category",7,"Category2","Two-Year")</f>
        <v>0</v>
      </c>
      <c r="AA106" s="77">
        <f>+GETPIVOTDATA(" Tot # Undes. New",'NEW Counts Pivot Table'!$A$3,"State","AR","Category",8,"Category2","Two-Year")</f>
        <v>0</v>
      </c>
      <c r="AB106" s="77">
        <f>+GETPIVOTDATA(" Tot # Undes. New",'NEW Counts Pivot Table'!$A$3,"State","DE","Category",9,"Category2","Two-Year")</f>
        <v>0</v>
      </c>
      <c r="AC106" s="77">
        <f>+GETPIVOTDATA(" Tot # Undes. New",'NEW Counts Pivot Table'!$A$3,"State","DE","Category",10,"Category2","Two-Year")</f>
        <v>0</v>
      </c>
      <c r="AD106" s="77">
        <f>+GETPIVOTDATA(" Tot # Undes. New",'NEW Counts Pivot Table'!$A$3,"State","TN","Category",11,"Category2","Two-Year")</f>
        <v>0</v>
      </c>
      <c r="AE106" s="78">
        <f>+GETPIVOTDATA(" Tot # Undes. New",'NEW Counts Pivot Table'!$A$3,"State","TN","Category2","Two-Year")</f>
        <v>0</v>
      </c>
      <c r="AF106" s="76">
        <f>+GETPIVOTDATA(" Tot # Undes. New",'NEW Counts Pivot Table'!$A$3,"State","TN","Category",12,"Category2","Technical Institutes")</f>
        <v>0</v>
      </c>
      <c r="AG106" s="77">
        <f>+GETPIVOTDATA(" Tot # Undes. New",'NEW Counts Pivot Table'!$A$3,"State","TN","Category",13,"Category2","Technical Institutes")</f>
        <v>0</v>
      </c>
      <c r="AH106" s="76">
        <f>+GETPIVOTDATA(" Tot # Undes. New",'NEW Counts Pivot Table'!$A$3,"State","TN","Category2","Technical Institutes")</f>
        <v>0</v>
      </c>
    </row>
    <row r="107" spans="1:36" x14ac:dyDescent="0.2">
      <c r="A107" s="10"/>
      <c r="B107" s="18" t="s">
        <v>82</v>
      </c>
      <c r="C107" s="12">
        <f t="shared" si="52"/>
        <v>0</v>
      </c>
      <c r="D107" s="14">
        <f t="shared" si="52"/>
        <v>0</v>
      </c>
      <c r="E107" s="103">
        <f t="shared" si="52"/>
        <v>0</v>
      </c>
      <c r="F107" s="14">
        <f t="shared" si="52"/>
        <v>0</v>
      </c>
      <c r="G107" s="103">
        <f t="shared" si="52"/>
        <v>0</v>
      </c>
      <c r="H107" s="40">
        <f t="shared" si="52"/>
        <v>0</v>
      </c>
      <c r="I107" s="102">
        <f t="shared" si="52"/>
        <v>0</v>
      </c>
      <c r="J107" s="12">
        <f t="shared" si="52"/>
        <v>0</v>
      </c>
      <c r="K107" s="14">
        <f t="shared" si="52"/>
        <v>1</v>
      </c>
      <c r="L107" s="14">
        <f t="shared" si="52"/>
        <v>1</v>
      </c>
      <c r="M107" s="14">
        <f t="shared" si="53"/>
        <v>1</v>
      </c>
      <c r="N107" s="12">
        <f t="shared" si="54"/>
        <v>0</v>
      </c>
      <c r="O107" s="12">
        <f t="shared" si="54"/>
        <v>0</v>
      </c>
      <c r="P107" s="14">
        <f t="shared" si="54"/>
        <v>1</v>
      </c>
      <c r="Q107" s="12">
        <f t="shared" si="55"/>
        <v>1</v>
      </c>
      <c r="R107" s="56"/>
      <c r="S107" s="76">
        <f>+GETPIVOTDATA(" Tot # Single Rnk New",'NEW Counts Pivot Table'!$A$3,"State","TN","Category",1,"Category2","Four-Year")</f>
        <v>0</v>
      </c>
      <c r="T107" s="77">
        <f>+GETPIVOTDATA(" Tot # Single Rnk New",'NEW Counts Pivot Table'!$A$3,"State","TN","Category",2,"Category2","Four-Year")</f>
        <v>0</v>
      </c>
      <c r="U107" s="77">
        <f>+GETPIVOTDATA(" Tot # Single Rnk New",'NEW Counts Pivot Table'!$A$3,"State","TN","Category",3,"Category2","Four-Year")</f>
        <v>0</v>
      </c>
      <c r="V107" s="77">
        <f>+GETPIVOTDATA(" Tot # Single Rnk New",'NEW Counts Pivot Table'!$A$3,"State","TN","Category",4,"Category2","Four-Year")</f>
        <v>0</v>
      </c>
      <c r="W107" s="77">
        <f>+GETPIVOTDATA(" Tot # Single Rnk New",'NEW Counts Pivot Table'!$A$3,"State","TN","Category",5,"Category2","Four-Year")</f>
        <v>0</v>
      </c>
      <c r="X107" s="77">
        <f>+GETPIVOTDATA(" Tot # Single Rnk New",'NEW Counts Pivot Table'!$A$3,"State","TN","Category",6,"Category2","Four-Year")</f>
        <v>0</v>
      </c>
      <c r="Y107" s="78">
        <f>+GETPIVOTDATA(" Tot # Single Rnk New",'NEW Counts Pivot Table'!$A$3,"State","TN","Category2","Four-Year")</f>
        <v>0</v>
      </c>
      <c r="Z107" s="76">
        <f>+GETPIVOTDATA(" Tot # Single Rnk New",'NEW Counts Pivot Table'!$A$3,"State","AR","Category",7,"Category2","Two-Year")</f>
        <v>0</v>
      </c>
      <c r="AA107" s="77">
        <f>+GETPIVOTDATA(" Tot # Single Rnk New",'NEW Counts Pivot Table'!$A$3,"State","AR","Category",8,"Category2","Two-Year")</f>
        <v>327</v>
      </c>
      <c r="AB107" s="77">
        <f>+GETPIVOTDATA(" Tot # Single Rnk New",'NEW Counts Pivot Table'!$A$3,"State","DE","Category",9,"Category2","Two-Year")</f>
        <v>122</v>
      </c>
      <c r="AC107" s="77">
        <f>+GETPIVOTDATA(" Tot # Single Rnk New",'NEW Counts Pivot Table'!$A$3,"State","DE","Category",10,"Category2","Two-Year")</f>
        <v>85</v>
      </c>
      <c r="AD107" s="77">
        <f>+GETPIVOTDATA(" Tot # Single Rnk New",'NEW Counts Pivot Table'!$A$3,"State","TN","Category",11,"Category2","Two-Year")</f>
        <v>0</v>
      </c>
      <c r="AE107" s="78">
        <f>+GETPIVOTDATA(" Tot # Single Rnk New",'NEW Counts Pivot Table'!$A$3,"State","TN","Category2","Two-Year")</f>
        <v>0</v>
      </c>
      <c r="AF107" s="76">
        <f>+GETPIVOTDATA(" Tot # Single Rnk New",'NEW Counts Pivot Table'!$A$3,"State","TN","Category",12,"Category2","Technical Institutes")</f>
        <v>0</v>
      </c>
      <c r="AG107" s="77">
        <f>+GETPIVOTDATA(" Tot # Single Rnk New",'NEW Counts Pivot Table'!$A$3,"State","TN","Category",13,"Category2","Technical Institutes")</f>
        <v>458</v>
      </c>
      <c r="AH107" s="76">
        <f>+GETPIVOTDATA(" Tot # Single Rnk New",'NEW Counts Pivot Table'!$A$3,"State","TN","Category2","Technical Institutes")</f>
        <v>458</v>
      </c>
    </row>
    <row r="108" spans="1:36" s="33" customFormat="1" x14ac:dyDescent="0.25">
      <c r="A108" s="109"/>
      <c r="B108" s="110" t="s">
        <v>84</v>
      </c>
      <c r="C108" s="13">
        <f t="shared" si="52"/>
        <v>1</v>
      </c>
      <c r="D108" s="11">
        <f t="shared" si="52"/>
        <v>1</v>
      </c>
      <c r="E108" s="11">
        <f t="shared" si="52"/>
        <v>1</v>
      </c>
      <c r="F108" s="11">
        <f t="shared" si="52"/>
        <v>0</v>
      </c>
      <c r="G108" s="11">
        <f t="shared" si="52"/>
        <v>1</v>
      </c>
      <c r="H108" s="41">
        <f t="shared" si="52"/>
        <v>0</v>
      </c>
      <c r="I108" s="13">
        <f t="shared" si="52"/>
        <v>1</v>
      </c>
      <c r="J108" s="13">
        <f t="shared" si="52"/>
        <v>0</v>
      </c>
      <c r="K108" s="11">
        <f t="shared" si="52"/>
        <v>1</v>
      </c>
      <c r="L108" s="11">
        <f t="shared" si="52"/>
        <v>1</v>
      </c>
      <c r="M108" s="11">
        <f t="shared" si="53"/>
        <v>1</v>
      </c>
      <c r="N108" s="13">
        <f t="shared" si="54"/>
        <v>1</v>
      </c>
      <c r="O108" s="13">
        <f t="shared" si="54"/>
        <v>0</v>
      </c>
      <c r="P108" s="11">
        <f t="shared" si="54"/>
        <v>1</v>
      </c>
      <c r="Q108" s="13">
        <f t="shared" si="55"/>
        <v>1</v>
      </c>
      <c r="R108" s="57"/>
      <c r="S108" s="79">
        <f>+GETPIVOTDATA(" All Ranks # New",'NEW Counts Pivot Table'!$A$3,"State","TN","Category",1,"Category2","Four-Year")</f>
        <v>2511</v>
      </c>
      <c r="T108" s="80">
        <f>+GETPIVOTDATA(" All Ranks # New",'NEW Counts Pivot Table'!$A$3,"State","TN","Category",2,"Category2","Four-Year")</f>
        <v>417</v>
      </c>
      <c r="U108" s="80">
        <f>+GETPIVOTDATA(" All Ranks # New",'NEW Counts Pivot Table'!$A$3,"State","TN","Category",3,"Category2","Four-Year")</f>
        <v>2623</v>
      </c>
      <c r="V108" s="80">
        <f>+GETPIVOTDATA(" All Ranks # New",'NEW Counts Pivot Table'!$A$3,"State","TN","Category",4,"Category2","Four-Year")</f>
        <v>0</v>
      </c>
      <c r="W108" s="80">
        <f>+GETPIVOTDATA(" All Ranks # New",'NEW Counts Pivot Table'!$A$3,"State","TN","Category",5,"Category2","Four-Year")</f>
        <v>272</v>
      </c>
      <c r="X108" s="80">
        <f>+GETPIVOTDATA(" All Ranks # New",'NEW Counts Pivot Table'!$A$3,"State","TN","Category",6,"Category2","Four-Year")</f>
        <v>0</v>
      </c>
      <c r="Y108" s="81">
        <f>+GETPIVOTDATA(" All Ranks # New",'NEW Counts Pivot Table'!$A$3,"State","TN","Category2","Four-Year")</f>
        <v>5823</v>
      </c>
      <c r="Z108" s="79">
        <f>+GETPIVOTDATA(" All Ranks # New",'NEW Counts Pivot Table'!$A$3,"State","AR","Category",7,"Category2","Two-Year")</f>
        <v>0</v>
      </c>
      <c r="AA108" s="80">
        <f>+GETPIVOTDATA(" All Ranks # New",'NEW Counts Pivot Table'!$A$3,"State","AR","Category",8,"Category2","Two-Year")</f>
        <v>327</v>
      </c>
      <c r="AB108" s="80">
        <f>+GETPIVOTDATA(" All Ranks # New",'NEW Counts Pivot Table'!$A$3,"State","DE","Category",9,"Category2","Two-Year")</f>
        <v>122</v>
      </c>
      <c r="AC108" s="80">
        <f>+GETPIVOTDATA(" All Ranks # New",'NEW Counts Pivot Table'!$A$3,"State","DE","Category",10,"Category2","Two-Year")</f>
        <v>85</v>
      </c>
      <c r="AD108" s="80">
        <f>+GETPIVOTDATA(" All Ranks # New",'NEW Counts Pivot Table'!$A$3,"State","TN","Category",11,"Category2","Two-Year")</f>
        <v>0</v>
      </c>
      <c r="AE108" s="81">
        <f>+GETPIVOTDATA(" All Ranks # New",'NEW Counts Pivot Table'!$A$3,"State","TN","Category2","Two-Year")</f>
        <v>1789</v>
      </c>
      <c r="AF108" s="79">
        <f>+GETPIVOTDATA(" All Ranks # New",'NEW Counts Pivot Table'!$A$3,"State","TN","Category",12,"Category2","Technical Institutes")</f>
        <v>0</v>
      </c>
      <c r="AG108" s="80">
        <f>+GETPIVOTDATA(" All Ranks # New",'NEW Counts Pivot Table'!$A$3,"State","TN","Category",13,"Category2","Technical Institutes")</f>
        <v>458</v>
      </c>
      <c r="AH108" s="79">
        <f>+GETPIVOTDATA(" All Ranks # New",'NEW Counts Pivot Table'!$A$3,"State","TN","Category2","Technical Institutes")</f>
        <v>458</v>
      </c>
      <c r="AI108" s="82"/>
      <c r="AJ108" s="82"/>
    </row>
    <row r="109" spans="1:36" x14ac:dyDescent="0.2">
      <c r="A109" s="18" t="s">
        <v>77</v>
      </c>
      <c r="B109" s="15" t="s">
        <v>99</v>
      </c>
      <c r="C109" s="16">
        <f t="shared" ref="C109:L115" si="56">IF(S$115&gt;0,(S109/S$115),0)</f>
        <v>0.33164058451653022</v>
      </c>
      <c r="D109" s="17">
        <f t="shared" si="56"/>
        <v>0.19846547314578006</v>
      </c>
      <c r="E109" s="17">
        <f t="shared" si="56"/>
        <v>0.22402461194238568</v>
      </c>
      <c r="F109" s="17">
        <f t="shared" si="56"/>
        <v>0.24870466321243523</v>
      </c>
      <c r="G109" s="17">
        <f t="shared" si="56"/>
        <v>0.18122977346278318</v>
      </c>
      <c r="H109" s="39">
        <f t="shared" si="56"/>
        <v>0.26732673267326734</v>
      </c>
      <c r="I109" s="16">
        <f t="shared" si="56"/>
        <v>0.27487343733856806</v>
      </c>
      <c r="J109" s="16">
        <f t="shared" si="56"/>
        <v>0</v>
      </c>
      <c r="K109" s="17">
        <f t="shared" si="56"/>
        <v>0</v>
      </c>
      <c r="L109" s="17">
        <f t="shared" si="56"/>
        <v>0</v>
      </c>
      <c r="M109" s="17">
        <f t="shared" ref="M109:M115" si="57">IF(AC$115&gt;0,(AC109/AC$115),0)</f>
        <v>0</v>
      </c>
      <c r="N109" s="16">
        <f t="shared" ref="N109:P115" si="58">IF(AE$115&gt;0,(AE109/AE$115),0)</f>
        <v>0.18301306047749771</v>
      </c>
      <c r="O109" s="91">
        <f t="shared" si="58"/>
        <v>0</v>
      </c>
      <c r="P109" s="17">
        <f t="shared" si="58"/>
        <v>0</v>
      </c>
      <c r="Q109" s="91">
        <f t="shared" ref="Q109:Q115" si="59">IF(AH$115&gt;0,(AH109/AH$115),0)</f>
        <v>0</v>
      </c>
      <c r="R109" s="83"/>
      <c r="S109" s="73">
        <f>+GETPIVOTDATA(" Total # Prof New",'NEW Counts Pivot Table'!$A$3,"State","TX","Category",1,"Category2","Four-Year")</f>
        <v>3200</v>
      </c>
      <c r="T109" s="74">
        <f>+GETPIVOTDATA(" Total # Prof New",'NEW Counts Pivot Table'!$A$3,"State","TX","Category",2,"Category2","Four-Year")</f>
        <v>388</v>
      </c>
      <c r="U109" s="74">
        <f>+GETPIVOTDATA(" Total # Prof New",'NEW Counts Pivot Table'!$A$3,"State","TX","Category",3,"Category2","Four-Year")</f>
        <v>1602</v>
      </c>
      <c r="V109" s="74">
        <f>+GETPIVOTDATA(" Total # Prof New",'NEW Counts Pivot Table'!$A$3,"State","TX","Category",4,"Category2","Four-Year")</f>
        <v>48</v>
      </c>
      <c r="W109" s="74">
        <f>+GETPIVOTDATA(" Total # Prof New",'NEW Counts Pivot Table'!$A$3,"State","TX","Category",5,"Category2","Four-Year")</f>
        <v>56</v>
      </c>
      <c r="X109" s="74">
        <f>+GETPIVOTDATA(" Total # Prof New",'NEW Counts Pivot Table'!$A$3,"State","TX","Category",6,"Category2","Four-Year")</f>
        <v>27</v>
      </c>
      <c r="Y109" s="75">
        <f>+GETPIVOTDATA(" Total # Prof New",'NEW Counts Pivot Table'!$A$3,"State","TX","Category2","Four-Year")</f>
        <v>5321</v>
      </c>
      <c r="Z109" s="73">
        <f>+GETPIVOTDATA(" Total # Prof New",'NEW Counts Pivot Table'!$A$3,"State","AR","Category",7,"Category2","Two-Year")</f>
        <v>0</v>
      </c>
      <c r="AA109" s="74">
        <f>+GETPIVOTDATA(" Total # Prof New",'NEW Counts Pivot Table'!$A$3,"State","AR","Category",8,"Category2","Two-Year")</f>
        <v>0</v>
      </c>
      <c r="AB109" s="74">
        <f>+GETPIVOTDATA(" Total # Prof New",'NEW Counts Pivot Table'!$A$3,"State","DE","Category",9,"Category2","Two-Year")</f>
        <v>0</v>
      </c>
      <c r="AC109" s="74">
        <f>+GETPIVOTDATA(" Total # Prof New",'NEW Counts Pivot Table'!$A$3,"State","DE","Category",10,"Category2","Two-Year")</f>
        <v>0</v>
      </c>
      <c r="AD109" s="74">
        <f>+GETPIVOTDATA(" Total # Prof New",'NEW Counts Pivot Table'!$A$3,"State","TX","Category",11,"Category2","Two-Year")</f>
        <v>0</v>
      </c>
      <c r="AE109" s="75">
        <f>+GETPIVOTDATA(" Total # Prof New",'NEW Counts Pivot Table'!$A$3,"State","TX","Category2","Two-Year")</f>
        <v>2200</v>
      </c>
      <c r="AF109" s="73">
        <f>+GETPIVOTDATA(" Total # Prof New",'NEW Counts Pivot Table'!$A$3,"State","TX","Category",12,"Category2","Technical Institutes")</f>
        <v>0</v>
      </c>
      <c r="AG109" s="74">
        <f>+GETPIVOTDATA(" Total # Prof New",'NEW Counts Pivot Table'!$A$3,"State","TX","Category",13,"Category2","Technical Institutes")</f>
        <v>0</v>
      </c>
      <c r="AH109" s="73">
        <f>+GETPIVOTDATA(" Total # Prof New",'NEW Counts Pivot Table'!$A$3,"State","TX","Category2","Technical Institutes")</f>
        <v>0</v>
      </c>
    </row>
    <row r="110" spans="1:36" x14ac:dyDescent="0.2">
      <c r="A110" s="10"/>
      <c r="B110" s="18" t="s">
        <v>100</v>
      </c>
      <c r="C110" s="12">
        <f t="shared" si="56"/>
        <v>0.24790133692610633</v>
      </c>
      <c r="D110" s="14">
        <f t="shared" si="56"/>
        <v>0.24705882352941178</v>
      </c>
      <c r="E110" s="14">
        <f t="shared" si="56"/>
        <v>0.25367081527059154</v>
      </c>
      <c r="F110" s="14">
        <f t="shared" si="56"/>
        <v>0.26424870466321243</v>
      </c>
      <c r="G110" s="14">
        <f t="shared" si="56"/>
        <v>0.33656957928802589</v>
      </c>
      <c r="H110" s="40">
        <f t="shared" si="56"/>
        <v>0.13861386138613863</v>
      </c>
      <c r="I110" s="12">
        <f t="shared" si="56"/>
        <v>0.25095567723938422</v>
      </c>
      <c r="J110" s="12">
        <f t="shared" si="56"/>
        <v>0</v>
      </c>
      <c r="K110" s="14">
        <f t="shared" si="56"/>
        <v>0</v>
      </c>
      <c r="L110" s="14">
        <f t="shared" si="56"/>
        <v>0</v>
      </c>
      <c r="M110" s="14">
        <f t="shared" si="57"/>
        <v>0</v>
      </c>
      <c r="N110" s="12">
        <f t="shared" si="58"/>
        <v>9.7745611845936275E-2</v>
      </c>
      <c r="O110" s="12">
        <f t="shared" si="58"/>
        <v>0</v>
      </c>
      <c r="P110" s="14">
        <f t="shared" si="58"/>
        <v>0</v>
      </c>
      <c r="Q110" s="12">
        <f t="shared" si="59"/>
        <v>0</v>
      </c>
      <c r="R110" s="56"/>
      <c r="S110" s="76">
        <f>+GETPIVOTDATA(" Tot # Asc. Prof New",'NEW Counts Pivot Table'!$A$3,"State","TX","Category",1,"Category2","Four-Year")</f>
        <v>2392</v>
      </c>
      <c r="T110" s="77">
        <f>+GETPIVOTDATA(" Tot # Asc. Prof New",'NEW Counts Pivot Table'!$A$3,"State","TX","Category",2,"Category2","Four-Year")</f>
        <v>483</v>
      </c>
      <c r="U110" s="77">
        <f>+GETPIVOTDATA(" Tot # Asc. Prof New",'NEW Counts Pivot Table'!$A$3,"State","TX","Category",3,"Category2","Four-Year")</f>
        <v>1814</v>
      </c>
      <c r="V110" s="77">
        <f>+GETPIVOTDATA(" Tot # Asc. Prof New",'NEW Counts Pivot Table'!$A$3,"State","TX","Category",4,"Category2","Four-Year")</f>
        <v>51</v>
      </c>
      <c r="W110" s="77">
        <f>+GETPIVOTDATA(" Tot # Asc. Prof New",'NEW Counts Pivot Table'!$A$3,"State","TX","Category",5,"Category2","Four-Year")</f>
        <v>104</v>
      </c>
      <c r="X110" s="77">
        <f>+GETPIVOTDATA(" Tot # Asc. Prof New",'NEW Counts Pivot Table'!$A$3,"State","TX","Category",6,"Category2","Four-Year")</f>
        <v>14</v>
      </c>
      <c r="Y110" s="78">
        <f>+GETPIVOTDATA(" Tot # Asc. Prof New",'NEW Counts Pivot Table'!$A$3,"State","TX","Category2","Four-Year")</f>
        <v>4858</v>
      </c>
      <c r="Z110" s="76">
        <f>+GETPIVOTDATA(" Tot # Asc. Prof New",'NEW Counts Pivot Table'!$A$3,"State","AR","Category",7,"Category2","Two-Year")</f>
        <v>0</v>
      </c>
      <c r="AA110" s="77">
        <f>+GETPIVOTDATA(" Tot # Asc. Prof New",'NEW Counts Pivot Table'!$A$3,"State","AR","Category",8,"Category2","Two-Year")</f>
        <v>0</v>
      </c>
      <c r="AB110" s="77">
        <f>+GETPIVOTDATA(" Tot # Asc. Prof New",'NEW Counts Pivot Table'!$A$3,"State","DE","Category",9,"Category2","Two-Year")</f>
        <v>0</v>
      </c>
      <c r="AC110" s="77">
        <f>+GETPIVOTDATA(" Tot # Asc. Prof New",'NEW Counts Pivot Table'!$A$3,"State","DE","Category",10,"Category2","Two-Year")</f>
        <v>0</v>
      </c>
      <c r="AD110" s="77">
        <f>+GETPIVOTDATA(" Tot # Asc. Prof New",'NEW Counts Pivot Table'!$A$3,"State","TX","Category",11,"Category2","Two-Year")</f>
        <v>0</v>
      </c>
      <c r="AE110" s="78">
        <f>+GETPIVOTDATA(" Tot # Asc. Prof New",'NEW Counts Pivot Table'!$A$3,"State","TX","Category2","Two-Year")</f>
        <v>1175</v>
      </c>
      <c r="AF110" s="76">
        <f>+GETPIVOTDATA(" Tot # Asc. Prof New",'NEW Counts Pivot Table'!$A$3,"State","TX","Category",12,"Category2","Technical Institutes")</f>
        <v>0</v>
      </c>
      <c r="AG110" s="77">
        <f>+GETPIVOTDATA(" Tot # Asc. Prof New",'NEW Counts Pivot Table'!$A$3,"State","TX","Category",13,"Category2","Technical Institutes")</f>
        <v>0</v>
      </c>
      <c r="AH110" s="76">
        <f>+GETPIVOTDATA(" Tot # Asc. Prof New",'NEW Counts Pivot Table'!$A$3,"State","TX","Category2","Technical Institutes")</f>
        <v>0</v>
      </c>
    </row>
    <row r="111" spans="1:36" x14ac:dyDescent="0.2">
      <c r="A111" s="10"/>
      <c r="B111" s="18" t="s">
        <v>101</v>
      </c>
      <c r="C111" s="12">
        <f t="shared" si="56"/>
        <v>0.20178256814177634</v>
      </c>
      <c r="D111" s="14">
        <f t="shared" si="56"/>
        <v>0.19948849104859334</v>
      </c>
      <c r="E111" s="14">
        <f t="shared" si="56"/>
        <v>0.28807159837784924</v>
      </c>
      <c r="F111" s="14">
        <f t="shared" si="56"/>
        <v>0.36269430051813473</v>
      </c>
      <c r="G111" s="14">
        <f t="shared" si="56"/>
        <v>0.27831715210355989</v>
      </c>
      <c r="H111" s="40">
        <f t="shared" si="56"/>
        <v>0.14851485148514851</v>
      </c>
      <c r="I111" s="12">
        <f t="shared" si="56"/>
        <v>0.23597479078417191</v>
      </c>
      <c r="J111" s="12">
        <f t="shared" si="56"/>
        <v>0</v>
      </c>
      <c r="K111" s="14">
        <f t="shared" si="56"/>
        <v>0</v>
      </c>
      <c r="L111" s="14">
        <f t="shared" si="56"/>
        <v>0</v>
      </c>
      <c r="M111" s="14">
        <f t="shared" si="57"/>
        <v>0</v>
      </c>
      <c r="N111" s="12">
        <f t="shared" si="58"/>
        <v>8.6265701688711421E-2</v>
      </c>
      <c r="O111" s="12">
        <f t="shared" si="58"/>
        <v>0</v>
      </c>
      <c r="P111" s="14">
        <f t="shared" si="58"/>
        <v>0</v>
      </c>
      <c r="Q111" s="12">
        <f t="shared" si="59"/>
        <v>0</v>
      </c>
      <c r="R111" s="56"/>
      <c r="S111" s="76">
        <f>+GETPIVOTDATA(" Tot # Ast. Prof New",'NEW Counts Pivot Table'!$A$3,"State","TX","Category",1,"Category2","Four-Year")</f>
        <v>1947</v>
      </c>
      <c r="T111" s="77">
        <f>+GETPIVOTDATA(" Tot # Ast. Prof New",'NEW Counts Pivot Table'!$A$3,"State","TX","Category",2,"Category2","Four-Year")</f>
        <v>390</v>
      </c>
      <c r="U111" s="77">
        <f>+GETPIVOTDATA(" Tot # Ast. Prof New",'NEW Counts Pivot Table'!$A$3,"State","TX","Category",3,"Category2","Four-Year")</f>
        <v>2060</v>
      </c>
      <c r="V111" s="77">
        <f>+GETPIVOTDATA(" Tot # Ast. Prof New",'NEW Counts Pivot Table'!$A$3,"State","TX","Category",4,"Category2","Four-Year")</f>
        <v>70</v>
      </c>
      <c r="W111" s="77">
        <f>+GETPIVOTDATA(" Tot # Ast. Prof New",'NEW Counts Pivot Table'!$A$3,"State","TX","Category",5,"Category2","Four-Year")</f>
        <v>86</v>
      </c>
      <c r="X111" s="77">
        <f>+GETPIVOTDATA(" Tot # Ast. Prof New",'NEW Counts Pivot Table'!$A$3,"State","TX","Category",6,"Category2","Four-Year")</f>
        <v>15</v>
      </c>
      <c r="Y111" s="78">
        <f>+GETPIVOTDATA(" Tot # Ast. Prof New",'NEW Counts Pivot Table'!$A$3,"State","TX","Category2","Four-Year")</f>
        <v>4568</v>
      </c>
      <c r="Z111" s="76">
        <f>+GETPIVOTDATA(" Tot # Ast. Prof New",'NEW Counts Pivot Table'!$A$3,"State","AR","Category",7,"Category2","Two-Year")</f>
        <v>0</v>
      </c>
      <c r="AA111" s="77">
        <f>+GETPIVOTDATA(" Tot # Ast. Prof New",'NEW Counts Pivot Table'!$A$3,"State","AR","Category",8,"Category2","Two-Year")</f>
        <v>0</v>
      </c>
      <c r="AB111" s="77">
        <f>+GETPIVOTDATA(" Tot # Ast. Prof New",'NEW Counts Pivot Table'!$A$3,"State","DE","Category",9,"Category2","Two-Year")</f>
        <v>0</v>
      </c>
      <c r="AC111" s="77">
        <f>+GETPIVOTDATA(" Tot # Ast. Prof New",'NEW Counts Pivot Table'!$A$3,"State","DE","Category",10,"Category2","Two-Year")</f>
        <v>0</v>
      </c>
      <c r="AD111" s="77">
        <f>+GETPIVOTDATA(" Tot # Ast. Prof New",'NEW Counts Pivot Table'!$A$3,"State","TX","Category",11,"Category2","Two-Year")</f>
        <v>0</v>
      </c>
      <c r="AE111" s="78">
        <f>+GETPIVOTDATA(" Tot # Ast. Prof New",'NEW Counts Pivot Table'!$A$3,"State","TX","Category2","Two-Year")</f>
        <v>1037</v>
      </c>
      <c r="AF111" s="76">
        <f>+GETPIVOTDATA(" Tot # Ast. Prof New",'NEW Counts Pivot Table'!$A$3,"State","TX","Category",12,"Category2","Technical Institutes")</f>
        <v>0</v>
      </c>
      <c r="AG111" s="77">
        <f>+GETPIVOTDATA(" Tot # Ast. Prof New",'NEW Counts Pivot Table'!$A$3,"State","TX","Category",13,"Category2","Technical Institutes")</f>
        <v>0</v>
      </c>
      <c r="AH111" s="76">
        <f>+GETPIVOTDATA(" Tot # Ast. Prof New",'NEW Counts Pivot Table'!$A$3,"State","TX","Category2","Technical Institutes")</f>
        <v>0</v>
      </c>
    </row>
    <row r="112" spans="1:36" x14ac:dyDescent="0.2">
      <c r="A112" s="10"/>
      <c r="B112" s="18" t="s">
        <v>102</v>
      </c>
      <c r="C112" s="12">
        <f t="shared" si="56"/>
        <v>3.1713130894393204E-2</v>
      </c>
      <c r="D112" s="14">
        <f t="shared" si="56"/>
        <v>5.6265984654731462E-3</v>
      </c>
      <c r="E112" s="14">
        <f t="shared" si="56"/>
        <v>6.0690812473779894E-2</v>
      </c>
      <c r="F112" s="14">
        <f t="shared" si="56"/>
        <v>4.6632124352331605E-2</v>
      </c>
      <c r="G112" s="14">
        <f t="shared" si="56"/>
        <v>9.7087378640776691E-3</v>
      </c>
      <c r="H112" s="40">
        <f t="shared" si="56"/>
        <v>0</v>
      </c>
      <c r="I112" s="12">
        <f t="shared" si="56"/>
        <v>3.9415228845955164E-2</v>
      </c>
      <c r="J112" s="12">
        <f t="shared" si="56"/>
        <v>0</v>
      </c>
      <c r="K112" s="14">
        <f t="shared" si="56"/>
        <v>0</v>
      </c>
      <c r="L112" s="14">
        <f t="shared" si="56"/>
        <v>0</v>
      </c>
      <c r="M112" s="14">
        <f t="shared" si="57"/>
        <v>0</v>
      </c>
      <c r="N112" s="12">
        <f t="shared" si="58"/>
        <v>0.36319773729307048</v>
      </c>
      <c r="O112" s="12">
        <f t="shared" si="58"/>
        <v>0</v>
      </c>
      <c r="P112" s="14">
        <f t="shared" si="58"/>
        <v>0</v>
      </c>
      <c r="Q112" s="12">
        <f t="shared" si="59"/>
        <v>0</v>
      </c>
      <c r="R112" s="56"/>
      <c r="S112" s="76">
        <f>+GETPIVOTDATA(" Tot # Instr. New",'NEW Counts Pivot Table'!$A$3,"State","TX","Category",1,"Category2","Four-Year")</f>
        <v>306</v>
      </c>
      <c r="T112" s="77">
        <f>+GETPIVOTDATA(" Tot # Instr. New",'NEW Counts Pivot Table'!$A$3,"State","TX","Category",2,"Category2","Four-Year")</f>
        <v>11</v>
      </c>
      <c r="U112" s="77">
        <f>+GETPIVOTDATA(" Tot # Instr. New",'NEW Counts Pivot Table'!$A$3,"State","TX","Category",3,"Category2","Four-Year")</f>
        <v>434</v>
      </c>
      <c r="V112" s="77">
        <f>+GETPIVOTDATA(" Tot # Instr. New",'NEW Counts Pivot Table'!$A$3,"State","TX","Category",4,"Category2","Four-Year")</f>
        <v>9</v>
      </c>
      <c r="W112" s="77">
        <f>+GETPIVOTDATA(" Tot # Instr. New",'NEW Counts Pivot Table'!$A$3,"State","TX","Category",5,"Category2","Four-Year")</f>
        <v>3</v>
      </c>
      <c r="X112" s="77">
        <f>+GETPIVOTDATA(" Tot # Instr. New",'NEW Counts Pivot Table'!$A$3,"State","TX","Category",6,"Category2","Four-Year")</f>
        <v>0</v>
      </c>
      <c r="Y112" s="78">
        <f>+GETPIVOTDATA(" Tot # Instr. New",'NEW Counts Pivot Table'!$A$3,"State","TX","Category2","Four-Year")</f>
        <v>763</v>
      </c>
      <c r="Z112" s="76">
        <f>+GETPIVOTDATA(" Tot # Instr. New",'NEW Counts Pivot Table'!$A$3,"State","AR","Category",7,"Category2","Two-Year")</f>
        <v>0</v>
      </c>
      <c r="AA112" s="77">
        <f>+GETPIVOTDATA(" Tot # Instr. New",'NEW Counts Pivot Table'!$A$3,"State","AR","Category",8,"Category2","Two-Year")</f>
        <v>0</v>
      </c>
      <c r="AB112" s="77">
        <f>+GETPIVOTDATA(" Tot # Instr. New",'NEW Counts Pivot Table'!$A$3,"State","DE","Category",9,"Category2","Two-Year")</f>
        <v>0</v>
      </c>
      <c r="AC112" s="77">
        <f>+GETPIVOTDATA(" Tot # Instr. New",'NEW Counts Pivot Table'!$A$3,"State","DE","Category",10,"Category2","Two-Year")</f>
        <v>0</v>
      </c>
      <c r="AD112" s="77">
        <f>+GETPIVOTDATA(" Tot # Instr. New",'NEW Counts Pivot Table'!$A$3,"State","TX","Category",11,"Category2","Two-Year")</f>
        <v>0</v>
      </c>
      <c r="AE112" s="78">
        <f>+GETPIVOTDATA(" Tot # Instr. New",'NEW Counts Pivot Table'!$A$3,"State","TX","Category2","Two-Year")</f>
        <v>4366</v>
      </c>
      <c r="AF112" s="76">
        <f>+GETPIVOTDATA(" Tot # Instr. New",'NEW Counts Pivot Table'!$A$3,"State","TX","Category",12,"Category2","Technical Institutes")</f>
        <v>0</v>
      </c>
      <c r="AG112" s="77">
        <f>+GETPIVOTDATA(" Tot # Instr. New",'NEW Counts Pivot Table'!$A$3,"State","TX","Category",13,"Category2","Technical Institutes")</f>
        <v>0</v>
      </c>
      <c r="AH112" s="76">
        <f>+GETPIVOTDATA(" Tot # Instr. New",'NEW Counts Pivot Table'!$A$3,"State","TX","Category2","Technical Institutes")</f>
        <v>0</v>
      </c>
    </row>
    <row r="113" spans="1:36" x14ac:dyDescent="0.2">
      <c r="A113" s="10"/>
      <c r="B113" s="18" t="s">
        <v>83</v>
      </c>
      <c r="C113" s="12">
        <f t="shared" si="56"/>
        <v>0.18696237952119391</v>
      </c>
      <c r="D113" s="14">
        <f t="shared" si="56"/>
        <v>0.34936061381074168</v>
      </c>
      <c r="E113" s="14">
        <f t="shared" si="56"/>
        <v>0.17354216193539365</v>
      </c>
      <c r="F113" s="14">
        <f t="shared" si="56"/>
        <v>7.7720207253886009E-2</v>
      </c>
      <c r="G113" s="14">
        <f t="shared" si="56"/>
        <v>0.1941747572815534</v>
      </c>
      <c r="H113" s="40">
        <f t="shared" si="56"/>
        <v>0.44554455445544555</v>
      </c>
      <c r="I113" s="12">
        <f t="shared" si="56"/>
        <v>0.19878086579192064</v>
      </c>
      <c r="J113" s="12">
        <f t="shared" si="56"/>
        <v>0</v>
      </c>
      <c r="K113" s="14">
        <f t="shared" si="56"/>
        <v>0</v>
      </c>
      <c r="L113" s="153">
        <f t="shared" si="56"/>
        <v>0</v>
      </c>
      <c r="M113" s="153">
        <f t="shared" si="57"/>
        <v>0</v>
      </c>
      <c r="N113" s="12">
        <f t="shared" si="58"/>
        <v>6.2390816071874224E-3</v>
      </c>
      <c r="O113" s="12">
        <f t="shared" si="58"/>
        <v>0</v>
      </c>
      <c r="P113" s="14">
        <f t="shared" si="58"/>
        <v>0</v>
      </c>
      <c r="Q113" s="12">
        <f t="shared" si="59"/>
        <v>0</v>
      </c>
      <c r="R113" s="56"/>
      <c r="S113" s="76">
        <f>++GETPIVOTDATA(" Tot # Undes. New",'NEW Counts Pivot Table'!$A$3,"State","TX","Category",1,"Category2","Four-Year")</f>
        <v>1804</v>
      </c>
      <c r="T113" s="77">
        <f>+GETPIVOTDATA(" Tot # Undes. New",'NEW Counts Pivot Table'!$A$3,"State","TX","Category",2,"Category2","Four-Year")</f>
        <v>683</v>
      </c>
      <c r="U113" s="77">
        <f>+GETPIVOTDATA(" Tot # Undes. New",'NEW Counts Pivot Table'!$A$3,"State","TX","Category",3,"Category2","Four-Year")</f>
        <v>1241</v>
      </c>
      <c r="V113" s="77">
        <f>+GETPIVOTDATA(" Tot # Undes. New",'NEW Counts Pivot Table'!$A$3,"State","TX","Category",4,"Category2","Four-Year")</f>
        <v>15</v>
      </c>
      <c r="W113" s="77">
        <f>+GETPIVOTDATA(" Tot # Undes. New",'NEW Counts Pivot Table'!$A$3,"State","TX","Category",5,"Category2","Four-Year")</f>
        <v>60</v>
      </c>
      <c r="X113" s="77">
        <f>+GETPIVOTDATA(" Tot # Undes. New",'NEW Counts Pivot Table'!$A$3,"State","TX","Category",6,"Category2","Four-Year")</f>
        <v>45</v>
      </c>
      <c r="Y113" s="78">
        <f>+GETPIVOTDATA(" Tot # Undes. New",'NEW Counts Pivot Table'!$A$3,"State","TX","Category2","Four-Year")</f>
        <v>3848</v>
      </c>
      <c r="Z113" s="76">
        <f>+GETPIVOTDATA(" Tot # Undes. New",'NEW Counts Pivot Table'!$A$3,"State","AR","Category",7,"Category2","Two-Year")</f>
        <v>0</v>
      </c>
      <c r="AA113" s="77">
        <f>+GETPIVOTDATA(" Tot # Undes. New",'NEW Counts Pivot Table'!$A$3,"State","AR","Category",8,"Category2","Two-Year")</f>
        <v>0</v>
      </c>
      <c r="AB113" s="77">
        <f>+GETPIVOTDATA(" Tot # Undes. New",'NEW Counts Pivot Table'!$A$3,"State","DE","Category",9,"Category2","Two-Year")</f>
        <v>0</v>
      </c>
      <c r="AC113" s="77">
        <f>+GETPIVOTDATA(" Tot # Undes. New",'NEW Counts Pivot Table'!$A$3,"State","DE","Category",10,"Category2","Two-Year")</f>
        <v>0</v>
      </c>
      <c r="AD113" s="77">
        <f>+GETPIVOTDATA(" Tot # Undes. New",'NEW Counts Pivot Table'!$A$3,"State","TX","Category",11,"Category2","Two-Year")</f>
        <v>0</v>
      </c>
      <c r="AE113" s="78">
        <f>+GETPIVOTDATA(" Tot # Undes. New",'NEW Counts Pivot Table'!$A$3,"State","TX","Category2","Two-Year")</f>
        <v>75</v>
      </c>
      <c r="AF113" s="76">
        <f>+GETPIVOTDATA(" Tot # Undes. New",'NEW Counts Pivot Table'!$A$3,"State","TX","Category",12,"Category2","Technical Institutes")</f>
        <v>0</v>
      </c>
      <c r="AG113" s="77">
        <f>+GETPIVOTDATA(" Tot # Undes. New",'NEW Counts Pivot Table'!$A$3,"State","TX","Category",13,"Category2","Technical Institutes")</f>
        <v>0</v>
      </c>
      <c r="AH113" s="76">
        <f>+GETPIVOTDATA(" Tot # Undes. New",'NEW Counts Pivot Table'!$A$3,"State","TX","Category2","Technical Institutes")</f>
        <v>0</v>
      </c>
    </row>
    <row r="114" spans="1:36" x14ac:dyDescent="0.2">
      <c r="A114" s="10"/>
      <c r="B114" s="18" t="s">
        <v>82</v>
      </c>
      <c r="C114" s="12">
        <f t="shared" si="56"/>
        <v>0</v>
      </c>
      <c r="D114" s="14">
        <f t="shared" si="56"/>
        <v>0</v>
      </c>
      <c r="E114" s="14">
        <f t="shared" si="56"/>
        <v>0</v>
      </c>
      <c r="F114" s="14">
        <f t="shared" si="56"/>
        <v>0</v>
      </c>
      <c r="G114" s="14">
        <f t="shared" si="56"/>
        <v>0</v>
      </c>
      <c r="H114" s="40">
        <f t="shared" si="56"/>
        <v>0</v>
      </c>
      <c r="I114" s="12">
        <f t="shared" si="56"/>
        <v>0</v>
      </c>
      <c r="J114" s="12">
        <f t="shared" si="56"/>
        <v>0</v>
      </c>
      <c r="K114" s="14">
        <f t="shared" si="56"/>
        <v>1</v>
      </c>
      <c r="L114" s="14">
        <f t="shared" si="56"/>
        <v>1</v>
      </c>
      <c r="M114" s="14">
        <f t="shared" si="57"/>
        <v>1</v>
      </c>
      <c r="N114" s="12">
        <f t="shared" si="58"/>
        <v>0.26353880708759669</v>
      </c>
      <c r="O114" s="12">
        <f t="shared" si="58"/>
        <v>0</v>
      </c>
      <c r="P114" s="14">
        <f t="shared" si="58"/>
        <v>0</v>
      </c>
      <c r="Q114" s="12">
        <f t="shared" si="59"/>
        <v>0</v>
      </c>
      <c r="R114" s="56"/>
      <c r="S114" s="76">
        <f>+GETPIVOTDATA(" Tot # Single Rnk New",'NEW Counts Pivot Table'!$A$3,"State","TX","Category",1,"Category2","Four-Year")</f>
        <v>0</v>
      </c>
      <c r="T114" s="77">
        <f>+GETPIVOTDATA(" Tot # Single Rnk New",'NEW Counts Pivot Table'!$A$3,"State","TX","Category",2,"Category2","Four-Year")</f>
        <v>0</v>
      </c>
      <c r="U114" s="77">
        <f>+GETPIVOTDATA(" Tot # Single Rnk New",'NEW Counts Pivot Table'!$A$3,"State","TX","Category",3,"Category2","Four-Year")</f>
        <v>0</v>
      </c>
      <c r="V114" s="77">
        <f>+GETPIVOTDATA(" Tot # Single Rnk New",'NEW Counts Pivot Table'!$A$3,"State","TX","Category",4,"Category2","Four-Year")</f>
        <v>0</v>
      </c>
      <c r="W114" s="77">
        <f>+GETPIVOTDATA(" Tot # Single Rnk New",'NEW Counts Pivot Table'!$A$3,"State","TX","Category",5,"Category2","Four-Year")</f>
        <v>0</v>
      </c>
      <c r="X114" s="77">
        <f>+GETPIVOTDATA(" Tot # Single Rnk New",'NEW Counts Pivot Table'!$A$3,"State","TX","Category",6,"Category2","Four-Year")</f>
        <v>0</v>
      </c>
      <c r="Y114" s="78">
        <f>+GETPIVOTDATA(" Tot # Single Rnk New",'NEW Counts Pivot Table'!$A$3,"State","TX","Category2","Four-Year")</f>
        <v>0</v>
      </c>
      <c r="Z114" s="76">
        <f>+GETPIVOTDATA(" Tot # Single Rnk New",'NEW Counts Pivot Table'!$A$3,"State","AR","Category",7,"Category2","Two-Year")</f>
        <v>0</v>
      </c>
      <c r="AA114" s="77">
        <f>+GETPIVOTDATA(" Tot # Single Rnk New",'NEW Counts Pivot Table'!$A$3,"State","AR","Category",8,"Category2","Two-Year")</f>
        <v>327</v>
      </c>
      <c r="AB114" s="77">
        <f>+GETPIVOTDATA(" Tot # Single Rnk New",'NEW Counts Pivot Table'!$A$3,"State","DE","Category",9,"Category2","Two-Year")</f>
        <v>122</v>
      </c>
      <c r="AC114" s="77">
        <f>+GETPIVOTDATA(" Tot # Single Rnk New",'NEW Counts Pivot Table'!$A$3,"State","DE","Category",10,"Category2","Two-Year")</f>
        <v>85</v>
      </c>
      <c r="AD114" s="77">
        <f>+GETPIVOTDATA(" Tot # Single Rnk New",'NEW Counts Pivot Table'!$A$3,"State","TX","Category",11,"Category2","Two-Year")</f>
        <v>0</v>
      </c>
      <c r="AE114" s="78">
        <f>+GETPIVOTDATA(" Tot # Single Rnk New",'NEW Counts Pivot Table'!$A$3,"State","TX","Category2","Two-Year")</f>
        <v>3168</v>
      </c>
      <c r="AF114" s="76">
        <f>+GETPIVOTDATA(" Tot # Single Rnk New",'NEW Counts Pivot Table'!$A$3,"State","TX","Category",12,"Category2","Technical Institutes")</f>
        <v>0</v>
      </c>
      <c r="AG114" s="77">
        <f>+GETPIVOTDATA(" Tot # Single Rnk New",'NEW Counts Pivot Table'!$A$3,"State","TX","Category",13,"Category2","Technical Institutes")</f>
        <v>0</v>
      </c>
      <c r="AH114" s="76">
        <f>+GETPIVOTDATA(" Tot # Single Rnk New",'NEW Counts Pivot Table'!$A$3,"State","TX","Category2","Technical Institutes")</f>
        <v>0</v>
      </c>
    </row>
    <row r="115" spans="1:36" s="33" customFormat="1" x14ac:dyDescent="0.25">
      <c r="A115" s="109"/>
      <c r="B115" s="110" t="s">
        <v>84</v>
      </c>
      <c r="C115" s="13">
        <f t="shared" si="56"/>
        <v>1</v>
      </c>
      <c r="D115" s="11">
        <f t="shared" si="56"/>
        <v>1</v>
      </c>
      <c r="E115" s="11">
        <f t="shared" si="56"/>
        <v>1</v>
      </c>
      <c r="F115" s="11">
        <f t="shared" si="56"/>
        <v>1</v>
      </c>
      <c r="G115" s="11">
        <f t="shared" si="56"/>
        <v>1</v>
      </c>
      <c r="H115" s="41">
        <f t="shared" si="56"/>
        <v>1</v>
      </c>
      <c r="I115" s="13">
        <f t="shared" si="56"/>
        <v>1</v>
      </c>
      <c r="J115" s="13">
        <f t="shared" si="56"/>
        <v>0</v>
      </c>
      <c r="K115" s="11">
        <f t="shared" si="56"/>
        <v>1</v>
      </c>
      <c r="L115" s="11">
        <f t="shared" si="56"/>
        <v>1</v>
      </c>
      <c r="M115" s="11">
        <f t="shared" si="57"/>
        <v>1</v>
      </c>
      <c r="N115" s="13">
        <f t="shared" si="58"/>
        <v>1</v>
      </c>
      <c r="O115" s="13">
        <f t="shared" si="58"/>
        <v>0</v>
      </c>
      <c r="P115" s="11">
        <f t="shared" si="58"/>
        <v>0</v>
      </c>
      <c r="Q115" s="13">
        <f t="shared" si="59"/>
        <v>0</v>
      </c>
      <c r="R115" s="57"/>
      <c r="S115" s="79">
        <f>+GETPIVOTDATA(" All Ranks # New",'NEW Counts Pivot Table'!$A$3,"State","TX","Category",1,"Category2","Four-Year")</f>
        <v>9649</v>
      </c>
      <c r="T115" s="80">
        <f>+GETPIVOTDATA(" All Ranks # New",'NEW Counts Pivot Table'!$A$3,"State","TX","Category",2,"Category2","Four-Year")</f>
        <v>1955</v>
      </c>
      <c r="U115" s="80">
        <f>+GETPIVOTDATA(" All Ranks # New",'NEW Counts Pivot Table'!$A$3,"State","TX","Category",3,"Category2","Four-Year")</f>
        <v>7151</v>
      </c>
      <c r="V115" s="80">
        <f>+GETPIVOTDATA(" All Ranks # New",'NEW Counts Pivot Table'!$A$3,"State","TX","Category",4,"Category2","Four-Year")</f>
        <v>193</v>
      </c>
      <c r="W115" s="80">
        <f>+GETPIVOTDATA(" All Ranks # New",'NEW Counts Pivot Table'!$A$3,"State","TX","Category",5,"Category2","Four-Year")</f>
        <v>309</v>
      </c>
      <c r="X115" s="80">
        <f>+GETPIVOTDATA(" All Ranks # New",'NEW Counts Pivot Table'!$A$3,"State","TX","Category",6,"Category2","Four-Year")</f>
        <v>101</v>
      </c>
      <c r="Y115" s="81">
        <f>+GETPIVOTDATA(" All Ranks # New",'NEW Counts Pivot Table'!$A$3,"State","TX","Category2","Four-Year")</f>
        <v>19358</v>
      </c>
      <c r="Z115" s="79">
        <f>+GETPIVOTDATA(" All Ranks # New",'NEW Counts Pivot Table'!$A$3,"State","AR","Category",7,"Category2","Two-Year")</f>
        <v>0</v>
      </c>
      <c r="AA115" s="80">
        <f>+GETPIVOTDATA(" All Ranks # New",'NEW Counts Pivot Table'!$A$3,"State","AR","Category",8,"Category2","Two-Year")</f>
        <v>327</v>
      </c>
      <c r="AB115" s="80">
        <f>+GETPIVOTDATA(" All Ranks # New",'NEW Counts Pivot Table'!$A$3,"State","DE","Category",9,"Category2","Two-Year")</f>
        <v>122</v>
      </c>
      <c r="AC115" s="80">
        <f>+GETPIVOTDATA(" All Ranks # New",'NEW Counts Pivot Table'!$A$3,"State","DE","Category",10,"Category2","Two-Year")</f>
        <v>85</v>
      </c>
      <c r="AD115" s="80">
        <f>+GETPIVOTDATA(" All Ranks # New",'NEW Counts Pivot Table'!$A$3,"State","TX","Category",11,"Category2","Two-Year")</f>
        <v>0</v>
      </c>
      <c r="AE115" s="81">
        <f>+GETPIVOTDATA(" All Ranks # New",'NEW Counts Pivot Table'!$A$3,"State","TX","Category2","Two-Year")</f>
        <v>12021</v>
      </c>
      <c r="AF115" s="79">
        <f>+GETPIVOTDATA(" All Ranks # New",'NEW Counts Pivot Table'!$A$3,"State","TX","Category",12,"Category2","Technical Institutes")</f>
        <v>0</v>
      </c>
      <c r="AG115" s="80">
        <f>+GETPIVOTDATA(" All Ranks # New",'NEW Counts Pivot Table'!$A$3,"State","TX","Category",13,"Category2","Technical Institutes")</f>
        <v>0</v>
      </c>
      <c r="AH115" s="79">
        <f>+GETPIVOTDATA(" All Ranks # New",'NEW Counts Pivot Table'!$A$3,"State","TX","Category2","Technical Institutes")</f>
        <v>0</v>
      </c>
      <c r="AI115" s="82"/>
      <c r="AJ115" s="82"/>
    </row>
    <row r="116" spans="1:36" x14ac:dyDescent="0.2">
      <c r="A116" s="18" t="s">
        <v>111</v>
      </c>
      <c r="B116" s="15" t="s">
        <v>99</v>
      </c>
      <c r="C116" s="16">
        <f t="shared" ref="C116:L122" si="60">IF(S$122&gt;0,(S116/S$122),0)</f>
        <v>0.34724729241877256</v>
      </c>
      <c r="D116" s="17">
        <f t="shared" si="60"/>
        <v>0.24870466321243523</v>
      </c>
      <c r="E116" s="17">
        <f t="shared" si="60"/>
        <v>0.2951096121416526</v>
      </c>
      <c r="F116" s="17">
        <f t="shared" si="60"/>
        <v>0.25671641791044775</v>
      </c>
      <c r="G116" s="17">
        <f t="shared" si="60"/>
        <v>0.23391812865497075</v>
      </c>
      <c r="H116" s="39">
        <f t="shared" si="60"/>
        <v>0.17241379310344829</v>
      </c>
      <c r="I116" s="16">
        <f t="shared" si="60"/>
        <v>0.30331969076853116</v>
      </c>
      <c r="J116" s="16">
        <f t="shared" si="60"/>
        <v>0</v>
      </c>
      <c r="K116" s="17">
        <f t="shared" si="60"/>
        <v>0</v>
      </c>
      <c r="L116" s="17">
        <f t="shared" si="60"/>
        <v>0</v>
      </c>
      <c r="M116" s="17">
        <f t="shared" ref="M116:M122" si="61">IF(AC$122&gt;0,(AC116/AC$122),0)</f>
        <v>0</v>
      </c>
      <c r="N116" s="16">
        <f t="shared" ref="N116:P122" si="62">IF(AE$122&gt;0,(AE116/AE$122),0)</f>
        <v>0.19107744107744107</v>
      </c>
      <c r="O116" s="91">
        <f t="shared" si="62"/>
        <v>0</v>
      </c>
      <c r="P116" s="17">
        <f t="shared" si="62"/>
        <v>0</v>
      </c>
      <c r="Q116" s="91">
        <f t="shared" ref="Q116:Q122" si="63">IF(AH$122&gt;0,(AH116/AH$122),0)</f>
        <v>0</v>
      </c>
      <c r="R116" s="83"/>
      <c r="S116" s="73">
        <f>+GETPIVOTDATA(" Total # Prof New",'NEW Counts Pivot Table'!$A$3,"State","VA","Category",1,"Category2","Four-Year")</f>
        <v>1539</v>
      </c>
      <c r="T116" s="74">
        <f>+GETPIVOTDATA(" Total # Prof New",'NEW Counts Pivot Table'!$A$3,"State","VA","Category",2,"Category2","Four-Year")</f>
        <v>432</v>
      </c>
      <c r="U116" s="74">
        <f>+GETPIVOTDATA(" Total # Prof New",'NEW Counts Pivot Table'!$A$3,"State","VA","Category",3,"Category2","Four-Year")</f>
        <v>350</v>
      </c>
      <c r="V116" s="74">
        <f>+GETPIVOTDATA(" Total # Prof New",'NEW Counts Pivot Table'!$A$3,"State","VA","Category",4,"Category2","Four-Year")</f>
        <v>172</v>
      </c>
      <c r="W116" s="74">
        <f>+GETPIVOTDATA(" Total # Prof New",'NEW Counts Pivot Table'!$A$3,"State","VA","Category",5,"Category2","Four-Year")</f>
        <v>160</v>
      </c>
      <c r="X116" s="74">
        <f>+GETPIVOTDATA(" Total # Prof New",'NEW Counts Pivot Table'!$A$3,"State","VA","Category",6,"Category2","Four-Year")</f>
        <v>15</v>
      </c>
      <c r="Y116" s="75">
        <f>+GETPIVOTDATA(" Total # Prof New",'NEW Counts Pivot Table'!$A$3,"State","VA","Category2","Four-Year")</f>
        <v>2668</v>
      </c>
      <c r="Z116" s="73">
        <f>+GETPIVOTDATA(" Total # Prof New",'NEW Counts Pivot Table'!$A$3,"State","AR","Category",7,"Category2","Two-Year")</f>
        <v>0</v>
      </c>
      <c r="AA116" s="74">
        <f>+GETPIVOTDATA(" Total # Prof New",'NEW Counts Pivot Table'!$A$3,"State","AR","Category",8,"Category2","Two-Year")</f>
        <v>0</v>
      </c>
      <c r="AB116" s="74">
        <f>+GETPIVOTDATA(" Total # Prof New",'NEW Counts Pivot Table'!$A$3,"State","DE","Category",9,"Category2","Two-Year")</f>
        <v>0</v>
      </c>
      <c r="AC116" s="74">
        <f>+GETPIVOTDATA(" Total # Prof New",'NEW Counts Pivot Table'!$A$3,"State","DE","Category",10,"Category2","Two-Year")</f>
        <v>0</v>
      </c>
      <c r="AD116" s="74">
        <f>+GETPIVOTDATA(" Total # Prof New",'NEW Counts Pivot Table'!$A$3,"State","VA","Category",11,"Category2","Two-Year")</f>
        <v>443</v>
      </c>
      <c r="AE116" s="75">
        <f>+GETPIVOTDATA(" Total # Prof New",'NEW Counts Pivot Table'!$A$3,"State","VA","Category2","Two-Year")</f>
        <v>454</v>
      </c>
      <c r="AF116" s="73">
        <f>+GETPIVOTDATA(" Total # Prof New",'NEW Counts Pivot Table'!$A$3,"State","VA","Category",12,"Category2","Technical Institutes")</f>
        <v>0</v>
      </c>
      <c r="AG116" s="74">
        <f>+GETPIVOTDATA(" Total # Prof New",'NEW Counts Pivot Table'!$A$3,"State","VA","Category",13,"Category2","Technical Institutes")</f>
        <v>0</v>
      </c>
      <c r="AH116" s="73">
        <f>+GETPIVOTDATA(" Total # Prof New",'NEW Counts Pivot Table'!$A$3,"State","VA","Category2","Technical Institutes")</f>
        <v>0</v>
      </c>
    </row>
    <row r="117" spans="1:36" x14ac:dyDescent="0.2">
      <c r="A117" s="10"/>
      <c r="B117" s="18" t="s">
        <v>100</v>
      </c>
      <c r="C117" s="12">
        <f t="shared" si="60"/>
        <v>0.3009927797833935</v>
      </c>
      <c r="D117" s="14">
        <f t="shared" si="60"/>
        <v>0.29360967184801384</v>
      </c>
      <c r="E117" s="14">
        <f t="shared" si="60"/>
        <v>0.24873524451939291</v>
      </c>
      <c r="F117" s="14">
        <f t="shared" si="60"/>
        <v>0.31343283582089554</v>
      </c>
      <c r="G117" s="14">
        <f t="shared" si="60"/>
        <v>0.35087719298245612</v>
      </c>
      <c r="H117" s="40">
        <f t="shared" si="60"/>
        <v>0.35632183908045978</v>
      </c>
      <c r="I117" s="12">
        <f t="shared" si="60"/>
        <v>0.29786266484765805</v>
      </c>
      <c r="J117" s="12">
        <f t="shared" si="60"/>
        <v>0</v>
      </c>
      <c r="K117" s="14">
        <f t="shared" si="60"/>
        <v>0</v>
      </c>
      <c r="L117" s="14">
        <f t="shared" si="60"/>
        <v>0</v>
      </c>
      <c r="M117" s="14">
        <f t="shared" si="61"/>
        <v>0</v>
      </c>
      <c r="N117" s="12">
        <f t="shared" si="62"/>
        <v>0.29966329966329969</v>
      </c>
      <c r="O117" s="12">
        <f t="shared" si="62"/>
        <v>0</v>
      </c>
      <c r="P117" s="14">
        <f t="shared" si="62"/>
        <v>0</v>
      </c>
      <c r="Q117" s="12">
        <f t="shared" si="63"/>
        <v>0</v>
      </c>
      <c r="R117" s="56"/>
      <c r="S117" s="76">
        <f>+GETPIVOTDATA(" Tot # Asc. Prof New",'NEW Counts Pivot Table'!$A$3,"State","VA","Category",1,"Category2","Four-Year")</f>
        <v>1334</v>
      </c>
      <c r="T117" s="77">
        <f>+GETPIVOTDATA(" Tot # Asc. Prof New",'NEW Counts Pivot Table'!$A$3,"State","VA","Category",2,"Category2","Four-Year")</f>
        <v>510</v>
      </c>
      <c r="U117" s="77">
        <f>+GETPIVOTDATA(" Tot # Asc. Prof New",'NEW Counts Pivot Table'!$A$3,"State","VA","Category",3,"Category2","Four-Year")</f>
        <v>295</v>
      </c>
      <c r="V117" s="77">
        <f>+GETPIVOTDATA(" Tot # Asc. Prof New",'NEW Counts Pivot Table'!$A$3,"State","VA","Category",4,"Category2","Four-Year")</f>
        <v>210</v>
      </c>
      <c r="W117" s="77">
        <f>+GETPIVOTDATA(" Tot # Asc. Prof New",'NEW Counts Pivot Table'!$A$3,"State","VA","Category",5,"Category2","Four-Year")</f>
        <v>240</v>
      </c>
      <c r="X117" s="77">
        <f>+GETPIVOTDATA(" Tot # Asc. Prof New",'NEW Counts Pivot Table'!$A$3,"State","VA","Category",6,"Category2","Four-Year")</f>
        <v>31</v>
      </c>
      <c r="Y117" s="78">
        <f>+GETPIVOTDATA(" Tot # Asc. Prof New",'NEW Counts Pivot Table'!$A$3,"State","VA","Category2","Four-Year")</f>
        <v>2620</v>
      </c>
      <c r="Z117" s="76">
        <f>+GETPIVOTDATA(" Tot # Asc. Prof New",'NEW Counts Pivot Table'!$A$3,"State","AR","Category",7,"Category2","Two-Year")</f>
        <v>0</v>
      </c>
      <c r="AA117" s="77">
        <f>+GETPIVOTDATA(" Tot # Asc. Prof New",'NEW Counts Pivot Table'!$A$3,"State","AR","Category",8,"Category2","Two-Year")</f>
        <v>0</v>
      </c>
      <c r="AB117" s="77">
        <f>+GETPIVOTDATA(" Tot # Asc. Prof New",'NEW Counts Pivot Table'!$A$3,"State","DE","Category",9,"Category2","Two-Year")</f>
        <v>0</v>
      </c>
      <c r="AC117" s="77">
        <f>+GETPIVOTDATA(" Tot # Asc. Prof New",'NEW Counts Pivot Table'!$A$3,"State","DE","Category",10,"Category2","Two-Year")</f>
        <v>0</v>
      </c>
      <c r="AD117" s="77">
        <f>+GETPIVOTDATA(" Tot # Asc. Prof New",'NEW Counts Pivot Table'!$A$3,"State","VA","Category",11,"Category2","Two-Year")</f>
        <v>699</v>
      </c>
      <c r="AE117" s="78">
        <f>+GETPIVOTDATA(" Tot # Asc. Prof New",'NEW Counts Pivot Table'!$A$3,"State","VA","Category2","Two-Year")</f>
        <v>712</v>
      </c>
      <c r="AF117" s="76">
        <f>+GETPIVOTDATA(" Tot # Asc. Prof New",'NEW Counts Pivot Table'!$A$3,"State","VA","Category",12,"Category2","Technical Institutes")</f>
        <v>0</v>
      </c>
      <c r="AG117" s="77">
        <f>+GETPIVOTDATA(" Tot # Asc. Prof New",'NEW Counts Pivot Table'!$A$3,"State","VA","Category",13,"Category2","Technical Institutes")</f>
        <v>0</v>
      </c>
      <c r="AH117" s="76">
        <f>+GETPIVOTDATA(" Tot # Asc. Prof New",'NEW Counts Pivot Table'!$A$3,"State","VA","Category2","Technical Institutes")</f>
        <v>0</v>
      </c>
    </row>
    <row r="118" spans="1:36" x14ac:dyDescent="0.2">
      <c r="A118" s="10"/>
      <c r="B118" s="18" t="s">
        <v>101</v>
      </c>
      <c r="C118" s="12">
        <f t="shared" si="60"/>
        <v>0.22991877256317689</v>
      </c>
      <c r="D118" s="14">
        <f t="shared" si="60"/>
        <v>0.31088082901554404</v>
      </c>
      <c r="E118" s="14">
        <f t="shared" si="60"/>
        <v>0.30354131534569984</v>
      </c>
      <c r="F118" s="14">
        <f t="shared" si="60"/>
        <v>0.30298507462686569</v>
      </c>
      <c r="G118" s="14">
        <f t="shared" si="60"/>
        <v>0.27631578947368424</v>
      </c>
      <c r="H118" s="40">
        <f t="shared" si="60"/>
        <v>0.17241379310344829</v>
      </c>
      <c r="I118" s="12">
        <f t="shared" si="60"/>
        <v>0.26443838108231016</v>
      </c>
      <c r="J118" s="12">
        <f t="shared" si="60"/>
        <v>0</v>
      </c>
      <c r="K118" s="14">
        <f t="shared" si="60"/>
        <v>0</v>
      </c>
      <c r="L118" s="14">
        <f t="shared" si="60"/>
        <v>0</v>
      </c>
      <c r="M118" s="14">
        <f t="shared" si="61"/>
        <v>0</v>
      </c>
      <c r="N118" s="12">
        <f t="shared" si="62"/>
        <v>0.28956228956228958</v>
      </c>
      <c r="O118" s="12">
        <f t="shared" si="62"/>
        <v>0</v>
      </c>
      <c r="P118" s="14">
        <f t="shared" si="62"/>
        <v>0</v>
      </c>
      <c r="Q118" s="12">
        <f t="shared" si="63"/>
        <v>0</v>
      </c>
      <c r="R118" s="56"/>
      <c r="S118" s="76">
        <f>+GETPIVOTDATA(" Tot # Ast. Prof New",'NEW Counts Pivot Table'!$A$3,"State","VA","Category",1,"Category2","Four-Year")</f>
        <v>1019</v>
      </c>
      <c r="T118" s="77">
        <f>+GETPIVOTDATA(" Tot # Ast. Prof New",'NEW Counts Pivot Table'!$A$3,"State","VA","Category",2,"Category2","Four-Year")</f>
        <v>540</v>
      </c>
      <c r="U118" s="77">
        <f>+GETPIVOTDATA(" Tot # Ast. Prof New",'NEW Counts Pivot Table'!$A$3,"State","VA","Category",3,"Category2","Four-Year")</f>
        <v>360</v>
      </c>
      <c r="V118" s="77">
        <f>+GETPIVOTDATA(" Tot # Ast. Prof New",'NEW Counts Pivot Table'!$A$3,"State","VA","Category",4,"Category2","Four-Year")</f>
        <v>203</v>
      </c>
      <c r="W118" s="77">
        <f>+GETPIVOTDATA(" Tot # Ast. Prof New",'NEW Counts Pivot Table'!$A$3,"State","VA","Category",5,"Category2","Four-Year")</f>
        <v>189</v>
      </c>
      <c r="X118" s="77">
        <f>+GETPIVOTDATA(" Tot # Ast. Prof New",'NEW Counts Pivot Table'!$A$3,"State","VA","Category",6,"Category2","Four-Year")</f>
        <v>15</v>
      </c>
      <c r="Y118" s="78">
        <f>+GETPIVOTDATA(" Tot # Ast. Prof New",'NEW Counts Pivot Table'!$A$3,"State","VA","Category2","Four-Year")</f>
        <v>2326</v>
      </c>
      <c r="Z118" s="76">
        <f>+GETPIVOTDATA(" Tot # Ast. Prof New",'NEW Counts Pivot Table'!$A$3,"State","AR","Category",7,"Category2","Two-Year")</f>
        <v>0</v>
      </c>
      <c r="AA118" s="77">
        <f>+GETPIVOTDATA(" Tot # Ast. Prof New",'NEW Counts Pivot Table'!$A$3,"State","AR","Category",8,"Category2","Two-Year")</f>
        <v>0</v>
      </c>
      <c r="AB118" s="77">
        <f>+GETPIVOTDATA(" Tot # Ast. Prof New",'NEW Counts Pivot Table'!$A$3,"State","DE","Category",9,"Category2","Two-Year")</f>
        <v>0</v>
      </c>
      <c r="AC118" s="77">
        <f>+GETPIVOTDATA(" Tot # Ast. Prof New",'NEW Counts Pivot Table'!$A$3,"State","DE","Category",10,"Category2","Two-Year")</f>
        <v>0</v>
      </c>
      <c r="AD118" s="77">
        <f>+GETPIVOTDATA(" Tot # Ast. Prof New",'NEW Counts Pivot Table'!$A$3,"State","VA","Category",11,"Category2","Two-Year")</f>
        <v>678</v>
      </c>
      <c r="AE118" s="78">
        <f>+GETPIVOTDATA(" Tot # Ast. Prof New",'NEW Counts Pivot Table'!$A$3,"State","VA","Category2","Two-Year")</f>
        <v>688</v>
      </c>
      <c r="AF118" s="76">
        <f>+GETPIVOTDATA(" Tot # Ast. Prof New",'NEW Counts Pivot Table'!$A$3,"State","VA","Category",12,"Category2","Technical Institutes")</f>
        <v>0</v>
      </c>
      <c r="AG118" s="77">
        <f>+GETPIVOTDATA(" Tot # Ast. Prof New",'NEW Counts Pivot Table'!$A$3,"State","VA","Category",13,"Category2","Technical Institutes")</f>
        <v>0</v>
      </c>
      <c r="AH118" s="76">
        <f>+GETPIVOTDATA(" Tot # Ast. Prof New",'NEW Counts Pivot Table'!$A$3,"State","VA","Category2","Technical Institutes")</f>
        <v>0</v>
      </c>
    </row>
    <row r="119" spans="1:36" x14ac:dyDescent="0.2">
      <c r="A119" s="10"/>
      <c r="B119" s="18" t="s">
        <v>102</v>
      </c>
      <c r="C119" s="12">
        <f t="shared" si="60"/>
        <v>6.8140794223826712E-2</v>
      </c>
      <c r="D119" s="14">
        <f t="shared" si="60"/>
        <v>0.14104778353483016</v>
      </c>
      <c r="E119" s="14">
        <f t="shared" si="60"/>
        <v>0.15261382799325462</v>
      </c>
      <c r="F119" s="14">
        <f t="shared" si="60"/>
        <v>0.12388059701492538</v>
      </c>
      <c r="G119" s="14">
        <f t="shared" si="60"/>
        <v>5.701754385964912E-2</v>
      </c>
      <c r="H119" s="40">
        <f t="shared" si="60"/>
        <v>0.28735632183908044</v>
      </c>
      <c r="I119" s="12">
        <f t="shared" si="60"/>
        <v>9.9477035015916329E-2</v>
      </c>
      <c r="J119" s="12">
        <f t="shared" si="60"/>
        <v>0</v>
      </c>
      <c r="K119" s="14">
        <f t="shared" si="60"/>
        <v>0</v>
      </c>
      <c r="L119" s="14">
        <f t="shared" si="60"/>
        <v>0</v>
      </c>
      <c r="M119" s="14">
        <f t="shared" si="61"/>
        <v>0</v>
      </c>
      <c r="N119" s="12">
        <f t="shared" si="62"/>
        <v>0.21885521885521886</v>
      </c>
      <c r="O119" s="12">
        <f t="shared" si="62"/>
        <v>0</v>
      </c>
      <c r="P119" s="14">
        <f t="shared" si="62"/>
        <v>0</v>
      </c>
      <c r="Q119" s="12">
        <f t="shared" si="63"/>
        <v>0</v>
      </c>
      <c r="R119" s="56"/>
      <c r="S119" s="76">
        <f>+GETPIVOTDATA(" Tot # Instr. New",'NEW Counts Pivot Table'!$A$3,"State","VA","Category",1,"Category2","Four-Year")</f>
        <v>302</v>
      </c>
      <c r="T119" s="77">
        <f>+GETPIVOTDATA(" Tot # Instr. New",'NEW Counts Pivot Table'!$A$3,"State","VA","Category",2,"Category2","Four-Year")</f>
        <v>245</v>
      </c>
      <c r="U119" s="77">
        <f>+GETPIVOTDATA(" Tot # Instr. New",'NEW Counts Pivot Table'!$A$3,"State","VA","Category",3,"Category2","Four-Year")</f>
        <v>181</v>
      </c>
      <c r="V119" s="77">
        <f>+GETPIVOTDATA(" Tot # Instr. New",'NEW Counts Pivot Table'!$A$3,"State","VA","Category",4,"Category2","Four-Year")</f>
        <v>83</v>
      </c>
      <c r="W119" s="77">
        <f>+GETPIVOTDATA(" Tot # Instr. New",'NEW Counts Pivot Table'!$A$3,"State","VA","Category",5,"Category2","Four-Year")</f>
        <v>39</v>
      </c>
      <c r="X119" s="77">
        <f>+GETPIVOTDATA(" Tot # Instr. New",'NEW Counts Pivot Table'!$A$3,"State","VA","Category",6,"Category2","Four-Year")</f>
        <v>25</v>
      </c>
      <c r="Y119" s="78">
        <f>+GETPIVOTDATA(" Tot # Instr. New",'NEW Counts Pivot Table'!$A$3,"State","VA","Category2","Four-Year")</f>
        <v>875</v>
      </c>
      <c r="Z119" s="76">
        <f>+GETPIVOTDATA(" Tot # Instr. New",'NEW Counts Pivot Table'!$A$3,"State","AR","Category",7,"Category2","Two-Year")</f>
        <v>0</v>
      </c>
      <c r="AA119" s="77">
        <f>+GETPIVOTDATA(" Tot # Instr. New",'NEW Counts Pivot Table'!$A$3,"State","AR","Category",8,"Category2","Two-Year")</f>
        <v>0</v>
      </c>
      <c r="AB119" s="77">
        <f>+GETPIVOTDATA(" Tot # Instr. New",'NEW Counts Pivot Table'!$A$3,"State","DE","Category",9,"Category2","Two-Year")</f>
        <v>0</v>
      </c>
      <c r="AC119" s="77">
        <f>+GETPIVOTDATA(" Tot # Instr. New",'NEW Counts Pivot Table'!$A$3,"State","DE","Category",10,"Category2","Two-Year")</f>
        <v>0</v>
      </c>
      <c r="AD119" s="77">
        <f>+GETPIVOTDATA(" Tot # Instr. New",'NEW Counts Pivot Table'!$A$3,"State","VA","Category",11,"Category2","Two-Year")</f>
        <v>520</v>
      </c>
      <c r="AE119" s="78">
        <f>+GETPIVOTDATA(" Tot # Instr. New",'NEW Counts Pivot Table'!$A$3,"State","VA","Category2","Two-Year")</f>
        <v>520</v>
      </c>
      <c r="AF119" s="76">
        <f>+GETPIVOTDATA(" Tot # Instr. New",'NEW Counts Pivot Table'!$A$3,"State","VA","Category",12,"Category2","Technical Institutes")</f>
        <v>0</v>
      </c>
      <c r="AG119" s="77">
        <f>+GETPIVOTDATA(" Tot # Instr. New",'NEW Counts Pivot Table'!$A$3,"State","VA","Category",13,"Category2","Technical Institutes")</f>
        <v>0</v>
      </c>
      <c r="AH119" s="76">
        <f>+GETPIVOTDATA(" Tot # Instr. New",'NEW Counts Pivot Table'!$A$3,"State","VA","Category2","Technical Institutes")</f>
        <v>0</v>
      </c>
    </row>
    <row r="120" spans="1:36" x14ac:dyDescent="0.2">
      <c r="A120" s="10"/>
      <c r="B120" s="18" t="s">
        <v>83</v>
      </c>
      <c r="C120" s="12">
        <f t="shared" si="60"/>
        <v>5.3700361010830325E-2</v>
      </c>
      <c r="D120" s="14">
        <f t="shared" si="60"/>
        <v>5.7570523891767415E-3</v>
      </c>
      <c r="E120" s="14">
        <f t="shared" si="60"/>
        <v>0</v>
      </c>
      <c r="F120" s="14">
        <f t="shared" si="60"/>
        <v>2.9850746268656717E-3</v>
      </c>
      <c r="G120" s="14">
        <f t="shared" si="60"/>
        <v>8.1871345029239762E-2</v>
      </c>
      <c r="H120" s="40">
        <f t="shared" si="60"/>
        <v>1.1494252873563218E-2</v>
      </c>
      <c r="I120" s="12">
        <f t="shared" si="60"/>
        <v>3.4902228285584355E-2</v>
      </c>
      <c r="J120" s="12">
        <f t="shared" si="60"/>
        <v>0</v>
      </c>
      <c r="K120" s="14">
        <f t="shared" si="60"/>
        <v>0</v>
      </c>
      <c r="L120" s="14">
        <f t="shared" si="60"/>
        <v>0</v>
      </c>
      <c r="M120" s="14">
        <f t="shared" si="61"/>
        <v>0</v>
      </c>
      <c r="N120" s="102">
        <f t="shared" si="62"/>
        <v>8.4175084175084171E-4</v>
      </c>
      <c r="O120" s="12">
        <f t="shared" si="62"/>
        <v>0</v>
      </c>
      <c r="P120" s="14">
        <f t="shared" si="62"/>
        <v>0</v>
      </c>
      <c r="Q120" s="12">
        <f t="shared" si="63"/>
        <v>0</v>
      </c>
      <c r="R120" s="56"/>
      <c r="S120" s="76">
        <f>++GETPIVOTDATA(" Tot # Undes. New",'NEW Counts Pivot Table'!$A$3,"State","VA","Category",1,"Category2","Four-Year")</f>
        <v>238</v>
      </c>
      <c r="T120" s="77">
        <f>+GETPIVOTDATA(" Tot # Undes. New",'NEW Counts Pivot Table'!$A$3,"State","VA","Category",2,"Category2","Four-Year")</f>
        <v>10</v>
      </c>
      <c r="U120" s="77">
        <f>+GETPIVOTDATA(" Tot # Undes. New",'NEW Counts Pivot Table'!$A$3,"State","VA","Category",3,"Category2","Four-Year")</f>
        <v>0</v>
      </c>
      <c r="V120" s="77">
        <f>+GETPIVOTDATA(" Tot # Undes. New",'NEW Counts Pivot Table'!$A$3,"State","VA","Category",4,"Category2","Four-Year")</f>
        <v>2</v>
      </c>
      <c r="W120" s="77">
        <f>+GETPIVOTDATA(" Tot # Undes. New",'NEW Counts Pivot Table'!$A$3,"State","VA","Category",5,"Category2","Four-Year")</f>
        <v>56</v>
      </c>
      <c r="X120" s="77">
        <f>+GETPIVOTDATA(" Tot # Undes. New",'NEW Counts Pivot Table'!$A$3,"State","VA","Category",6,"Category2","Four-Year")</f>
        <v>1</v>
      </c>
      <c r="Y120" s="78">
        <f>+GETPIVOTDATA(" Tot # Undes. New",'NEW Counts Pivot Table'!$A$3,"State","VA","Category2","Four-Year")</f>
        <v>307</v>
      </c>
      <c r="Z120" s="76">
        <f>+GETPIVOTDATA(" Tot # Undes. New",'NEW Counts Pivot Table'!$A$3,"State","AR","Category",7,"Category2","Two-Year")</f>
        <v>0</v>
      </c>
      <c r="AA120" s="77">
        <f>+GETPIVOTDATA(" Tot # Undes. New",'NEW Counts Pivot Table'!$A$3,"State","AR","Category",8,"Category2","Two-Year")</f>
        <v>0</v>
      </c>
      <c r="AB120" s="77">
        <f>+GETPIVOTDATA(" Tot # Undes. New",'NEW Counts Pivot Table'!$A$3,"State","DE","Category",9,"Category2","Two-Year")</f>
        <v>0</v>
      </c>
      <c r="AC120" s="77">
        <f>+GETPIVOTDATA(" Tot # Undes. New",'NEW Counts Pivot Table'!$A$3,"State","DE","Category",10,"Category2","Two-Year")</f>
        <v>0</v>
      </c>
      <c r="AD120" s="77">
        <f>+GETPIVOTDATA(" Tot # Undes. New",'NEW Counts Pivot Table'!$A$3,"State","VA","Category",11,"Category2","Two-Year")</f>
        <v>2</v>
      </c>
      <c r="AE120" s="78">
        <f>+GETPIVOTDATA(" Tot # Undes. New",'NEW Counts Pivot Table'!$A$3,"State","VA","Category2","Two-Year")</f>
        <v>2</v>
      </c>
      <c r="AF120" s="76">
        <f>+GETPIVOTDATA(" Tot # Undes. New",'NEW Counts Pivot Table'!$A$3,"State","VA","Category",12,"Category2","Technical Institutes")</f>
        <v>0</v>
      </c>
      <c r="AG120" s="77">
        <f>+GETPIVOTDATA(" Tot # Undes. New",'NEW Counts Pivot Table'!$A$3,"State","VA","Category",13,"Category2","Technical Institutes")</f>
        <v>0</v>
      </c>
      <c r="AH120" s="76">
        <f>+GETPIVOTDATA(" Tot # Undes. New",'NEW Counts Pivot Table'!$A$3,"State","VA","Category2","Technical Institutes")</f>
        <v>0</v>
      </c>
    </row>
    <row r="121" spans="1:36" x14ac:dyDescent="0.2">
      <c r="A121" s="10"/>
      <c r="B121" s="18" t="s">
        <v>82</v>
      </c>
      <c r="C121" s="12">
        <f t="shared" si="60"/>
        <v>0</v>
      </c>
      <c r="D121" s="14">
        <f t="shared" si="60"/>
        <v>0</v>
      </c>
      <c r="E121" s="103">
        <f t="shared" si="60"/>
        <v>0</v>
      </c>
      <c r="F121" s="14">
        <f t="shared" si="60"/>
        <v>0</v>
      </c>
      <c r="G121" s="103">
        <f t="shared" si="60"/>
        <v>0</v>
      </c>
      <c r="H121" s="40">
        <f t="shared" si="60"/>
        <v>0</v>
      </c>
      <c r="I121" s="102">
        <f t="shared" si="60"/>
        <v>0</v>
      </c>
      <c r="J121" s="12">
        <f t="shared" si="60"/>
        <v>0</v>
      </c>
      <c r="K121" s="14">
        <f t="shared" si="60"/>
        <v>1</v>
      </c>
      <c r="L121" s="14">
        <f t="shared" si="60"/>
        <v>1</v>
      </c>
      <c r="M121" s="14">
        <f t="shared" si="61"/>
        <v>1</v>
      </c>
      <c r="N121" s="12">
        <f t="shared" si="62"/>
        <v>0</v>
      </c>
      <c r="O121" s="12">
        <f t="shared" si="62"/>
        <v>0</v>
      </c>
      <c r="P121" s="14">
        <f t="shared" si="62"/>
        <v>0</v>
      </c>
      <c r="Q121" s="12">
        <f t="shared" si="63"/>
        <v>0</v>
      </c>
      <c r="R121" s="56"/>
      <c r="S121" s="76">
        <f>+GETPIVOTDATA(" Tot # Single Rnk New",'NEW Counts Pivot Table'!$A$3,"State","VA","Category",1,"Category2","Four-Year")</f>
        <v>0</v>
      </c>
      <c r="T121" s="77">
        <f>+GETPIVOTDATA(" Tot # Single Rnk New",'NEW Counts Pivot Table'!$A$3,"State","VA","Category",2,"Category2","Four-Year")</f>
        <v>0</v>
      </c>
      <c r="U121" s="77">
        <f>+GETPIVOTDATA(" Tot # Single Rnk New",'NEW Counts Pivot Table'!$A$3,"State","VA","Category",3,"Category2","Four-Year")</f>
        <v>0</v>
      </c>
      <c r="V121" s="77">
        <f>+GETPIVOTDATA(" Tot # Single Rnk New",'NEW Counts Pivot Table'!$A$3,"State","VA","Category",4,"Category2","Four-Year")</f>
        <v>0</v>
      </c>
      <c r="W121" s="77">
        <f>+GETPIVOTDATA(" Tot # Single Rnk New",'NEW Counts Pivot Table'!$A$3,"State","VA","Category",5,"Category2","Four-Year")</f>
        <v>0</v>
      </c>
      <c r="X121" s="77">
        <f>+GETPIVOTDATA(" Tot # Single Rnk New",'NEW Counts Pivot Table'!$A$3,"State","VA","Category",6,"Category2","Four-Year")</f>
        <v>0</v>
      </c>
      <c r="Y121" s="78">
        <f>+GETPIVOTDATA(" Tot # Single Rnk New",'NEW Counts Pivot Table'!$A$3,"State","VA","Category2","Four-Year")</f>
        <v>0</v>
      </c>
      <c r="Z121" s="76">
        <f>+GETPIVOTDATA(" Tot # Single Rnk New",'NEW Counts Pivot Table'!$A$3,"State","AR","Category",7,"Category2","Two-Year")</f>
        <v>0</v>
      </c>
      <c r="AA121" s="77">
        <f>+GETPIVOTDATA(" Tot # Single Rnk New",'NEW Counts Pivot Table'!$A$3,"State","AR","Category",8,"Category2","Two-Year")</f>
        <v>327</v>
      </c>
      <c r="AB121" s="77">
        <f>+GETPIVOTDATA(" Tot # Single Rnk New",'NEW Counts Pivot Table'!$A$3,"State","DE","Category",9,"Category2","Two-Year")</f>
        <v>122</v>
      </c>
      <c r="AC121" s="77">
        <f>+GETPIVOTDATA(" Tot # Single Rnk New",'NEW Counts Pivot Table'!$A$3,"State","DE","Category",10,"Category2","Two-Year")</f>
        <v>85</v>
      </c>
      <c r="AD121" s="77">
        <f>+GETPIVOTDATA(" Tot # Single Rnk New",'NEW Counts Pivot Table'!$A$3,"State","VA","Category",11,"Category2","Two-Year")</f>
        <v>0</v>
      </c>
      <c r="AE121" s="78">
        <f>+GETPIVOTDATA(" Tot # Single Rnk New",'NEW Counts Pivot Table'!$A$3,"State","VA","Category2","Two-Year")</f>
        <v>0</v>
      </c>
      <c r="AF121" s="76">
        <f>+GETPIVOTDATA(" Tot # Single Rnk New",'NEW Counts Pivot Table'!$A$3,"State","VA","Category",12,"Category2","Technical Institutes")</f>
        <v>0</v>
      </c>
      <c r="AG121" s="77">
        <f>+GETPIVOTDATA(" Tot # Single Rnk New",'NEW Counts Pivot Table'!$A$3,"State","VA","Category",13,"Category2","Technical Institutes")</f>
        <v>0</v>
      </c>
      <c r="AH121" s="76">
        <f>+GETPIVOTDATA(" Tot # Single Rnk New",'NEW Counts Pivot Table'!$A$3,"State","VA","Category2","Technical Institutes")</f>
        <v>0</v>
      </c>
    </row>
    <row r="122" spans="1:36" s="33" customFormat="1" x14ac:dyDescent="0.25">
      <c r="A122" s="109"/>
      <c r="B122" s="110" t="s">
        <v>84</v>
      </c>
      <c r="C122" s="13">
        <f t="shared" si="60"/>
        <v>1</v>
      </c>
      <c r="D122" s="11">
        <f t="shared" si="60"/>
        <v>1</v>
      </c>
      <c r="E122" s="11">
        <f t="shared" si="60"/>
        <v>1</v>
      </c>
      <c r="F122" s="11">
        <f t="shared" si="60"/>
        <v>1</v>
      </c>
      <c r="G122" s="11">
        <f t="shared" si="60"/>
        <v>1</v>
      </c>
      <c r="H122" s="41">
        <f t="shared" si="60"/>
        <v>1</v>
      </c>
      <c r="I122" s="13">
        <f t="shared" si="60"/>
        <v>1</v>
      </c>
      <c r="J122" s="13">
        <f t="shared" si="60"/>
        <v>0</v>
      </c>
      <c r="K122" s="11">
        <f t="shared" si="60"/>
        <v>1</v>
      </c>
      <c r="L122" s="11">
        <f t="shared" si="60"/>
        <v>1</v>
      </c>
      <c r="M122" s="11">
        <f t="shared" si="61"/>
        <v>1</v>
      </c>
      <c r="N122" s="13">
        <f t="shared" si="62"/>
        <v>1</v>
      </c>
      <c r="O122" s="13">
        <f t="shared" si="62"/>
        <v>0</v>
      </c>
      <c r="P122" s="11">
        <f t="shared" si="62"/>
        <v>0</v>
      </c>
      <c r="Q122" s="13">
        <f t="shared" si="63"/>
        <v>0</v>
      </c>
      <c r="R122" s="57"/>
      <c r="S122" s="79">
        <f>+GETPIVOTDATA(" All Ranks # New",'NEW Counts Pivot Table'!$A$3,"State","VA","Category",1,"Category2","Four-Year")</f>
        <v>4432</v>
      </c>
      <c r="T122" s="80">
        <f>+GETPIVOTDATA(" All Ranks # New",'NEW Counts Pivot Table'!$A$3,"State","VA","Category",2,"Category2","Four-Year")</f>
        <v>1737</v>
      </c>
      <c r="U122" s="80">
        <f>+GETPIVOTDATA(" All Ranks # New",'NEW Counts Pivot Table'!$A$3,"State","VA","Category",3,"Category2","Four-Year")</f>
        <v>1186</v>
      </c>
      <c r="V122" s="80">
        <f>+GETPIVOTDATA(" All Ranks # New",'NEW Counts Pivot Table'!$A$3,"State","VA","Category",4,"Category2","Four-Year")</f>
        <v>670</v>
      </c>
      <c r="W122" s="80">
        <f>+GETPIVOTDATA(" All Ranks # New",'NEW Counts Pivot Table'!$A$3,"State","VA","Category",5,"Category2","Four-Year")</f>
        <v>684</v>
      </c>
      <c r="X122" s="80">
        <f>+GETPIVOTDATA(" All Ranks # New",'NEW Counts Pivot Table'!$A$3,"State","VA","Category",6,"Category2","Four-Year")</f>
        <v>87</v>
      </c>
      <c r="Y122" s="81">
        <f>+GETPIVOTDATA(" All Ranks # New",'NEW Counts Pivot Table'!$A$3,"State","VA","Category2","Four-Year")</f>
        <v>8796</v>
      </c>
      <c r="Z122" s="79">
        <f>+GETPIVOTDATA(" All Ranks # New",'NEW Counts Pivot Table'!$A$3,"State","AR","Category",7,"Category2","Two-Year")</f>
        <v>0</v>
      </c>
      <c r="AA122" s="80">
        <f>+GETPIVOTDATA(" All Ranks # New",'NEW Counts Pivot Table'!$A$3,"State","AR","Category",8,"Category2","Two-Year")</f>
        <v>327</v>
      </c>
      <c r="AB122" s="80">
        <f>+GETPIVOTDATA(" All Ranks # New",'NEW Counts Pivot Table'!$A$3,"State","DE","Category",9,"Category2","Two-Year")</f>
        <v>122</v>
      </c>
      <c r="AC122" s="80">
        <f>+GETPIVOTDATA(" All Ranks # New",'NEW Counts Pivot Table'!$A$3,"State","DE","Category",10,"Category2","Two-Year")</f>
        <v>85</v>
      </c>
      <c r="AD122" s="80">
        <f>+GETPIVOTDATA(" All Ranks # New",'NEW Counts Pivot Table'!$A$3,"State","VA","Category",11,"Category2","Two-Year")</f>
        <v>2342</v>
      </c>
      <c r="AE122" s="81">
        <f>+GETPIVOTDATA(" All Ranks # New",'NEW Counts Pivot Table'!$A$3,"State","VA","Category2","Two-Year")</f>
        <v>2376</v>
      </c>
      <c r="AF122" s="79">
        <f>+GETPIVOTDATA(" All Ranks # New",'NEW Counts Pivot Table'!$A$3,"State","VA","Category",12,"Category2","Technical Institutes")</f>
        <v>0</v>
      </c>
      <c r="AG122" s="80">
        <f>+GETPIVOTDATA(" All Ranks # New",'NEW Counts Pivot Table'!$A$3,"State","VA","Category",13,"Category2","Technical Institutes")</f>
        <v>0</v>
      </c>
      <c r="AH122" s="79">
        <f>+GETPIVOTDATA(" All Ranks # New",'NEW Counts Pivot Table'!$A$3,"State","VA","Category2","Technical Institutes")</f>
        <v>0</v>
      </c>
      <c r="AI122" s="82"/>
      <c r="AJ122" s="82"/>
    </row>
    <row r="123" spans="1:36" x14ac:dyDescent="0.2">
      <c r="A123" s="18" t="s">
        <v>110</v>
      </c>
      <c r="B123" s="15" t="s">
        <v>99</v>
      </c>
      <c r="C123" s="16">
        <f t="shared" ref="C123:L129" si="64">IF(S$129&gt;0,(S123/S$129),0)</f>
        <v>0.29494949494949496</v>
      </c>
      <c r="D123" s="17">
        <f t="shared" si="64"/>
        <v>0</v>
      </c>
      <c r="E123" s="17">
        <f t="shared" si="64"/>
        <v>0.40600000000000003</v>
      </c>
      <c r="F123" s="17">
        <f t="shared" si="64"/>
        <v>0</v>
      </c>
      <c r="G123" s="17">
        <f t="shared" si="64"/>
        <v>0.28382838283828382</v>
      </c>
      <c r="H123" s="39">
        <f t="shared" si="64"/>
        <v>0.22390572390572391</v>
      </c>
      <c r="I123" s="16">
        <f t="shared" si="64"/>
        <v>0.29912023460410558</v>
      </c>
      <c r="J123" s="16">
        <f t="shared" si="64"/>
        <v>0</v>
      </c>
      <c r="K123" s="17">
        <f t="shared" si="64"/>
        <v>0</v>
      </c>
      <c r="L123" s="17">
        <f t="shared" si="64"/>
        <v>0</v>
      </c>
      <c r="M123" s="17">
        <f t="shared" ref="M123:M129" si="65">IF(AC$129&gt;0,(AC123/AC$129),0)</f>
        <v>0</v>
      </c>
      <c r="N123" s="16">
        <f t="shared" ref="N123:P129" si="66">IF(AE$129&gt;0,(AE123/AE$129),0)</f>
        <v>0.20418848167539266</v>
      </c>
      <c r="O123" s="91">
        <f t="shared" si="66"/>
        <v>0</v>
      </c>
      <c r="P123" s="17">
        <f t="shared" si="66"/>
        <v>0</v>
      </c>
      <c r="Q123" s="91">
        <f t="shared" ref="Q123:Q129" si="67">IF(AH$129&gt;0,(AH123/AH$129),0)</f>
        <v>0</v>
      </c>
      <c r="R123" s="83"/>
      <c r="S123" s="73">
        <f>+GETPIVOTDATA(" Total # Prof New",'NEW Counts Pivot Table'!$A$3,"State","WV","Category",1,"Category2","Four-Year")</f>
        <v>292</v>
      </c>
      <c r="T123" s="74">
        <f>+GETPIVOTDATA(" Total # Prof New",'NEW Counts Pivot Table'!$A$3,"State","WV","Category",2,"Category2","Four-Year")</f>
        <v>0</v>
      </c>
      <c r="U123" s="74">
        <f>+GETPIVOTDATA(" Total # Prof New",'NEW Counts Pivot Table'!$A$3,"State","WV","Category",3,"Category2","Four-Year")</f>
        <v>203</v>
      </c>
      <c r="V123" s="74">
        <f>+GETPIVOTDATA(" Total # Prof New",'NEW Counts Pivot Table'!$A$3,"State","WV","Category",4,"Category2","Four-Year")</f>
        <v>0</v>
      </c>
      <c r="W123" s="74">
        <f>+GETPIVOTDATA(" Total # Prof New",'NEW Counts Pivot Table'!$A$3,"State","WV","Category",5,"Category2","Four-Year")</f>
        <v>86</v>
      </c>
      <c r="X123" s="74">
        <f>+GETPIVOTDATA(" Total # Prof New",'NEW Counts Pivot Table'!$A$3,"State","WV","Category",6,"Category2","Four-Year")</f>
        <v>133</v>
      </c>
      <c r="Y123" s="75">
        <f>+GETPIVOTDATA(" Total # Prof New",'NEW Counts Pivot Table'!$A$3,"State","WV","Category2","Four-Year")</f>
        <v>714</v>
      </c>
      <c r="Z123" s="73">
        <f>+GETPIVOTDATA(" Total # Prof New",'NEW Counts Pivot Table'!$A$3,"State","AR","Category",7,"Category2","Two-Year")</f>
        <v>0</v>
      </c>
      <c r="AA123" s="74">
        <f>+GETPIVOTDATA(" Total # Prof New",'NEW Counts Pivot Table'!$A$3,"State","AR","Category",8,"Category2","Two-Year")</f>
        <v>0</v>
      </c>
      <c r="AB123" s="74">
        <f>+GETPIVOTDATA(" Total # Prof New",'NEW Counts Pivot Table'!$A$3,"State","DE","Category",9,"Category2","Two-Year")</f>
        <v>0</v>
      </c>
      <c r="AC123" s="74">
        <f>+GETPIVOTDATA(" Total # Prof New",'NEW Counts Pivot Table'!$A$3,"State","DE","Category",10,"Category2","Two-Year")</f>
        <v>0</v>
      </c>
      <c r="AD123" s="74">
        <f>+GETPIVOTDATA(" Total # Prof New",'NEW Counts Pivot Table'!$A$3,"State","WV","Category",11,"Category2","Two-Year")</f>
        <v>0</v>
      </c>
      <c r="AE123" s="75">
        <f>+GETPIVOTDATA(" Total # Prof New",'NEW Counts Pivot Table'!$A$3,"State","WV","Category2","Two-Year")</f>
        <v>117</v>
      </c>
      <c r="AF123" s="73">
        <f>+GETPIVOTDATA(" Total # Prof New",'NEW Counts Pivot Table'!$A$3,"State","WV","Category",12,"Category2","Technical Institutes")</f>
        <v>0</v>
      </c>
      <c r="AG123" s="74">
        <f>+GETPIVOTDATA(" Total # Prof New",'NEW Counts Pivot Table'!$A$3,"State","WV","Category",13,"Category2","Technical Institutes")</f>
        <v>0</v>
      </c>
      <c r="AH123" s="73">
        <f>+GETPIVOTDATA(" Total # Prof New",'NEW Counts Pivot Table'!$A$3,"State","WV","Category2","Technical Institutes")</f>
        <v>0</v>
      </c>
    </row>
    <row r="124" spans="1:36" x14ac:dyDescent="0.2">
      <c r="A124" s="10"/>
      <c r="B124" s="18" t="s">
        <v>100</v>
      </c>
      <c r="C124" s="12">
        <f t="shared" si="64"/>
        <v>0.26464646464646463</v>
      </c>
      <c r="D124" s="14">
        <f t="shared" si="64"/>
        <v>0</v>
      </c>
      <c r="E124" s="14">
        <f t="shared" si="64"/>
        <v>0.23599999999999999</v>
      </c>
      <c r="F124" s="14">
        <f t="shared" si="64"/>
        <v>0</v>
      </c>
      <c r="G124" s="14">
        <f t="shared" si="64"/>
        <v>0.25412541254125415</v>
      </c>
      <c r="H124" s="40">
        <f t="shared" si="64"/>
        <v>0.25084175084175087</v>
      </c>
      <c r="I124" s="12">
        <f t="shared" si="64"/>
        <v>0.25387515710096353</v>
      </c>
      <c r="J124" s="12">
        <f t="shared" si="64"/>
        <v>0</v>
      </c>
      <c r="K124" s="14">
        <f t="shared" si="64"/>
        <v>0</v>
      </c>
      <c r="L124" s="14">
        <f t="shared" si="64"/>
        <v>0</v>
      </c>
      <c r="M124" s="14">
        <f t="shared" si="65"/>
        <v>0</v>
      </c>
      <c r="N124" s="12">
        <f t="shared" si="66"/>
        <v>0.11867364746945899</v>
      </c>
      <c r="O124" s="12">
        <f t="shared" si="66"/>
        <v>0</v>
      </c>
      <c r="P124" s="14">
        <f t="shared" si="66"/>
        <v>0</v>
      </c>
      <c r="Q124" s="12">
        <f t="shared" si="67"/>
        <v>0</v>
      </c>
      <c r="R124" s="56"/>
      <c r="S124" s="76">
        <f>+GETPIVOTDATA(" Tot # Asc. Prof New",'NEW Counts Pivot Table'!$A$3,"State","WV","Category",1,"Category2","Four-Year")</f>
        <v>262</v>
      </c>
      <c r="T124" s="77">
        <f>+GETPIVOTDATA(" Tot # Asc. Prof New",'NEW Counts Pivot Table'!$A$3,"State","WV","Category",2,"Category2","Four-Year")</f>
        <v>0</v>
      </c>
      <c r="U124" s="77">
        <f>+GETPIVOTDATA(" Tot # Asc. Prof New",'NEW Counts Pivot Table'!$A$3,"State","WV","Category",3,"Category2","Four-Year")</f>
        <v>118</v>
      </c>
      <c r="V124" s="77">
        <f>+GETPIVOTDATA(" Tot # Asc. Prof New",'NEW Counts Pivot Table'!$A$3,"State","WV","Category",4,"Category2","Four-Year")</f>
        <v>0</v>
      </c>
      <c r="W124" s="77">
        <f>+GETPIVOTDATA(" Tot # Asc. Prof New",'NEW Counts Pivot Table'!$A$3,"State","WV","Category",5,"Category2","Four-Year")</f>
        <v>77</v>
      </c>
      <c r="X124" s="77">
        <f>+GETPIVOTDATA(" Tot # Asc. Prof New",'NEW Counts Pivot Table'!$A$3,"State","WV","Category",6,"Category2","Four-Year")</f>
        <v>149</v>
      </c>
      <c r="Y124" s="78">
        <f>+GETPIVOTDATA(" Tot # Asc. Prof New",'NEW Counts Pivot Table'!$A$3,"State","WV","Category2","Four-Year")</f>
        <v>606</v>
      </c>
      <c r="Z124" s="76">
        <f>+GETPIVOTDATA(" Tot # Asc. Prof New",'NEW Counts Pivot Table'!$A$3,"State","AR","Category",7,"Category2","Two-Year")</f>
        <v>0</v>
      </c>
      <c r="AA124" s="77">
        <f>+GETPIVOTDATA(" Tot # Asc. Prof New",'NEW Counts Pivot Table'!$A$3,"State","AR","Category",8,"Category2","Two-Year")</f>
        <v>0</v>
      </c>
      <c r="AB124" s="77">
        <f>+GETPIVOTDATA(" Tot # Asc. Prof New",'NEW Counts Pivot Table'!$A$3,"State","DE","Category",9,"Category2","Two-Year")</f>
        <v>0</v>
      </c>
      <c r="AC124" s="77">
        <f>+GETPIVOTDATA(" Tot # Asc. Prof New",'NEW Counts Pivot Table'!$A$3,"State","DE","Category",10,"Category2","Two-Year")</f>
        <v>0</v>
      </c>
      <c r="AD124" s="77">
        <f>+GETPIVOTDATA(" Tot # Asc. Prof New",'NEW Counts Pivot Table'!$A$3,"State","WV","Category",11,"Category2","Two-Year")</f>
        <v>0</v>
      </c>
      <c r="AE124" s="78">
        <f>+GETPIVOTDATA(" Tot # Asc. Prof New",'NEW Counts Pivot Table'!$A$3,"State","WV","Category2","Two-Year")</f>
        <v>68</v>
      </c>
      <c r="AF124" s="76">
        <f>+GETPIVOTDATA(" Tot # Asc. Prof New",'NEW Counts Pivot Table'!$A$3,"State","WV","Category",12,"Category2","Technical Institutes")</f>
        <v>0</v>
      </c>
      <c r="AG124" s="77">
        <f>+GETPIVOTDATA(" Tot # Asc. Prof New",'NEW Counts Pivot Table'!$A$3,"State","WV","Category",13,"Category2","Technical Institutes")</f>
        <v>0</v>
      </c>
      <c r="AH124" s="76">
        <f>+GETPIVOTDATA(" Tot # Asc. Prof New",'NEW Counts Pivot Table'!$A$3,"State","WV","Category2","Technical Institutes")</f>
        <v>0</v>
      </c>
    </row>
    <row r="125" spans="1:36" x14ac:dyDescent="0.2">
      <c r="A125" s="10"/>
      <c r="B125" s="18" t="s">
        <v>101</v>
      </c>
      <c r="C125" s="12">
        <f t="shared" si="64"/>
        <v>0.36363636363636365</v>
      </c>
      <c r="D125" s="14">
        <f t="shared" si="64"/>
        <v>0</v>
      </c>
      <c r="E125" s="14">
        <f t="shared" si="64"/>
        <v>0.23400000000000001</v>
      </c>
      <c r="F125" s="14">
        <f t="shared" si="64"/>
        <v>0</v>
      </c>
      <c r="G125" s="14">
        <f t="shared" si="64"/>
        <v>0.35973597359735976</v>
      </c>
      <c r="H125" s="40">
        <f t="shared" si="64"/>
        <v>0.35858585858585856</v>
      </c>
      <c r="I125" s="12">
        <f t="shared" si="64"/>
        <v>0.33472978634268957</v>
      </c>
      <c r="J125" s="12">
        <f t="shared" si="64"/>
        <v>0</v>
      </c>
      <c r="K125" s="14">
        <f t="shared" si="64"/>
        <v>0</v>
      </c>
      <c r="L125" s="14">
        <f t="shared" si="64"/>
        <v>0</v>
      </c>
      <c r="M125" s="14">
        <f t="shared" si="65"/>
        <v>0</v>
      </c>
      <c r="N125" s="12">
        <f t="shared" si="66"/>
        <v>0.27050610820244331</v>
      </c>
      <c r="O125" s="12">
        <f t="shared" si="66"/>
        <v>0</v>
      </c>
      <c r="P125" s="14">
        <f t="shared" si="66"/>
        <v>0</v>
      </c>
      <c r="Q125" s="12">
        <f t="shared" si="67"/>
        <v>0</v>
      </c>
      <c r="R125" s="56"/>
      <c r="S125" s="76">
        <f>+GETPIVOTDATA(" Tot # Ast. Prof New",'NEW Counts Pivot Table'!$A$3,"State","WV","Category",1,"Category2","Four-Year")</f>
        <v>360</v>
      </c>
      <c r="T125" s="77">
        <f>+GETPIVOTDATA(" Tot # Ast. Prof New",'NEW Counts Pivot Table'!$A$3,"State","WV","Category",2,"Category2","Four-Year")</f>
        <v>0</v>
      </c>
      <c r="U125" s="77">
        <f>+GETPIVOTDATA(" Tot # Ast. Prof New",'NEW Counts Pivot Table'!$A$3,"State","WV","Category",3,"Category2","Four-Year")</f>
        <v>117</v>
      </c>
      <c r="V125" s="77">
        <f>+GETPIVOTDATA(" Tot # Ast. Prof New",'NEW Counts Pivot Table'!$A$3,"State","WV","Category",4,"Category2","Four-Year")</f>
        <v>0</v>
      </c>
      <c r="W125" s="77">
        <f>+GETPIVOTDATA(" Tot # Ast. Prof New",'NEW Counts Pivot Table'!$A$3,"State","WV","Category",5,"Category2","Four-Year")</f>
        <v>109</v>
      </c>
      <c r="X125" s="77">
        <f>+GETPIVOTDATA(" Tot # Ast. Prof New",'NEW Counts Pivot Table'!$A$3,"State","WV","Category",6,"Category2","Four-Year")</f>
        <v>213</v>
      </c>
      <c r="Y125" s="78">
        <f>+GETPIVOTDATA(" Tot # Ast. Prof New",'NEW Counts Pivot Table'!$A$3,"State","WV","Category2","Four-Year")</f>
        <v>799</v>
      </c>
      <c r="Z125" s="76">
        <f>+GETPIVOTDATA(" Tot # Ast. Prof New",'NEW Counts Pivot Table'!$A$3,"State","AR","Category",7,"Category2","Two-Year")</f>
        <v>0</v>
      </c>
      <c r="AA125" s="77">
        <f>+GETPIVOTDATA(" Tot # Ast. Prof New",'NEW Counts Pivot Table'!$A$3,"State","AR","Category",8,"Category2","Two-Year")</f>
        <v>0</v>
      </c>
      <c r="AB125" s="77">
        <f>+GETPIVOTDATA(" Tot # Ast. Prof New",'NEW Counts Pivot Table'!$A$3,"State","DE","Category",9,"Category2","Two-Year")</f>
        <v>0</v>
      </c>
      <c r="AC125" s="77">
        <f>+GETPIVOTDATA(" Tot # Ast. Prof New",'NEW Counts Pivot Table'!$A$3,"State","DE","Category",10,"Category2","Two-Year")</f>
        <v>0</v>
      </c>
      <c r="AD125" s="77">
        <f>+GETPIVOTDATA(" Tot # Ast. Prof New",'NEW Counts Pivot Table'!$A$3,"State","WV","Category",11,"Category2","Two-Year")</f>
        <v>0</v>
      </c>
      <c r="AE125" s="78">
        <f>+GETPIVOTDATA(" Tot # Ast. Prof New",'NEW Counts Pivot Table'!$A$3,"State","WV","Category2","Two-Year")</f>
        <v>155</v>
      </c>
      <c r="AF125" s="76">
        <f>+GETPIVOTDATA(" Tot # Ast. Prof New",'NEW Counts Pivot Table'!$A$3,"State","WV","Category",12,"Category2","Technical Institutes")</f>
        <v>0</v>
      </c>
      <c r="AG125" s="77">
        <f>+GETPIVOTDATA(" Tot # Ast. Prof New",'NEW Counts Pivot Table'!$A$3,"State","WV","Category",13,"Category2","Technical Institutes")</f>
        <v>0</v>
      </c>
      <c r="AH125" s="76">
        <f>+GETPIVOTDATA(" Tot # Ast. Prof New",'NEW Counts Pivot Table'!$A$3,"State","WV","Category2","Technical Institutes")</f>
        <v>0</v>
      </c>
    </row>
    <row r="126" spans="1:36" x14ac:dyDescent="0.2">
      <c r="A126" s="10"/>
      <c r="B126" s="18" t="s">
        <v>102</v>
      </c>
      <c r="C126" s="12">
        <f t="shared" si="64"/>
        <v>5.1515151515151514E-2</v>
      </c>
      <c r="D126" s="14">
        <f t="shared" si="64"/>
        <v>0</v>
      </c>
      <c r="E126" s="14">
        <f t="shared" si="64"/>
        <v>0.124</v>
      </c>
      <c r="F126" s="14">
        <f t="shared" si="64"/>
        <v>0</v>
      </c>
      <c r="G126" s="14">
        <f t="shared" si="64"/>
        <v>4.9504950495049507E-2</v>
      </c>
      <c r="H126" s="40">
        <f t="shared" si="64"/>
        <v>0.132996632996633</v>
      </c>
      <c r="I126" s="12">
        <f t="shared" si="64"/>
        <v>8.6719731881022208E-2</v>
      </c>
      <c r="J126" s="12">
        <f t="shared" si="64"/>
        <v>0</v>
      </c>
      <c r="K126" s="14">
        <f t="shared" si="64"/>
        <v>0</v>
      </c>
      <c r="L126" s="14">
        <f t="shared" si="64"/>
        <v>0</v>
      </c>
      <c r="M126" s="14">
        <f t="shared" si="65"/>
        <v>0</v>
      </c>
      <c r="N126" s="12">
        <f t="shared" si="66"/>
        <v>0.32460732984293195</v>
      </c>
      <c r="O126" s="12">
        <f t="shared" si="66"/>
        <v>0</v>
      </c>
      <c r="P126" s="14">
        <f t="shared" si="66"/>
        <v>0</v>
      </c>
      <c r="Q126" s="12">
        <f t="shared" si="67"/>
        <v>0</v>
      </c>
      <c r="R126" s="56"/>
      <c r="S126" s="76">
        <f>+GETPIVOTDATA(" Tot # Instr. New",'NEW Counts Pivot Table'!$A$3,"State","WV","Category",1,"Category2","Four-Year")</f>
        <v>51</v>
      </c>
      <c r="T126" s="77">
        <f>+GETPIVOTDATA(" Tot # Instr. New",'NEW Counts Pivot Table'!$A$3,"State","WV","Category",2,"Category2","Four-Year")</f>
        <v>0</v>
      </c>
      <c r="U126" s="77">
        <f>+GETPIVOTDATA(" Tot # Instr. New",'NEW Counts Pivot Table'!$A$3,"State","WV","Category",3,"Category2","Four-Year")</f>
        <v>62</v>
      </c>
      <c r="V126" s="77">
        <f>+GETPIVOTDATA(" Tot # Instr. New",'NEW Counts Pivot Table'!$A$3,"State","WV","Category",4,"Category2","Four-Year")</f>
        <v>0</v>
      </c>
      <c r="W126" s="77">
        <f>+GETPIVOTDATA(" Tot # Instr. New",'NEW Counts Pivot Table'!$A$3,"State","WV","Category",5,"Category2","Four-Year")</f>
        <v>15</v>
      </c>
      <c r="X126" s="77">
        <f>+GETPIVOTDATA(" Tot # Instr. New",'NEW Counts Pivot Table'!$A$3,"State","WV","Category",6,"Category2","Four-Year")</f>
        <v>79</v>
      </c>
      <c r="Y126" s="78">
        <f>+GETPIVOTDATA(" Tot # Instr. New",'NEW Counts Pivot Table'!$A$3,"State","WV","Category2","Four-Year")</f>
        <v>207</v>
      </c>
      <c r="Z126" s="76">
        <f>+GETPIVOTDATA(" Tot # Instr. New",'NEW Counts Pivot Table'!$A$3,"State","AR","Category",7,"Category2","Two-Year")</f>
        <v>0</v>
      </c>
      <c r="AA126" s="77">
        <f>+GETPIVOTDATA(" Tot # Instr. New",'NEW Counts Pivot Table'!$A$3,"State","AR","Category",8,"Category2","Two-Year")</f>
        <v>0</v>
      </c>
      <c r="AB126" s="77">
        <f>+GETPIVOTDATA(" Tot # Instr. New",'NEW Counts Pivot Table'!$A$3,"State","DE","Category",9,"Category2","Two-Year")</f>
        <v>0</v>
      </c>
      <c r="AC126" s="77">
        <f>+GETPIVOTDATA(" Tot # Instr. New",'NEW Counts Pivot Table'!$A$3,"State","DE","Category",10,"Category2","Two-Year")</f>
        <v>0</v>
      </c>
      <c r="AD126" s="77">
        <f>+GETPIVOTDATA(" Tot # Instr. New",'NEW Counts Pivot Table'!$A$3,"State","WV","Category",11,"Category2","Two-Year")</f>
        <v>0</v>
      </c>
      <c r="AE126" s="78">
        <f>+GETPIVOTDATA(" Tot # Instr. New",'NEW Counts Pivot Table'!$A$3,"State","WV","Category2","Two-Year")</f>
        <v>186</v>
      </c>
      <c r="AF126" s="76">
        <f>+GETPIVOTDATA(" Tot # Instr. New",'NEW Counts Pivot Table'!$A$3,"State","WV","Category",12,"Category2","Technical Institutes")</f>
        <v>0</v>
      </c>
      <c r="AG126" s="77">
        <f>+GETPIVOTDATA(" Tot # Instr. New",'NEW Counts Pivot Table'!$A$3,"State","WV","Category",13,"Category2","Technical Institutes")</f>
        <v>0</v>
      </c>
      <c r="AH126" s="76">
        <f>+GETPIVOTDATA(" Tot # Instr. New",'NEW Counts Pivot Table'!$A$3,"State","WV","Category2","Technical Institutes")</f>
        <v>0</v>
      </c>
    </row>
    <row r="127" spans="1:36" x14ac:dyDescent="0.2">
      <c r="A127" s="10"/>
      <c r="B127" s="18" t="s">
        <v>83</v>
      </c>
      <c r="C127" s="12">
        <f t="shared" si="64"/>
        <v>2.5252525252525252E-2</v>
      </c>
      <c r="D127" s="14">
        <f t="shared" si="64"/>
        <v>0</v>
      </c>
      <c r="E127" s="14">
        <f t="shared" si="64"/>
        <v>0</v>
      </c>
      <c r="F127" s="14">
        <f t="shared" si="64"/>
        <v>0</v>
      </c>
      <c r="G127" s="14">
        <f t="shared" si="64"/>
        <v>5.2805280528052806E-2</v>
      </c>
      <c r="H127" s="40">
        <f t="shared" si="64"/>
        <v>3.3670033670033669E-2</v>
      </c>
      <c r="I127" s="12">
        <f t="shared" si="64"/>
        <v>2.5555090071219103E-2</v>
      </c>
      <c r="J127" s="12">
        <f t="shared" si="64"/>
        <v>0</v>
      </c>
      <c r="K127" s="14">
        <f t="shared" si="64"/>
        <v>0</v>
      </c>
      <c r="L127" s="14">
        <f t="shared" si="64"/>
        <v>0</v>
      </c>
      <c r="M127" s="14">
        <f t="shared" si="65"/>
        <v>0</v>
      </c>
      <c r="N127" s="12">
        <f t="shared" si="66"/>
        <v>8.2024432809773118E-2</v>
      </c>
      <c r="O127" s="12">
        <f t="shared" si="66"/>
        <v>0</v>
      </c>
      <c r="P127" s="14">
        <f t="shared" si="66"/>
        <v>0</v>
      </c>
      <c r="Q127" s="12">
        <f t="shared" si="67"/>
        <v>0</v>
      </c>
      <c r="R127" s="56"/>
      <c r="S127" s="76">
        <f>++GETPIVOTDATA(" Tot # Undes. New",'NEW Counts Pivot Table'!$A$3,"State","WV","Category",1,"Category2","Four-Year")</f>
        <v>25</v>
      </c>
      <c r="T127" s="77">
        <f>+GETPIVOTDATA(" Tot # Undes. New",'NEW Counts Pivot Table'!$A$3,"State","WV","Category",2,"Category2","Four-Year")</f>
        <v>0</v>
      </c>
      <c r="U127" s="77">
        <f>+GETPIVOTDATA(" Tot # Undes. New",'NEW Counts Pivot Table'!$A$3,"State","WV","Category",3,"Category2","Four-Year")</f>
        <v>0</v>
      </c>
      <c r="V127" s="77">
        <f>+GETPIVOTDATA(" Tot # Undes. New",'NEW Counts Pivot Table'!$A$3,"State","WV","Category",4,"Category2","Four-Year")</f>
        <v>0</v>
      </c>
      <c r="W127" s="77">
        <f>+GETPIVOTDATA(" Tot # Undes. New",'NEW Counts Pivot Table'!$A$3,"State","WV","Category",5,"Category2","Four-Year")</f>
        <v>16</v>
      </c>
      <c r="X127" s="77">
        <f>+GETPIVOTDATA(" Tot # Undes. New",'NEW Counts Pivot Table'!$A$3,"State","WV","Category",6,"Category2","Four-Year")</f>
        <v>20</v>
      </c>
      <c r="Y127" s="78">
        <f>+GETPIVOTDATA(" Tot # Undes. New",'NEW Counts Pivot Table'!$A$3,"State","WV","Category2","Four-Year")</f>
        <v>61</v>
      </c>
      <c r="Z127" s="76">
        <f>+GETPIVOTDATA(" Tot # Undes. New",'NEW Counts Pivot Table'!$A$3,"State","AR","Category",7,"Category2","Two-Year")</f>
        <v>0</v>
      </c>
      <c r="AA127" s="77">
        <f>+GETPIVOTDATA(" Tot # Undes. New",'NEW Counts Pivot Table'!$A$3,"State","AR","Category",8,"Category2","Two-Year")</f>
        <v>0</v>
      </c>
      <c r="AB127" s="77">
        <f>+GETPIVOTDATA(" Tot # Undes. New",'NEW Counts Pivot Table'!$A$3,"State","DE","Category",9,"Category2","Two-Year")</f>
        <v>0</v>
      </c>
      <c r="AC127" s="77">
        <f>+GETPIVOTDATA(" Tot # Undes. New",'NEW Counts Pivot Table'!$A$3,"State","DE","Category",10,"Category2","Two-Year")</f>
        <v>0</v>
      </c>
      <c r="AD127" s="77">
        <f>+GETPIVOTDATA(" Tot # Undes. New",'NEW Counts Pivot Table'!$A$3,"State","WV","Category",11,"Category2","Two-Year")</f>
        <v>0</v>
      </c>
      <c r="AE127" s="78">
        <f>+GETPIVOTDATA(" Tot # Undes. New",'NEW Counts Pivot Table'!$A$3,"State","WV","Category2","Two-Year")</f>
        <v>47</v>
      </c>
      <c r="AF127" s="76">
        <f>+GETPIVOTDATA(" Tot # Undes. New",'NEW Counts Pivot Table'!$A$3,"State","WV","Category",12,"Category2","Technical Institutes")</f>
        <v>0</v>
      </c>
      <c r="AG127" s="77">
        <f>+GETPIVOTDATA(" Tot # Undes. New",'NEW Counts Pivot Table'!$A$3,"State","WV","Category",13,"Category2","Technical Institutes")</f>
        <v>0</v>
      </c>
      <c r="AH127" s="76">
        <f>+GETPIVOTDATA(" Tot # Undes. New",'NEW Counts Pivot Table'!$A$3,"State","WV","Category2","Technical Institutes")</f>
        <v>0</v>
      </c>
    </row>
    <row r="128" spans="1:36" x14ac:dyDescent="0.2">
      <c r="A128" s="10"/>
      <c r="B128" s="18" t="s">
        <v>82</v>
      </c>
      <c r="C128" s="12">
        <f t="shared" si="64"/>
        <v>0</v>
      </c>
      <c r="D128" s="14">
        <f t="shared" si="64"/>
        <v>0</v>
      </c>
      <c r="E128" s="103">
        <f t="shared" si="64"/>
        <v>0</v>
      </c>
      <c r="F128" s="14">
        <f t="shared" si="64"/>
        <v>0</v>
      </c>
      <c r="G128" s="103">
        <f t="shared" si="64"/>
        <v>0</v>
      </c>
      <c r="H128" s="40">
        <f t="shared" si="64"/>
        <v>0</v>
      </c>
      <c r="I128" s="102">
        <f t="shared" si="64"/>
        <v>0</v>
      </c>
      <c r="J128" s="12">
        <f t="shared" si="64"/>
        <v>0</v>
      </c>
      <c r="K128" s="14">
        <f t="shared" si="64"/>
        <v>1</v>
      </c>
      <c r="L128" s="14">
        <f t="shared" si="64"/>
        <v>1</v>
      </c>
      <c r="M128" s="14">
        <f t="shared" si="65"/>
        <v>1</v>
      </c>
      <c r="N128" s="12">
        <f t="shared" si="66"/>
        <v>0</v>
      </c>
      <c r="O128" s="12">
        <f t="shared" si="66"/>
        <v>0</v>
      </c>
      <c r="P128" s="14">
        <f t="shared" si="66"/>
        <v>0</v>
      </c>
      <c r="Q128" s="12">
        <f t="shared" si="67"/>
        <v>0</v>
      </c>
      <c r="R128" s="56"/>
      <c r="S128" s="76">
        <f>+GETPIVOTDATA(" Tot # Single Rnk New",'NEW Counts Pivot Table'!$A$3,"State","WV","Category",1,"Category2","Four-Year")</f>
        <v>0</v>
      </c>
      <c r="T128" s="77">
        <f>+GETPIVOTDATA(" Tot # Single Rnk New",'NEW Counts Pivot Table'!$A$3,"State","WV","Category",2,"Category2","Four-Year")</f>
        <v>0</v>
      </c>
      <c r="U128" s="77">
        <f>+GETPIVOTDATA(" Tot # Single Rnk New",'NEW Counts Pivot Table'!$A$3,"State","WV","Category",3,"Category2","Four-Year")</f>
        <v>0</v>
      </c>
      <c r="V128" s="77">
        <f>+GETPIVOTDATA(" Tot # Single Rnk New",'NEW Counts Pivot Table'!$A$3,"State","WV","Category",4,"Category2","Four-Year")</f>
        <v>0</v>
      </c>
      <c r="W128" s="77">
        <f>+GETPIVOTDATA(" Tot # Single Rnk New",'NEW Counts Pivot Table'!$A$3,"State","WV","Category",5,"Category2","Four-Year")</f>
        <v>0</v>
      </c>
      <c r="X128" s="77">
        <f>+GETPIVOTDATA(" Tot # Single Rnk New",'NEW Counts Pivot Table'!$A$3,"State","WV","Category",6,"Category2","Four-Year")</f>
        <v>0</v>
      </c>
      <c r="Y128" s="78">
        <f>+GETPIVOTDATA(" Tot # Single Rnk New",'NEW Counts Pivot Table'!$A$3,"State","WV","Category2","Four-Year")</f>
        <v>0</v>
      </c>
      <c r="Z128" s="76">
        <f>+GETPIVOTDATA(" Tot # Single Rnk New",'NEW Counts Pivot Table'!$A$3,"State","AR","Category",7,"Category2","Two-Year")</f>
        <v>0</v>
      </c>
      <c r="AA128" s="77">
        <f>+GETPIVOTDATA(" Tot # Single Rnk New",'NEW Counts Pivot Table'!$A$3,"State","AR","Category",8,"Category2","Two-Year")</f>
        <v>327</v>
      </c>
      <c r="AB128" s="77">
        <f>+GETPIVOTDATA(" Tot # Single Rnk New",'NEW Counts Pivot Table'!$A$3,"State","DE","Category",9,"Category2","Two-Year")</f>
        <v>122</v>
      </c>
      <c r="AC128" s="77">
        <f>+GETPIVOTDATA(" Tot # Single Rnk New",'NEW Counts Pivot Table'!$A$3,"State","DE","Category",10,"Category2","Two-Year")</f>
        <v>85</v>
      </c>
      <c r="AD128" s="77">
        <f>+GETPIVOTDATA(" Tot # Single Rnk New",'NEW Counts Pivot Table'!$A$3,"State","WV","Category",11,"Category2","Two-Year")</f>
        <v>0</v>
      </c>
      <c r="AE128" s="78">
        <f>+GETPIVOTDATA(" Tot # Single Rnk New",'NEW Counts Pivot Table'!$A$3,"State","WV","Category2","Two-Year")</f>
        <v>0</v>
      </c>
      <c r="AF128" s="76">
        <f>+GETPIVOTDATA(" Tot # Single Rnk New",'NEW Counts Pivot Table'!$A$3,"State","WV","Category",12,"Category2","Technical Institutes")</f>
        <v>0</v>
      </c>
      <c r="AG128" s="77">
        <f>+GETPIVOTDATA(" Tot # Single Rnk New",'NEW Counts Pivot Table'!$A$3,"State","WV","Category",13,"Category2","Technical Institutes")</f>
        <v>0</v>
      </c>
      <c r="AH128" s="76">
        <f>+GETPIVOTDATA(" Tot # Single Rnk New",'NEW Counts Pivot Table'!$A$3,"State","WV","Category2","Technical Institutes")</f>
        <v>0</v>
      </c>
    </row>
    <row r="129" spans="1:36" s="33" customFormat="1" x14ac:dyDescent="0.25">
      <c r="A129" s="109"/>
      <c r="B129" s="110" t="s">
        <v>84</v>
      </c>
      <c r="C129" s="13">
        <f t="shared" si="64"/>
        <v>1</v>
      </c>
      <c r="D129" s="11">
        <f t="shared" si="64"/>
        <v>0</v>
      </c>
      <c r="E129" s="11">
        <f t="shared" si="64"/>
        <v>1</v>
      </c>
      <c r="F129" s="11">
        <f t="shared" si="64"/>
        <v>0</v>
      </c>
      <c r="G129" s="11">
        <f t="shared" si="64"/>
        <v>1</v>
      </c>
      <c r="H129" s="41">
        <f t="shared" si="64"/>
        <v>1</v>
      </c>
      <c r="I129" s="13">
        <f t="shared" si="64"/>
        <v>1</v>
      </c>
      <c r="J129" s="13">
        <f t="shared" si="64"/>
        <v>0</v>
      </c>
      <c r="K129" s="11">
        <f t="shared" si="64"/>
        <v>1</v>
      </c>
      <c r="L129" s="11">
        <f t="shared" si="64"/>
        <v>1</v>
      </c>
      <c r="M129" s="11">
        <f t="shared" si="65"/>
        <v>1</v>
      </c>
      <c r="N129" s="13">
        <f t="shared" si="66"/>
        <v>1</v>
      </c>
      <c r="O129" s="13">
        <f t="shared" si="66"/>
        <v>0</v>
      </c>
      <c r="P129" s="11">
        <f t="shared" si="66"/>
        <v>0</v>
      </c>
      <c r="Q129" s="13">
        <f t="shared" si="67"/>
        <v>0</v>
      </c>
      <c r="R129" s="57"/>
      <c r="S129" s="79">
        <f>+GETPIVOTDATA(" All Ranks # New",'NEW Counts Pivot Table'!$A$3,"State","WV","Category",1,"Category2","Four-Year")</f>
        <v>990</v>
      </c>
      <c r="T129" s="80">
        <f>+GETPIVOTDATA(" All Ranks # New",'NEW Counts Pivot Table'!$A$3,"State","WV","Category",2,"Category2","Four-Year")</f>
        <v>0</v>
      </c>
      <c r="U129" s="80">
        <f>+GETPIVOTDATA(" All Ranks # New",'NEW Counts Pivot Table'!$A$3,"State","WV","Category",3,"Category2","Four-Year")</f>
        <v>500</v>
      </c>
      <c r="V129" s="80">
        <f>+GETPIVOTDATA(" All Ranks # New",'NEW Counts Pivot Table'!$A$3,"State","WV","Category",4,"Category2","Four-Year")</f>
        <v>0</v>
      </c>
      <c r="W129" s="80">
        <f>+GETPIVOTDATA(" All Ranks # New",'NEW Counts Pivot Table'!$A$3,"State","WV","Category",5,"Category2","Four-Year")</f>
        <v>303</v>
      </c>
      <c r="X129" s="80">
        <f>+GETPIVOTDATA(" All Ranks # New",'NEW Counts Pivot Table'!$A$3,"State","WV","Category",6,"Category2","Four-Year")</f>
        <v>594</v>
      </c>
      <c r="Y129" s="81">
        <f>+GETPIVOTDATA(" All Ranks # New",'NEW Counts Pivot Table'!$A$3,"State","WV","Category2","Four-Year")</f>
        <v>2387</v>
      </c>
      <c r="Z129" s="79">
        <f>+GETPIVOTDATA(" All Ranks # New",'NEW Counts Pivot Table'!$A$3,"State","AR","Category",7,"Category2","Two-Year")</f>
        <v>0</v>
      </c>
      <c r="AA129" s="80">
        <f>+GETPIVOTDATA(" All Ranks # New",'NEW Counts Pivot Table'!$A$3,"State","AR","Category",8,"Category2","Two-Year")</f>
        <v>327</v>
      </c>
      <c r="AB129" s="80">
        <f>+GETPIVOTDATA(" All Ranks # New",'NEW Counts Pivot Table'!$A$3,"State","DE","Category",9,"Category2","Two-Year")</f>
        <v>122</v>
      </c>
      <c r="AC129" s="80">
        <f>+GETPIVOTDATA(" All Ranks # New",'NEW Counts Pivot Table'!$A$3,"State","DE","Category",10,"Category2","Two-Year")</f>
        <v>85</v>
      </c>
      <c r="AD129" s="80">
        <f>+GETPIVOTDATA(" All Ranks # New",'NEW Counts Pivot Table'!$A$3,"State","WV","Category",11,"Category2","Two-Year")</f>
        <v>0</v>
      </c>
      <c r="AE129" s="81">
        <f>+GETPIVOTDATA(" All Ranks # New",'NEW Counts Pivot Table'!$A$3,"State","WV","Category2","Two-Year")</f>
        <v>573</v>
      </c>
      <c r="AF129" s="79">
        <f>+GETPIVOTDATA(" All Ranks # New",'NEW Counts Pivot Table'!$A$3,"State","WV","Category",12,"Category2","Technical Institutes")</f>
        <v>0</v>
      </c>
      <c r="AG129" s="80">
        <f>+GETPIVOTDATA(" All Ranks # New",'NEW Counts Pivot Table'!$A$3,"State","WV","Category",13,"Category2","Technical Institutes")</f>
        <v>0</v>
      </c>
      <c r="AH129" s="79">
        <f>+GETPIVOTDATA(" All Ranks # New",'NEW Counts Pivot Table'!$A$3,"State","WV","Category2","Technical Institutes")</f>
        <v>0</v>
      </c>
      <c r="AI129" s="82"/>
      <c r="AJ129" s="82"/>
    </row>
    <row r="130" spans="1:36" x14ac:dyDescent="0.2">
      <c r="Q130" s="231"/>
    </row>
  </sheetData>
  <phoneticPr fontId="21" type="noConversion"/>
  <pageMargins left="0.5" right="0.5" top="1" bottom="0.75" header="0.75" footer="0.5"/>
  <pageSetup scale="97" firstPageNumber="197" orientation="landscape" useFirstPageNumber="1" r:id="rId1"/>
  <headerFooter alignWithMargins="0">
    <oddHeader>&amp;R&amp;"Arial,Regular"&amp;8SREB-State Data Exchange</oddHeader>
    <oddFooter>&amp;C&amp;"Arial,Regular"&amp;10&amp;P&amp;R&amp;"Arial,Regular"&amp;8February 2013</oddFooter>
  </headerFooter>
  <rowBreaks count="5" manualBreakCount="5">
    <brk id="31" max="16" man="1"/>
    <brk id="52" max="16" man="1"/>
    <brk id="73" max="16" man="1"/>
    <brk id="94" max="16" man="1"/>
    <brk id="115" max="1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5" tint="0.59999389629810485"/>
  </sheetPr>
  <dimension ref="A1:AJ129"/>
  <sheetViews>
    <sheetView showGridLines="0" showZeros="0" view="pageBreakPreview" zoomScaleNormal="75" zoomScaleSheetLayoutView="100" workbookViewId="0">
      <selection activeCell="M21" sqref="M21"/>
    </sheetView>
  </sheetViews>
  <sheetFormatPr defaultColWidth="8.875" defaultRowHeight="15" x14ac:dyDescent="0.2"/>
  <cols>
    <col min="1" max="1" width="4.625" style="7" customWidth="1"/>
    <col min="2" max="2" width="15.625" style="19" customWidth="1"/>
    <col min="3" max="3" width="6.25" style="7" bestFit="1" customWidth="1"/>
    <col min="4" max="4" width="5.875" style="7" customWidth="1"/>
    <col min="5" max="5" width="5.75" style="7" customWidth="1"/>
    <col min="6" max="6" width="5.25" style="7" customWidth="1"/>
    <col min="7" max="7" width="5.75" style="7" customWidth="1"/>
    <col min="8" max="8" width="5.5" style="7" customWidth="1"/>
    <col min="9" max="9" width="5.5" style="7" bestFit="1" customWidth="1"/>
    <col min="10" max="10" width="5.875" style="7" customWidth="1"/>
    <col min="11" max="11" width="5.625" style="7" customWidth="1"/>
    <col min="12" max="13" width="6.25" style="7" customWidth="1"/>
    <col min="14" max="16" width="5.875" style="7" customWidth="1"/>
    <col min="17" max="17" width="6.625" style="19" customWidth="1"/>
    <col min="18" max="18" width="3.625" style="53" customWidth="1"/>
    <col min="19" max="24" width="7.25" style="46" customWidth="1"/>
    <col min="25" max="25" width="7.75" style="46" customWidth="1"/>
    <col min="26" max="26" width="6.75" style="46" customWidth="1"/>
    <col min="27" max="27" width="7.25" style="46" customWidth="1"/>
    <col min="28" max="28" width="8.125" style="46" customWidth="1"/>
    <col min="29" max="30" width="6.5" style="46" customWidth="1"/>
    <col min="31" max="31" width="7.75" style="46" customWidth="1"/>
    <col min="32" max="32" width="6.75" style="46" customWidth="1"/>
    <col min="33" max="33" width="7.875" style="46" customWidth="1"/>
    <col min="34" max="34" width="6.375" style="63" customWidth="1"/>
    <col min="35" max="35" width="5.375" style="46" customWidth="1"/>
    <col min="36" max="36" width="8.875" style="46" customWidth="1"/>
    <col min="37" max="16384" width="8.875" style="7"/>
  </cols>
  <sheetData>
    <row r="1" spans="1:36" customFormat="1" ht="15.75" x14ac:dyDescent="0.25">
      <c r="A1" s="99"/>
      <c r="B1" s="656"/>
      <c r="C1" s="656"/>
      <c r="D1" s="656"/>
      <c r="E1" s="656"/>
      <c r="F1" s="656"/>
      <c r="G1" s="656"/>
      <c r="H1" s="656"/>
      <c r="I1" s="656"/>
      <c r="J1" s="656"/>
      <c r="K1" s="656"/>
      <c r="L1" s="656"/>
      <c r="M1" s="656"/>
      <c r="N1" s="657"/>
      <c r="O1" s="657"/>
      <c r="P1" s="658"/>
      <c r="Q1" s="658"/>
      <c r="R1" s="114"/>
    </row>
    <row r="2" spans="1:36" ht="18" x14ac:dyDescent="0.25">
      <c r="A2" s="659" t="s">
        <v>1085</v>
      </c>
      <c r="B2" s="660"/>
      <c r="C2" s="661"/>
      <c r="D2" s="661"/>
      <c r="E2" s="661"/>
      <c r="F2" s="661"/>
      <c r="G2" s="661"/>
      <c r="H2" s="661"/>
      <c r="I2" s="661"/>
      <c r="J2" s="661"/>
      <c r="K2" s="661"/>
      <c r="L2" s="661"/>
      <c r="M2" s="661"/>
      <c r="N2" s="661"/>
      <c r="O2" s="661"/>
      <c r="P2" s="661"/>
      <c r="Q2" s="660"/>
      <c r="R2" s="51" t="s">
        <v>223</v>
      </c>
      <c r="S2" s="58"/>
      <c r="T2" s="58"/>
      <c r="U2" s="58"/>
      <c r="V2" s="58"/>
      <c r="W2" s="58"/>
      <c r="X2" s="58"/>
      <c r="Y2" s="58"/>
      <c r="Z2" s="58"/>
      <c r="AA2" s="58"/>
      <c r="AB2" s="58"/>
      <c r="AC2" s="58"/>
      <c r="AD2" s="58"/>
      <c r="AE2" s="58"/>
      <c r="AF2" s="58"/>
      <c r="AG2" s="58"/>
      <c r="AH2" s="59"/>
    </row>
    <row r="3" spans="1:36" ht="18" x14ac:dyDescent="0.25">
      <c r="A3" s="20" t="s">
        <v>258</v>
      </c>
      <c r="B3" s="25"/>
      <c r="C3" s="26"/>
      <c r="D3" s="26"/>
      <c r="E3" s="26"/>
      <c r="F3" s="26"/>
      <c r="G3" s="26"/>
      <c r="H3" s="26"/>
      <c r="I3" s="26"/>
      <c r="J3" s="26"/>
      <c r="K3" s="26"/>
      <c r="L3" s="26"/>
      <c r="M3" s="26"/>
      <c r="N3" s="26"/>
      <c r="O3" s="26"/>
      <c r="P3" s="26"/>
      <c r="Q3" s="25"/>
      <c r="R3" s="51" t="s">
        <v>223</v>
      </c>
      <c r="S3" s="58"/>
      <c r="T3" s="58"/>
      <c r="U3" s="58"/>
      <c r="V3" s="58"/>
      <c r="W3" s="58"/>
      <c r="X3" s="58"/>
      <c r="Y3" s="58"/>
      <c r="Z3" s="58"/>
      <c r="AA3" s="58"/>
      <c r="AB3" s="58"/>
      <c r="AC3" s="58"/>
      <c r="AD3" s="58"/>
      <c r="AE3" s="58"/>
      <c r="AF3" s="58"/>
      <c r="AG3" s="58"/>
      <c r="AH3" s="59"/>
    </row>
    <row r="4" spans="1:36" s="1" customFormat="1" ht="18.75" customHeight="1" x14ac:dyDescent="0.3">
      <c r="A4" s="20" t="s">
        <v>301</v>
      </c>
      <c r="B4" s="27"/>
      <c r="C4" s="28"/>
      <c r="D4" s="28"/>
      <c r="E4" s="28"/>
      <c r="F4" s="28"/>
      <c r="G4" s="28"/>
      <c r="H4" s="28"/>
      <c r="I4" s="28"/>
      <c r="J4" s="28"/>
      <c r="K4" s="28"/>
      <c r="L4" s="28"/>
      <c r="M4" s="28"/>
      <c r="N4" s="28"/>
      <c r="O4" s="28"/>
      <c r="P4" s="28"/>
      <c r="Q4" s="27"/>
      <c r="R4" s="52" t="s">
        <v>223</v>
      </c>
      <c r="S4" s="60"/>
      <c r="T4" s="60"/>
      <c r="U4" s="60"/>
      <c r="V4" s="60"/>
      <c r="W4" s="60"/>
      <c r="X4" s="60"/>
      <c r="Y4" s="60"/>
      <c r="Z4" s="60"/>
      <c r="AA4" s="60"/>
      <c r="AB4" s="60"/>
      <c r="AC4" s="60"/>
      <c r="AD4" s="60"/>
      <c r="AE4" s="60"/>
      <c r="AF4" s="60"/>
      <c r="AG4" s="60"/>
      <c r="AH4" s="61"/>
      <c r="AI4" s="62"/>
      <c r="AJ4" s="62"/>
    </row>
    <row r="5" spans="1:36" s="1" customFormat="1" ht="15.75" customHeight="1" x14ac:dyDescent="0.3">
      <c r="A5" s="101" t="s">
        <v>80</v>
      </c>
      <c r="B5" s="27"/>
      <c r="C5" s="28"/>
      <c r="D5" s="28"/>
      <c r="E5" s="28"/>
      <c r="F5" s="28"/>
      <c r="G5" s="28"/>
      <c r="H5" s="28"/>
      <c r="I5" s="28"/>
      <c r="J5" s="28"/>
      <c r="K5" s="28"/>
      <c r="L5" s="28"/>
      <c r="M5" s="28"/>
      <c r="N5" s="28"/>
      <c r="O5" s="28"/>
      <c r="P5" s="28"/>
      <c r="Q5" s="27"/>
      <c r="R5" s="52" t="s">
        <v>223</v>
      </c>
      <c r="S5" s="108"/>
      <c r="T5" s="60"/>
      <c r="U5" s="60"/>
      <c r="V5" s="60"/>
      <c r="W5" s="60"/>
      <c r="X5" s="60"/>
      <c r="Y5" s="60"/>
      <c r="Z5" s="60"/>
      <c r="AA5" s="60"/>
      <c r="AB5" s="60"/>
      <c r="AC5" s="60"/>
      <c r="AD5" s="60"/>
      <c r="AE5" s="60"/>
      <c r="AF5" s="60"/>
      <c r="AG5" s="60"/>
      <c r="AH5" s="61"/>
      <c r="AI5" s="62"/>
      <c r="AJ5" s="62"/>
    </row>
    <row r="6" spans="1:36" ht="15.75" customHeight="1" x14ac:dyDescent="0.2">
      <c r="A6" s="8"/>
      <c r="R6" s="53" t="s">
        <v>223</v>
      </c>
    </row>
    <row r="7" spans="1:36" x14ac:dyDescent="0.2">
      <c r="A7" s="29"/>
      <c r="B7" s="9"/>
      <c r="C7" s="36" t="s">
        <v>81</v>
      </c>
      <c r="D7" s="30"/>
      <c r="E7" s="30"/>
      <c r="F7" s="30"/>
      <c r="G7" s="30"/>
      <c r="H7" s="30"/>
      <c r="I7" s="30"/>
      <c r="J7" s="30"/>
      <c r="K7" s="30"/>
      <c r="L7" s="30"/>
      <c r="M7" s="30"/>
      <c r="N7" s="30"/>
      <c r="O7" s="30"/>
      <c r="P7" s="30"/>
      <c r="Q7" s="30"/>
      <c r="R7" s="54"/>
      <c r="S7" s="36" t="s">
        <v>96</v>
      </c>
      <c r="T7" s="64"/>
      <c r="U7" s="64"/>
      <c r="V7" s="64"/>
      <c r="W7" s="64"/>
      <c r="X7" s="64"/>
      <c r="Y7" s="64"/>
      <c r="Z7" s="64"/>
      <c r="AA7" s="64"/>
      <c r="AB7" s="64"/>
      <c r="AC7" s="64"/>
      <c r="AD7" s="64"/>
      <c r="AE7" s="64"/>
      <c r="AF7" s="64"/>
      <c r="AG7" s="64"/>
      <c r="AH7" s="64"/>
    </row>
    <row r="8" spans="1:36" x14ac:dyDescent="0.2">
      <c r="A8" s="31"/>
      <c r="B8" s="42"/>
      <c r="C8" s="37" t="s">
        <v>86</v>
      </c>
      <c r="D8" s="35"/>
      <c r="E8" s="35"/>
      <c r="F8" s="35"/>
      <c r="G8" s="35"/>
      <c r="H8" s="35"/>
      <c r="I8" s="35"/>
      <c r="J8" s="34" t="s">
        <v>87</v>
      </c>
      <c r="K8" s="48"/>
      <c r="L8" s="48"/>
      <c r="M8" s="48"/>
      <c r="N8" s="49"/>
      <c r="O8" s="34" t="s">
        <v>57</v>
      </c>
      <c r="P8" s="48"/>
      <c r="Q8" s="35"/>
      <c r="S8" s="37" t="s">
        <v>86</v>
      </c>
      <c r="T8" s="65"/>
      <c r="U8" s="65"/>
      <c r="V8" s="65"/>
      <c r="W8" s="65"/>
      <c r="X8" s="65"/>
      <c r="Y8" s="65"/>
      <c r="Z8" s="66" t="s">
        <v>87</v>
      </c>
      <c r="AA8" s="67"/>
      <c r="AB8" s="67"/>
      <c r="AC8" s="67"/>
      <c r="AD8" s="67"/>
      <c r="AE8" s="65"/>
      <c r="AF8" s="66" t="s">
        <v>57</v>
      </c>
      <c r="AG8" s="67"/>
      <c r="AH8" s="65"/>
    </row>
    <row r="9" spans="1:36" ht="41.25" customHeight="1" x14ac:dyDescent="0.2">
      <c r="A9" s="43"/>
      <c r="B9" s="44"/>
      <c r="C9" s="45">
        <v>1</v>
      </c>
      <c r="D9" s="32">
        <v>2</v>
      </c>
      <c r="E9" s="32">
        <v>3</v>
      </c>
      <c r="F9" s="32">
        <v>4</v>
      </c>
      <c r="G9" s="32">
        <v>5</v>
      </c>
      <c r="H9" s="32">
        <v>6</v>
      </c>
      <c r="I9" s="50" t="s">
        <v>224</v>
      </c>
      <c r="J9" s="38" t="s">
        <v>71</v>
      </c>
      <c r="K9" s="32">
        <v>1</v>
      </c>
      <c r="L9" s="32">
        <v>2</v>
      </c>
      <c r="M9" s="32">
        <v>3</v>
      </c>
      <c r="N9" s="50" t="s">
        <v>225</v>
      </c>
      <c r="O9" s="38">
        <v>1</v>
      </c>
      <c r="P9" s="38">
        <v>2</v>
      </c>
      <c r="Q9" s="85" t="s">
        <v>192</v>
      </c>
      <c r="R9" s="55"/>
      <c r="S9" s="69">
        <v>1</v>
      </c>
      <c r="T9" s="70">
        <v>2</v>
      </c>
      <c r="U9" s="70">
        <v>3</v>
      </c>
      <c r="V9" s="70">
        <v>4</v>
      </c>
      <c r="W9" s="70">
        <v>5</v>
      </c>
      <c r="X9" s="70">
        <v>6</v>
      </c>
      <c r="Y9" s="72" t="s">
        <v>88</v>
      </c>
      <c r="Z9" s="71" t="s">
        <v>71</v>
      </c>
      <c r="AA9" s="70">
        <v>1</v>
      </c>
      <c r="AB9" s="70">
        <v>2</v>
      </c>
      <c r="AC9" s="70">
        <v>3</v>
      </c>
      <c r="AD9" s="71" t="s">
        <v>72</v>
      </c>
      <c r="AE9" s="72" t="s">
        <v>192</v>
      </c>
      <c r="AF9" s="71">
        <v>1</v>
      </c>
      <c r="AG9" s="71">
        <v>2</v>
      </c>
      <c r="AH9" s="86" t="s">
        <v>192</v>
      </c>
    </row>
    <row r="10" spans="1:36" x14ac:dyDescent="0.2">
      <c r="A10" s="18" t="s">
        <v>85</v>
      </c>
      <c r="B10" s="15" t="s">
        <v>99</v>
      </c>
      <c r="C10" s="16">
        <f t="shared" ref="C10:M15" si="0">IF(S$16&gt;0,(S10/S$16),0)</f>
        <v>0.32599062633148701</v>
      </c>
      <c r="D10" s="17">
        <f t="shared" si="0"/>
        <v>0.24909575480677709</v>
      </c>
      <c r="E10" s="17">
        <f t="shared" si="0"/>
        <v>0.23984157253924013</v>
      </c>
      <c r="F10" s="17">
        <f t="shared" si="0"/>
        <v>0.21087885437117451</v>
      </c>
      <c r="G10" s="17">
        <f t="shared" si="0"/>
        <v>0.21151416711784876</v>
      </c>
      <c r="H10" s="39">
        <f t="shared" si="0"/>
        <v>0.18766233766233767</v>
      </c>
      <c r="I10" s="16">
        <f t="shared" si="0"/>
        <v>0.27486910994764396</v>
      </c>
      <c r="J10" s="16">
        <f t="shared" si="0"/>
        <v>5.0229543613286527E-2</v>
      </c>
      <c r="K10" s="17">
        <f t="shared" si="0"/>
        <v>0.12116007966443829</v>
      </c>
      <c r="L10" s="17">
        <f t="shared" si="0"/>
        <v>9.2691056265375757E-2</v>
      </c>
      <c r="M10" s="17">
        <f t="shared" si="0"/>
        <v>5.5827220863895681E-2</v>
      </c>
      <c r="N10" s="16">
        <f t="shared" ref="N10:P16" si="1">IF(AE$16&gt;0,(AE10/AE$16),0)</f>
        <v>0.10435342251643451</v>
      </c>
      <c r="O10" s="91">
        <f t="shared" si="1"/>
        <v>3.5100035100035102E-3</v>
      </c>
      <c r="P10" s="152">
        <f t="shared" si="1"/>
        <v>0</v>
      </c>
      <c r="Q10" s="91">
        <f t="shared" ref="Q10:Q16" si="2">IF(AH$16&gt;0,(AH10/AH$16),0)</f>
        <v>2.2862368541380889E-3</v>
      </c>
      <c r="R10" s="83"/>
      <c r="S10" s="73">
        <f>+GETPIVOTDATA(" Total # Prof Old",'OLD Counts Pivot Table'!$A$3,"Category",1,"Category2","Four-Year")</f>
        <v>15302</v>
      </c>
      <c r="T10" s="74">
        <f>+GETPIVOTDATA(" Total # Prof Old",'OLD Counts Pivot Table'!$A$3,"Category",2,"Category2","Four-Year")</f>
        <v>2617</v>
      </c>
      <c r="U10" s="74">
        <f>+GETPIVOTDATA(" Total # Prof Old",'OLD Counts Pivot Table'!$A$3,"Category",3,"Category2","Four-Year")</f>
        <v>6540</v>
      </c>
      <c r="V10" s="74">
        <f>+GETPIVOTDATA(" Total # Prof Old",'OLD Counts Pivot Table'!$A$3,"Category",4,"Category2","Four-Year")</f>
        <v>1826</v>
      </c>
      <c r="W10" s="74">
        <f>+GETPIVOTDATA(" Total # Prof Old",'OLD Counts Pivot Table'!$A$3,"Category",5,"Category2","Four-Year")</f>
        <v>1172</v>
      </c>
      <c r="X10" s="74">
        <f>+GETPIVOTDATA(" Total # Prof Old",'OLD Counts Pivot Table'!$A$3,"Category",6,"Category2","Four-Year")</f>
        <v>578</v>
      </c>
      <c r="Y10" s="75">
        <f>+GETPIVOTDATA(" Total # Prof Old",'OLD Counts Pivot Table'!$A$3,"Category2","Four-Year")</f>
        <v>28035</v>
      </c>
      <c r="Z10" s="73">
        <f>+GETPIVOTDATA(" Total # Prof Old",'OLD Counts Pivot Table'!$A$3,"Category",7,"Category2","Group2")</f>
        <v>186</v>
      </c>
      <c r="AA10" s="74">
        <f>+GETPIVOTDATA(" Total # Prof Old",'OLD Counts Pivot Table'!$A$3,"Category",8,"Category2","Group2")</f>
        <v>2695</v>
      </c>
      <c r="AB10" s="74">
        <f>+GETPIVOTDATA(" Total # Prof Old",'OLD Counts Pivot Table'!$A$3,"Category",9,"Category2","Group2")</f>
        <v>1168</v>
      </c>
      <c r="AC10" s="74">
        <f>+GETPIVOTDATA(" Total # Prof Old",'OLD Counts Pivot Table'!$A$3,"Category",10,"Category2","Group2")</f>
        <v>274</v>
      </c>
      <c r="AD10" s="74">
        <f>+GETPIVOTDATA(" Total # Prof Old",'OLD Counts Pivot Table'!$A$3,"Category",11,"Category2","Group2")</f>
        <v>444</v>
      </c>
      <c r="AE10" s="75">
        <f>+GETPIVOTDATA(" Total # Prof Old",'OLD Counts Pivot Table'!$A$3,"Category2","Group2")</f>
        <v>4767</v>
      </c>
      <c r="AF10" s="73">
        <f>+GETPIVOTDATA(" Total # Prof Old",'OLD Counts Pivot Table'!$A$3,"Category",12,"Category2","Technical Institutes")</f>
        <v>10</v>
      </c>
      <c r="AG10" s="74">
        <f>+GETPIVOTDATA(" Total # Prof Old",'OLD Counts Pivot Table'!$A$3,"Category",13,"Category2","Technical Institutes")</f>
        <v>0</v>
      </c>
      <c r="AH10" s="73">
        <f>+GETPIVOTDATA(" Total # Prof Old",'OLD Counts Pivot Table'!$A$3,"Category2","Technical Institutes")</f>
        <v>10</v>
      </c>
    </row>
    <row r="11" spans="1:36" x14ac:dyDescent="0.2">
      <c r="A11" s="10"/>
      <c r="B11" s="18" t="s">
        <v>100</v>
      </c>
      <c r="C11" s="12">
        <f t="shared" si="0"/>
        <v>0.26585002130379209</v>
      </c>
      <c r="D11" s="14">
        <f t="shared" si="0"/>
        <v>0.2731772320578717</v>
      </c>
      <c r="E11" s="14">
        <f t="shared" ref="D11:M16" si="3">IF(U$16&gt;0,(U11/U$16),0)</f>
        <v>0.25003667302332405</v>
      </c>
      <c r="F11" s="14">
        <f t="shared" si="3"/>
        <v>0.25360896177387687</v>
      </c>
      <c r="G11" s="14">
        <f t="shared" si="3"/>
        <v>0.2510377188233171</v>
      </c>
      <c r="H11" s="40">
        <f t="shared" si="3"/>
        <v>0.24448051948051949</v>
      </c>
      <c r="I11" s="12">
        <f t="shared" si="3"/>
        <v>0.25988783653940428</v>
      </c>
      <c r="J11" s="12">
        <f t="shared" si="3"/>
        <v>5.5630569808263572E-2</v>
      </c>
      <c r="K11" s="14">
        <f t="shared" si="3"/>
        <v>0.1054250043833424</v>
      </c>
      <c r="L11" s="14">
        <f t="shared" si="3"/>
        <v>9.4516308229505588E-2</v>
      </c>
      <c r="M11" s="14">
        <f t="shared" si="3"/>
        <v>4.7269763651181747E-2</v>
      </c>
      <c r="N11" s="12">
        <f t="shared" si="1"/>
        <v>0.10159518227370937</v>
      </c>
      <c r="O11" s="12">
        <f t="shared" si="1"/>
        <v>1.4040014040014041E-2</v>
      </c>
      <c r="P11" s="14">
        <f t="shared" si="1"/>
        <v>0</v>
      </c>
      <c r="Q11" s="12">
        <f t="shared" si="2"/>
        <v>9.1449474165523556E-3</v>
      </c>
      <c r="R11" s="56"/>
      <c r="S11" s="76">
        <f>+GETPIVOTDATA(" Tot # Asc. Prof Old",'OLD Counts Pivot Table'!$A$3,"Category",1,"Category2","Four-Year")</f>
        <v>12479</v>
      </c>
      <c r="T11" s="77">
        <f>+GETPIVOTDATA(" Tot # Asc. Prof Old",'OLD Counts Pivot Table'!$A$3,"Category",2,"Category2","Four-Year")</f>
        <v>2870</v>
      </c>
      <c r="U11" s="77">
        <f>+GETPIVOTDATA(" Tot # Asc. Prof Old",'OLD Counts Pivot Table'!$A$3,"Category",3,"Category2","Four-Year")</f>
        <v>6818</v>
      </c>
      <c r="V11" s="77">
        <f>+GETPIVOTDATA(" Tot # Asc. Prof Old",'OLD Counts Pivot Table'!$A$3,"Category",4,"Category2","Four-Year")</f>
        <v>2196</v>
      </c>
      <c r="W11" s="77">
        <f>+GETPIVOTDATA(" Tot # Asc. Prof Old",'OLD Counts Pivot Table'!$A$3,"Category",5,"Category2","Four-Year")</f>
        <v>1391</v>
      </c>
      <c r="X11" s="77">
        <f>+GETPIVOTDATA(" Tot # Asc. Prof Old",'OLD Counts Pivot Table'!$A$3,"Category",6,"Category2","Four-Year")</f>
        <v>753</v>
      </c>
      <c r="Y11" s="78">
        <f>+GETPIVOTDATA(" Tot # Asc. Prof Old",'OLD Counts Pivot Table'!$A$3,"Category2","Four-Year")</f>
        <v>26507</v>
      </c>
      <c r="Z11" s="76">
        <f>+GETPIVOTDATA(" Tot # Asc. Prof Old",'OLD Counts Pivot Table'!$A$3,"Category",7,"Category2","Group2")</f>
        <v>206</v>
      </c>
      <c r="AA11" s="77">
        <f>+GETPIVOTDATA(" Tot # Asc. Prof Old",'OLD Counts Pivot Table'!$A$3,"Category",8,"Category2","Group2")</f>
        <v>2345</v>
      </c>
      <c r="AB11" s="77">
        <f>+GETPIVOTDATA(" Tot # Asc. Prof Old",'OLD Counts Pivot Table'!$A$3,"Category",9,"Category2","Group2")</f>
        <v>1191</v>
      </c>
      <c r="AC11" s="77">
        <f>+GETPIVOTDATA(" Tot # Asc. Prof Old",'OLD Counts Pivot Table'!$A$3,"Category",10,"Category2","Group2")</f>
        <v>232</v>
      </c>
      <c r="AD11" s="77">
        <f>+GETPIVOTDATA(" Tot # Asc. Prof Old",'OLD Counts Pivot Table'!$A$3,"Category",11,"Category2","Group2")</f>
        <v>667</v>
      </c>
      <c r="AE11" s="78">
        <f>+GETPIVOTDATA(" Tot # Asc. Prof Old",'OLD Counts Pivot Table'!$A$3,"Category2","Group2")</f>
        <v>4641</v>
      </c>
      <c r="AF11" s="76">
        <f>+GETPIVOTDATA(" Tot # Asc. Prof Old",'OLD Counts Pivot Table'!$A$3,"Category",12,"Category2","Technical Institutes")</f>
        <v>40</v>
      </c>
      <c r="AG11" s="77">
        <f>+GETPIVOTDATA(" Tot # Asc. Prof Old",'OLD Counts Pivot Table'!$A$3,"Category",13,"Category2","Technical Institutes")</f>
        <v>0</v>
      </c>
      <c r="AH11" s="76">
        <f>+GETPIVOTDATA(" Tot # Asc. Prof Old",'OLD Counts Pivot Table'!$A$3,"Category2","Technical Institutes")</f>
        <v>40</v>
      </c>
    </row>
    <row r="12" spans="1:36" x14ac:dyDescent="0.2">
      <c r="A12" s="10"/>
      <c r="B12" s="18" t="s">
        <v>101</v>
      </c>
      <c r="C12" s="12">
        <f t="shared" si="0"/>
        <v>0.2406050276949297</v>
      </c>
      <c r="D12" s="14">
        <f t="shared" si="0"/>
        <v>0.25566343042071199</v>
      </c>
      <c r="E12" s="14">
        <f t="shared" si="3"/>
        <v>0.29389760891887928</v>
      </c>
      <c r="F12" s="14">
        <f t="shared" si="3"/>
        <v>0.35304307656773298</v>
      </c>
      <c r="G12" s="14">
        <f t="shared" si="3"/>
        <v>0.33116765926728026</v>
      </c>
      <c r="H12" s="40">
        <f t="shared" si="3"/>
        <v>0.36331168831168831</v>
      </c>
      <c r="I12" s="12">
        <f t="shared" si="3"/>
        <v>0.27457497499852934</v>
      </c>
      <c r="J12" s="12">
        <f t="shared" si="3"/>
        <v>7.8314879827167158E-2</v>
      </c>
      <c r="K12" s="14">
        <f t="shared" si="3"/>
        <v>7.8180845468073537E-2</v>
      </c>
      <c r="L12" s="14">
        <f t="shared" si="3"/>
        <v>8.8723117212919603E-2</v>
      </c>
      <c r="M12" s="14">
        <f t="shared" si="3"/>
        <v>7.9462102689486558E-2</v>
      </c>
      <c r="N12" s="12">
        <f t="shared" si="1"/>
        <v>9.2379157335715043E-2</v>
      </c>
      <c r="O12" s="12">
        <f t="shared" si="1"/>
        <v>1.3338013338013339E-2</v>
      </c>
      <c r="P12" s="14">
        <f t="shared" si="1"/>
        <v>0</v>
      </c>
      <c r="Q12" s="12">
        <f t="shared" si="2"/>
        <v>8.6877000457247378E-3</v>
      </c>
      <c r="R12" s="56"/>
      <c r="S12" s="76">
        <f>+GETPIVOTDATA(" Tot # Ast. Prof Old",'OLD Counts Pivot Table'!$A$3,"Category",1,"Category2","Four-Year")</f>
        <v>11294</v>
      </c>
      <c r="T12" s="77">
        <f>+GETPIVOTDATA(" Tot # Ast. Prof Old",'OLD Counts Pivot Table'!$A$3,"Category",2,"Category2","Four-Year")</f>
        <v>2686</v>
      </c>
      <c r="U12" s="77">
        <f>+GETPIVOTDATA(" Tot # Ast. Prof Old",'OLD Counts Pivot Table'!$A$3,"Category",3,"Category2","Four-Year")</f>
        <v>8014</v>
      </c>
      <c r="V12" s="77">
        <f>+GETPIVOTDATA(" Tot # Ast. Prof Old",'OLD Counts Pivot Table'!$A$3,"Category",4,"Category2","Four-Year")</f>
        <v>3057</v>
      </c>
      <c r="W12" s="77">
        <f>+GETPIVOTDATA(" Tot # Ast. Prof Old",'OLD Counts Pivot Table'!$A$3,"Category",5,"Category2","Four-Year")</f>
        <v>1835</v>
      </c>
      <c r="X12" s="77">
        <f>+GETPIVOTDATA(" Tot # Ast. Prof Old",'OLD Counts Pivot Table'!$A$3,"Category",6,"Category2","Four-Year")</f>
        <v>1119</v>
      </c>
      <c r="Y12" s="78">
        <f>+GETPIVOTDATA(" Tot # Ast. Prof Old",'OLD Counts Pivot Table'!$A$3,"Category2","Four-Year")</f>
        <v>28005</v>
      </c>
      <c r="Z12" s="76">
        <f>+GETPIVOTDATA(" Tot # Ast. Prof Old",'OLD Counts Pivot Table'!$A$3,"Category",7,"Category2","Group2")</f>
        <v>290</v>
      </c>
      <c r="AA12" s="77">
        <f>+GETPIVOTDATA(" Tot # Ast. Prof Old",'OLD Counts Pivot Table'!$A$3,"Category",8,"Category2","Group2")</f>
        <v>1739</v>
      </c>
      <c r="AB12" s="77">
        <f>+GETPIVOTDATA(" Tot # Ast. Prof Old",'OLD Counts Pivot Table'!$A$3,"Category",9,"Category2","Group2")</f>
        <v>1118</v>
      </c>
      <c r="AC12" s="77">
        <f>+GETPIVOTDATA(" Tot # Ast. Prof Old",'OLD Counts Pivot Table'!$A$3,"Category",10,"Category2","Group2")</f>
        <v>390</v>
      </c>
      <c r="AD12" s="77">
        <f>+GETPIVOTDATA(" Tot # Ast. Prof Old",'OLD Counts Pivot Table'!$A$3,"Category",11,"Category2","Group2")</f>
        <v>683</v>
      </c>
      <c r="AE12" s="78">
        <f>+GETPIVOTDATA(" Tot # Ast. Prof Old",'OLD Counts Pivot Table'!$A$3,"Category2","Group2")</f>
        <v>4220</v>
      </c>
      <c r="AF12" s="76">
        <f>+GETPIVOTDATA(" Tot # Ast. Prof Old",'OLD Counts Pivot Table'!$A$3,"Category",12,"Category2","Technical Institutes")</f>
        <v>38</v>
      </c>
      <c r="AG12" s="77">
        <f>+GETPIVOTDATA(" Tot # Ast. Prof Old",'OLD Counts Pivot Table'!$A$3,"Category",13,"Category2","Technical Institutes")</f>
        <v>0</v>
      </c>
      <c r="AH12" s="76">
        <f>+GETPIVOTDATA(" Tot # Ast. Prof Old",'OLD Counts Pivot Table'!$A$3,"Category2","Technical Institutes")</f>
        <v>38</v>
      </c>
    </row>
    <row r="13" spans="1:36" x14ac:dyDescent="0.2">
      <c r="A13" s="10"/>
      <c r="B13" s="18" t="s">
        <v>102</v>
      </c>
      <c r="C13" s="12">
        <f t="shared" si="0"/>
        <v>7.0025564550489985E-2</v>
      </c>
      <c r="D13" s="14">
        <f t="shared" si="0"/>
        <v>0.10013325718636969</v>
      </c>
      <c r="E13" s="14">
        <f t="shared" si="3"/>
        <v>0.10715857415285317</v>
      </c>
      <c r="F13" s="14">
        <f t="shared" si="3"/>
        <v>0.10948146437232936</v>
      </c>
      <c r="G13" s="14">
        <f t="shared" si="3"/>
        <v>0.12633098718642843</v>
      </c>
      <c r="H13" s="40">
        <f t="shared" si="3"/>
        <v>0.14967532467532468</v>
      </c>
      <c r="I13" s="12">
        <f t="shared" si="3"/>
        <v>9.186814910681021E-2</v>
      </c>
      <c r="J13" s="12">
        <f t="shared" si="3"/>
        <v>0.16905211990278152</v>
      </c>
      <c r="K13" s="14">
        <f t="shared" si="3"/>
        <v>0.1467408163357056</v>
      </c>
      <c r="L13" s="14">
        <f t="shared" si="3"/>
        <v>0.14681374494087771</v>
      </c>
      <c r="M13" s="14">
        <f t="shared" si="3"/>
        <v>0.1591279543602282</v>
      </c>
      <c r="N13" s="12">
        <f t="shared" si="1"/>
        <v>0.15218481085258082</v>
      </c>
      <c r="O13" s="12">
        <f t="shared" si="1"/>
        <v>4.1418041418041417E-2</v>
      </c>
      <c r="P13" s="14">
        <f t="shared" si="1"/>
        <v>0</v>
      </c>
      <c r="Q13" s="12">
        <f t="shared" si="2"/>
        <v>2.6977594878829447E-2</v>
      </c>
      <c r="R13" s="56"/>
      <c r="S13" s="76">
        <f>+GETPIVOTDATA(" Tot # Instr. Old",'OLD Counts Pivot Table'!$A$3,"Category",1,"Category2","Four-Year")</f>
        <v>3287</v>
      </c>
      <c r="T13" s="77">
        <f>+GETPIVOTDATA(" Tot # Instr. Old",'OLD Counts Pivot Table'!$A$3,"Category",2,"Category2","Four-Year")</f>
        <v>1052</v>
      </c>
      <c r="U13" s="77">
        <f>+GETPIVOTDATA(" Tot # Instr. Old",'OLD Counts Pivot Table'!$A$3,"Category",3,"Category2","Four-Year")</f>
        <v>2922</v>
      </c>
      <c r="V13" s="77">
        <f>+GETPIVOTDATA(" Tot # Instr. Old",'OLD Counts Pivot Table'!$A$3,"Category",4,"Category2","Four-Year")</f>
        <v>948</v>
      </c>
      <c r="W13" s="77">
        <f>+GETPIVOTDATA(" Tot # Instr. Old",'OLD Counts Pivot Table'!$A$3,"Category",5,"Category2","Four-Year")</f>
        <v>700</v>
      </c>
      <c r="X13" s="77">
        <f>+GETPIVOTDATA(" Tot # Instr. Old",'OLD Counts Pivot Table'!$A$3,"Category",6,"Category2","Four-Year")</f>
        <v>461</v>
      </c>
      <c r="Y13" s="78">
        <f>+GETPIVOTDATA(" Tot # Instr. Old",'OLD Counts Pivot Table'!$A$3,"Category2","Four-Year")</f>
        <v>9370</v>
      </c>
      <c r="Z13" s="76">
        <f>+GETPIVOTDATA(" Tot # Instr. Old",'OLD Counts Pivot Table'!$A$3,"Category",7,"Category2","Group2")</f>
        <v>626</v>
      </c>
      <c r="AA13" s="77">
        <f>+GETPIVOTDATA(" Tot # Instr. Old",'OLD Counts Pivot Table'!$A$3,"Category",8,"Category2","Group2")</f>
        <v>3264</v>
      </c>
      <c r="AB13" s="77">
        <f>+GETPIVOTDATA(" Tot # Instr. Old",'OLD Counts Pivot Table'!$A$3,"Category",9,"Category2","Group2")</f>
        <v>1850</v>
      </c>
      <c r="AC13" s="77">
        <f>+GETPIVOTDATA(" Tot # Instr. Old",'OLD Counts Pivot Table'!$A$3,"Category",10,"Category2","Group2")</f>
        <v>781</v>
      </c>
      <c r="AD13" s="77">
        <f>+GETPIVOTDATA(" Tot # Instr. Old",'OLD Counts Pivot Table'!$A$3,"Category",11,"Category2","Group2")</f>
        <v>431</v>
      </c>
      <c r="AE13" s="78">
        <f>+GETPIVOTDATA(" Tot # Instr. Old",'OLD Counts Pivot Table'!$A$3,"Category2","Group2")</f>
        <v>6952</v>
      </c>
      <c r="AF13" s="76">
        <f>+GETPIVOTDATA(" Tot # Instr. Old",'OLD Counts Pivot Table'!$A$3,"Category",12,"Category2","Technical Institutes")</f>
        <v>118</v>
      </c>
      <c r="AG13" s="77">
        <f>+GETPIVOTDATA(" Tot # Instr. Old",'OLD Counts Pivot Table'!$A$3,"Category",13,"Category2","Technical Institutes")</f>
        <v>0</v>
      </c>
      <c r="AH13" s="76">
        <f>+GETPIVOTDATA(" Tot # Instr. Old",'OLD Counts Pivot Table'!$A$3,"Category2","Technical Institutes")</f>
        <v>118</v>
      </c>
    </row>
    <row r="14" spans="1:36" x14ac:dyDescent="0.2">
      <c r="A14" s="10"/>
      <c r="B14" s="18" t="s">
        <v>83</v>
      </c>
      <c r="C14" s="12">
        <f t="shared" si="0"/>
        <v>9.7528760119301242E-2</v>
      </c>
      <c r="D14" s="14">
        <f t="shared" si="0"/>
        <v>0.12193032552826956</v>
      </c>
      <c r="E14" s="14">
        <f t="shared" si="3"/>
        <v>0.10906557136570338</v>
      </c>
      <c r="F14" s="14">
        <f t="shared" si="3"/>
        <v>7.2987642914886242E-2</v>
      </c>
      <c r="G14" s="14">
        <f t="shared" si="3"/>
        <v>7.9949467605125432E-2</v>
      </c>
      <c r="H14" s="40">
        <f t="shared" si="3"/>
        <v>5.4870129870129868E-2</v>
      </c>
      <c r="I14" s="12">
        <f t="shared" si="3"/>
        <v>9.8799929407612216E-2</v>
      </c>
      <c r="J14" s="12">
        <f t="shared" si="3"/>
        <v>9.7218471509586818E-3</v>
      </c>
      <c r="K14" s="14">
        <f t="shared" si="3"/>
        <v>6.0917220016814051E-2</v>
      </c>
      <c r="L14" s="14">
        <f t="shared" si="3"/>
        <v>6.094754384572653E-2</v>
      </c>
      <c r="M14" s="14">
        <f t="shared" si="3"/>
        <v>3.2803585982070088E-2</v>
      </c>
      <c r="N14" s="12">
        <f t="shared" si="1"/>
        <v>5.0808536534643275E-2</v>
      </c>
      <c r="O14" s="12">
        <f t="shared" si="1"/>
        <v>1.7550017550017551E-3</v>
      </c>
      <c r="P14" s="153">
        <f t="shared" si="1"/>
        <v>0</v>
      </c>
      <c r="Q14" s="102">
        <f t="shared" si="2"/>
        <v>1.1431184270690445E-3</v>
      </c>
      <c r="R14" s="56"/>
      <c r="S14" s="76">
        <f>++GETPIVOTDATA(" Tot # Undes. Old",'OLD Counts Pivot Table'!$A$3,"Category",1,"Category2","Four-Year")</f>
        <v>4578</v>
      </c>
      <c r="T14" s="77">
        <f>+GETPIVOTDATA(" Tot # Undes. Old",'OLD Counts Pivot Table'!$A$3,"Category",2,"Category2","Four-Year")</f>
        <v>1281</v>
      </c>
      <c r="U14" s="77">
        <f>+GETPIVOTDATA(" Tot # Undes. Old",'OLD Counts Pivot Table'!$A$3,"Category",3,"Category2","Four-Year")</f>
        <v>2974</v>
      </c>
      <c r="V14" s="77">
        <f>+GETPIVOTDATA(" Tot # Undes. Old",'OLD Counts Pivot Table'!$A$3,"Category",4,"Category2","Four-Year")</f>
        <v>632</v>
      </c>
      <c r="W14" s="77">
        <f>+GETPIVOTDATA(" Tot # Undes. Old",'OLD Counts Pivot Table'!$A$3,"Category",5,"Category2","Four-Year")</f>
        <v>443</v>
      </c>
      <c r="X14" s="77">
        <f>+GETPIVOTDATA(" Tot # Undes. Old",'OLD Counts Pivot Table'!$A$3,"Category",6,"Category2","Four-Year")</f>
        <v>169</v>
      </c>
      <c r="Y14" s="78">
        <f>+GETPIVOTDATA(" Tot # Undes. Old",'OLD Counts Pivot Table'!$A$3,"Category2","Four-Year")</f>
        <v>10077</v>
      </c>
      <c r="Z14" s="76">
        <f>+GETPIVOTDATA(" Tot # Undes. Old",'OLD Counts Pivot Table'!$A$3,"Category",7,"Category2","Group2")</f>
        <v>36</v>
      </c>
      <c r="AA14" s="77">
        <f>+GETPIVOTDATA(" Tot # Undes. Old",'OLD Counts Pivot Table'!$A$3,"Category",8,"Category2","Group2")</f>
        <v>1355</v>
      </c>
      <c r="AB14" s="77">
        <f>+GETPIVOTDATA(" Tot # Undes. Old",'OLD Counts Pivot Table'!$A$3,"Category",9,"Category2","Group2")</f>
        <v>768</v>
      </c>
      <c r="AC14" s="77">
        <f>+GETPIVOTDATA(" Tot # Undes. Old",'OLD Counts Pivot Table'!$A$3,"Category",10,"Category2","Group2")</f>
        <v>161</v>
      </c>
      <c r="AD14" s="77">
        <f>+GETPIVOTDATA(" Tot # Undes. Old",'OLD Counts Pivot Table'!$A$3,"Category",11,"Category2","Group2")</f>
        <v>1</v>
      </c>
      <c r="AE14" s="78">
        <f>+GETPIVOTDATA(" Tot # Undes. Old",'OLD Counts Pivot Table'!$A$3,"Category2","Group2")</f>
        <v>2321</v>
      </c>
      <c r="AF14" s="76">
        <f>+GETPIVOTDATA(" Tot # Undes. Old",'OLD Counts Pivot Table'!$A$3,"Category",12,"Category2","Technical Institutes")</f>
        <v>5</v>
      </c>
      <c r="AG14" s="77">
        <f>+GETPIVOTDATA(" Tot # Undes. Old",'OLD Counts Pivot Table'!$A$3,"Category",13,"Category2","Technical Institutes")</f>
        <v>0</v>
      </c>
      <c r="AH14" s="76">
        <f>+GETPIVOTDATA(" Tot # Undes. Old",'OLD Counts Pivot Table'!$A$3,"Category2","Technical Institutes")</f>
        <v>5</v>
      </c>
    </row>
    <row r="15" spans="1:36" x14ac:dyDescent="0.2">
      <c r="A15" s="10"/>
      <c r="B15" s="18" t="s">
        <v>82</v>
      </c>
      <c r="C15" s="12">
        <f t="shared" si="0"/>
        <v>0</v>
      </c>
      <c r="D15" s="153">
        <f t="shared" si="0"/>
        <v>0</v>
      </c>
      <c r="E15" s="14">
        <f t="shared" si="3"/>
        <v>0</v>
      </c>
      <c r="F15" s="153">
        <f t="shared" si="3"/>
        <v>0</v>
      </c>
      <c r="G15" s="153">
        <f t="shared" si="3"/>
        <v>0</v>
      </c>
      <c r="H15" s="40">
        <f t="shared" si="3"/>
        <v>0</v>
      </c>
      <c r="I15" s="12">
        <f t="shared" si="3"/>
        <v>0</v>
      </c>
      <c r="J15" s="12">
        <f t="shared" si="3"/>
        <v>0.63705103969754251</v>
      </c>
      <c r="K15" s="14">
        <f t="shared" si="3"/>
        <v>0.48757603413162615</v>
      </c>
      <c r="L15" s="14">
        <f t="shared" si="3"/>
        <v>0.51630822950559474</v>
      </c>
      <c r="M15" s="14">
        <f t="shared" si="3"/>
        <v>0.62550937245313776</v>
      </c>
      <c r="N15" s="12">
        <f t="shared" si="1"/>
        <v>0.49867889048691694</v>
      </c>
      <c r="O15" s="12">
        <f t="shared" si="1"/>
        <v>0.92593892593892591</v>
      </c>
      <c r="P15" s="14">
        <f t="shared" si="1"/>
        <v>1</v>
      </c>
      <c r="Q15" s="12">
        <f t="shared" si="2"/>
        <v>0.95176040237768633</v>
      </c>
      <c r="R15" s="56"/>
      <c r="S15" s="76">
        <f>+GETPIVOTDATA(" Tot # Single Rnk Old",'OLD Counts Pivot Table'!$A$3,"Category",1,"Category2","Four-Year")</f>
        <v>0</v>
      </c>
      <c r="T15" s="77">
        <f>+GETPIVOTDATA(" Tot # Single Rnk Old",'OLD Counts Pivot Table'!$A$3,"Category",2,"Category2","Four-Year")</f>
        <v>0</v>
      </c>
      <c r="U15" s="77">
        <f>+GETPIVOTDATA(" Tot # Single Rnk Old",'OLD Counts Pivot Table'!$A$3,"Category",3,"Category2","Four-Year")</f>
        <v>0</v>
      </c>
      <c r="V15" s="77">
        <f>+GETPIVOTDATA(" Tot # Single Rnk Old",'OLD Counts Pivot Table'!$A$3,"Category",4,"Category2","Four-Year")</f>
        <v>0</v>
      </c>
      <c r="W15" s="77">
        <f>+GETPIVOTDATA(" Tot # Single Rnk Old",'OLD Counts Pivot Table'!$A$3,"Category",5,"Category2","Four-Year")</f>
        <v>0</v>
      </c>
      <c r="X15" s="77">
        <f>+GETPIVOTDATA(" Tot # Single Rnk Old",'OLD Counts Pivot Table'!$A$3,"Category",6,"Category2","Four-Year")</f>
        <v>0</v>
      </c>
      <c r="Y15" s="78">
        <f>+GETPIVOTDATA(" Tot # Single Rnk Old",'OLD Counts Pivot Table'!$A$3,"Category2","Four-Year")</f>
        <v>0</v>
      </c>
      <c r="Z15" s="76">
        <f>+GETPIVOTDATA(" Tot # Single Rnk Old",'OLD Counts Pivot Table'!$A$3,"Category",7,"Category2","Group2")</f>
        <v>2359</v>
      </c>
      <c r="AA15" s="77">
        <f>+GETPIVOTDATA(" Tot # Single Rnk Old",'OLD Counts Pivot Table'!$A$3,"Category",8,"Category2","Group2")</f>
        <v>10845.3</v>
      </c>
      <c r="AB15" s="77">
        <f>+GETPIVOTDATA(" Tot # Single Rnk Old",'OLD Counts Pivot Table'!$A$3,"Category",9,"Category2","Group2")</f>
        <v>6506</v>
      </c>
      <c r="AC15" s="77">
        <f>+GETPIVOTDATA(" Tot # Single Rnk Old",'OLD Counts Pivot Table'!$A$3,"Category",10,"Category2","Group2")</f>
        <v>3070</v>
      </c>
      <c r="AD15" s="77">
        <f>+GETPIVOTDATA(" Tot # Single Rnk Old",'OLD Counts Pivot Table'!$A$3,"Category",11,"Category2","Group2")</f>
        <v>0</v>
      </c>
      <c r="AE15" s="78">
        <f>+GETPIVOTDATA(" Tot # Single Rnk Old",'OLD Counts Pivot Table'!$A$3,"Category2","Group2")</f>
        <v>22780.3</v>
      </c>
      <c r="AF15" s="76">
        <f>+GETPIVOTDATA(" Tot # Single Rnk Old",'OLD Counts Pivot Table'!$A$3,"Category",12,"Category2","Technical Institutes")</f>
        <v>2638</v>
      </c>
      <c r="AG15" s="77">
        <f>+GETPIVOTDATA(" Tot # Single Rnk Old",'OLD Counts Pivot Table'!$A$3,"Category",13,"Category2","Technical Institutes")</f>
        <v>1525</v>
      </c>
      <c r="AH15" s="76">
        <f>+GETPIVOTDATA(" Tot # Single Rnk Old",'OLD Counts Pivot Table'!$A$3,"Category2","Technical Institutes")</f>
        <v>4163</v>
      </c>
    </row>
    <row r="16" spans="1:36" s="33" customFormat="1" x14ac:dyDescent="0.25">
      <c r="A16" s="109" t="s">
        <v>223</v>
      </c>
      <c r="B16" s="110" t="s">
        <v>84</v>
      </c>
      <c r="C16" s="13">
        <f>IF(S$16&gt;0,(S16/S$16),0)</f>
        <v>1</v>
      </c>
      <c r="D16" s="11">
        <f t="shared" si="3"/>
        <v>1</v>
      </c>
      <c r="E16" s="11">
        <f t="shared" si="3"/>
        <v>1</v>
      </c>
      <c r="F16" s="11">
        <f t="shared" si="3"/>
        <v>1</v>
      </c>
      <c r="G16" s="11">
        <f t="shared" si="3"/>
        <v>1</v>
      </c>
      <c r="H16" s="41">
        <f t="shared" si="3"/>
        <v>1</v>
      </c>
      <c r="I16" s="13">
        <f t="shared" si="3"/>
        <v>1</v>
      </c>
      <c r="J16" s="13">
        <f t="shared" si="3"/>
        <v>1</v>
      </c>
      <c r="K16" s="11">
        <f t="shared" si="3"/>
        <v>1</v>
      </c>
      <c r="L16" s="11">
        <f t="shared" si="3"/>
        <v>1</v>
      </c>
      <c r="M16" s="11">
        <f t="shared" si="3"/>
        <v>1</v>
      </c>
      <c r="N16" s="13">
        <f t="shared" si="1"/>
        <v>1</v>
      </c>
      <c r="O16" s="13">
        <f t="shared" si="1"/>
        <v>1</v>
      </c>
      <c r="P16" s="11">
        <f t="shared" si="1"/>
        <v>1</v>
      </c>
      <c r="Q16" s="13">
        <f t="shared" si="2"/>
        <v>1</v>
      </c>
      <c r="R16" s="57"/>
      <c r="S16" s="79">
        <f>+GETPIVOTDATA(" All Ranks # Old",'OLD Counts Pivot Table'!$A$3,"Category",1,"Category2","Four-Year")</f>
        <v>46940</v>
      </c>
      <c r="T16" s="80">
        <f>+GETPIVOTDATA(" All Ranks # Old",'OLD Counts Pivot Table'!$A$3,"Category",2,"Category2","Four-Year")</f>
        <v>10506</v>
      </c>
      <c r="U16" s="80">
        <f>+GETPIVOTDATA(" All Ranks # Old",'OLD Counts Pivot Table'!$A$3,"Category",3,"Category2","Four-Year")</f>
        <v>27268</v>
      </c>
      <c r="V16" s="80">
        <f>+GETPIVOTDATA(" All Ranks # Old",'OLD Counts Pivot Table'!$A$3,"Category",4,"Category2","Four-Year")</f>
        <v>8659</v>
      </c>
      <c r="W16" s="80">
        <f>+GETPIVOTDATA(" All Ranks # Old",'OLD Counts Pivot Table'!$A$3,"Category",5,"Category2","Four-Year")</f>
        <v>5541</v>
      </c>
      <c r="X16" s="80">
        <f>+GETPIVOTDATA(" All Ranks # Old",'OLD Counts Pivot Table'!$A$3,"Category",6,"Category2","Four-Year")</f>
        <v>3080</v>
      </c>
      <c r="Y16" s="81">
        <f>+GETPIVOTDATA(" All Ranks # Old",'OLD Counts Pivot Table'!$A$3,"Category2","Four-Year")</f>
        <v>101994</v>
      </c>
      <c r="Z16" s="79">
        <f>+GETPIVOTDATA(" All Ranks # Old",'OLD Counts Pivot Table'!$A$3,"Category",7,"Category2","Group2")</f>
        <v>3703</v>
      </c>
      <c r="AA16" s="80">
        <f>+GETPIVOTDATA(" All Ranks # Old",'OLD Counts Pivot Table'!$A$3,"Category",8,"Category2","Group2")</f>
        <v>22243.3</v>
      </c>
      <c r="AB16" s="80">
        <f>+GETPIVOTDATA(" All Ranks # Old",'OLD Counts Pivot Table'!$A$3,"Category",9,"Category2","Group2")</f>
        <v>12601</v>
      </c>
      <c r="AC16" s="80">
        <f>+GETPIVOTDATA(" All Ranks # Old",'OLD Counts Pivot Table'!$A$3,"Category",10,"Category2","Group2")</f>
        <v>4908</v>
      </c>
      <c r="AD16" s="80">
        <f>+GETPIVOTDATA(" All Ranks # Old",'OLD Counts Pivot Table'!$A$3,"Category",11,"Category2","Group2")</f>
        <v>2226</v>
      </c>
      <c r="AE16" s="81">
        <f>+GETPIVOTDATA(" All Ranks # Old",'OLD Counts Pivot Table'!$A$3,"Category2","Group2")</f>
        <v>45681.3</v>
      </c>
      <c r="AF16" s="79">
        <f>+GETPIVOTDATA(" All Ranks # Old",'OLD Counts Pivot Table'!$A$3,"Category",12,"Category2","Technical Institutes")</f>
        <v>2849</v>
      </c>
      <c r="AG16" s="80">
        <f>+GETPIVOTDATA(" All Ranks # Old",'OLD Counts Pivot Table'!$A$3,"Category",13,"Category2","Technical Institutes")</f>
        <v>1525</v>
      </c>
      <c r="AH16" s="79">
        <f>+GETPIVOTDATA(" All Ranks # Old",'OLD Counts Pivot Table'!$A$3,"Category2","Technical Institutes")</f>
        <v>4374</v>
      </c>
      <c r="AI16" s="82"/>
      <c r="AJ16" s="82"/>
    </row>
    <row r="17" spans="1:36" x14ac:dyDescent="0.2">
      <c r="A17" s="18" t="s">
        <v>97</v>
      </c>
      <c r="B17" s="15" t="s">
        <v>99</v>
      </c>
      <c r="C17" s="16">
        <f t="shared" ref="C17:M23" si="4">IF(S$23&gt;0,(S17/S$23),0)</f>
        <v>0.31033415841584161</v>
      </c>
      <c r="D17" s="17">
        <f t="shared" si="4"/>
        <v>0.25082508250825081</v>
      </c>
      <c r="E17" s="17">
        <f t="shared" si="4"/>
        <v>0.21885087153001936</v>
      </c>
      <c r="F17" s="17">
        <f t="shared" si="4"/>
        <v>0.27570789865871831</v>
      </c>
      <c r="G17" s="17">
        <f t="shared" si="4"/>
        <v>0.25</v>
      </c>
      <c r="H17" s="39">
        <f t="shared" si="4"/>
        <v>0.2441860465116279</v>
      </c>
      <c r="I17" s="16">
        <f t="shared" si="4"/>
        <v>0.27691043549712407</v>
      </c>
      <c r="J17" s="16">
        <f t="shared" si="4"/>
        <v>0</v>
      </c>
      <c r="K17" s="17">
        <f t="shared" si="4"/>
        <v>0</v>
      </c>
      <c r="L17" s="17">
        <f t="shared" si="4"/>
        <v>0</v>
      </c>
      <c r="M17" s="17">
        <f t="shared" si="4"/>
        <v>0</v>
      </c>
      <c r="N17" s="16">
        <f t="shared" ref="N17:P23" si="5">IF(AE$23&gt;0,(AE17/AE$23),0)</f>
        <v>0</v>
      </c>
      <c r="O17" s="91">
        <f t="shared" si="5"/>
        <v>0</v>
      </c>
      <c r="P17" s="17">
        <f t="shared" si="5"/>
        <v>0</v>
      </c>
      <c r="Q17" s="91">
        <f t="shared" ref="Q17:Q23" si="6">IF(AH$23&gt;0,(AH17/AH$23),0)</f>
        <v>0</v>
      </c>
      <c r="R17" s="83"/>
      <c r="S17" s="73">
        <f>+GETPIVOTDATA(" Total # Prof Old",'OLD Counts Pivot Table'!$A$3,"State","AL","Category",1,"Category2","Four-Year")</f>
        <v>1003</v>
      </c>
      <c r="T17" s="74">
        <f>+GETPIVOTDATA(" Total # Prof Old",'OLD Counts Pivot Table'!$A$3,"State","AL","Category",2,"Category2","Four-Year")</f>
        <v>76</v>
      </c>
      <c r="U17" s="74">
        <f>+GETPIVOTDATA(" Total # Prof Old",'OLD Counts Pivot Table'!$A$3,"State","AL","Category",3,"Category2","Four-Year")</f>
        <v>339</v>
      </c>
      <c r="V17" s="74">
        <f>+GETPIVOTDATA(" Total # Prof Old",'OLD Counts Pivot Table'!$A$3,"State","AL","Category",4,"Category2","Four-Year")</f>
        <v>185</v>
      </c>
      <c r="W17" s="74">
        <f>+GETPIVOTDATA(" Total # Prof Old",'OLD Counts Pivot Table'!$A$3,"State","AL","Category",5,"Category2","Four-Year")</f>
        <v>61</v>
      </c>
      <c r="X17" s="74">
        <f>+GETPIVOTDATA(" Total # Prof Old",'OLD Counts Pivot Table'!$A$3,"State","AL","Category",6,"Category2","Four-Year")</f>
        <v>21</v>
      </c>
      <c r="Y17" s="75">
        <f>+GETPIVOTDATA(" Total # Prof Old",'OLD Counts Pivot Table'!$A$3,"State","AL","Category2","Four-Year")</f>
        <v>1685</v>
      </c>
      <c r="Z17" s="73">
        <f>+GETPIVOTDATA(" Total # Prof Old",'OLD Counts Pivot Table'!$A$3,"State","AL","Category",7,"Category2","Group2")</f>
        <v>0</v>
      </c>
      <c r="AA17" s="74">
        <f>+GETPIVOTDATA(" Total # Prof Old",'OLD Counts Pivot Table'!$A$3,"State","AL","Category",8,"Category2","Group2")</f>
        <v>0</v>
      </c>
      <c r="AB17" s="74">
        <f>+GETPIVOTDATA(" Total # Prof Old",'OLD Counts Pivot Table'!$A$3,"State","AL","Category",9,"Category2","Group2")</f>
        <v>0</v>
      </c>
      <c r="AC17" s="74">
        <f>+GETPIVOTDATA(" Total # Prof Old",'OLD Counts Pivot Table'!$A$3,"State","AL","Category",10,"Category2","Group2")</f>
        <v>0</v>
      </c>
      <c r="AD17" s="74">
        <f>+GETPIVOTDATA(" Total # Prof Old",'OLD Counts Pivot Table'!$A$3,"State","AL","Category",11,"Category2","Group2")</f>
        <v>0</v>
      </c>
      <c r="AE17" s="75">
        <f>+GETPIVOTDATA(" Total # Prof Old",'OLD Counts Pivot Table'!$A$3,"State","AL","Category2","Group2")</f>
        <v>0</v>
      </c>
      <c r="AF17" s="73">
        <f>+GETPIVOTDATA(" Total # Prof Old",'OLD Counts Pivot Table'!$A$3,"State","AL","Category",12,"Category2","Technical Institutes")</f>
        <v>0</v>
      </c>
      <c r="AG17" s="74">
        <f>+GETPIVOTDATA(" Total # Prof Old",'OLD Counts Pivot Table'!$A$3,"State","AL","Category",13,"Category2","Technical Institutes")</f>
        <v>0</v>
      </c>
      <c r="AH17" s="73">
        <f>+GETPIVOTDATA(" Total # Prof Old",'OLD Counts Pivot Table'!$A$3,"State","AR","Category2","Technical Institutes")</f>
        <v>0</v>
      </c>
    </row>
    <row r="18" spans="1:36" x14ac:dyDescent="0.2">
      <c r="A18" s="10"/>
      <c r="B18" s="18" t="s">
        <v>100</v>
      </c>
      <c r="C18" s="12">
        <f t="shared" si="4"/>
        <v>0.28341584158415839</v>
      </c>
      <c r="D18" s="14">
        <f t="shared" si="4"/>
        <v>0.29372937293729373</v>
      </c>
      <c r="E18" s="14">
        <f t="shared" si="4"/>
        <v>0.22724338282763074</v>
      </c>
      <c r="F18" s="14">
        <f t="shared" si="4"/>
        <v>0.2548435171385991</v>
      </c>
      <c r="G18" s="14">
        <f t="shared" si="4"/>
        <v>0.27049180327868855</v>
      </c>
      <c r="H18" s="40">
        <f t="shared" si="4"/>
        <v>0.23255813953488372</v>
      </c>
      <c r="I18" s="12">
        <f t="shared" si="4"/>
        <v>0.26524239934264587</v>
      </c>
      <c r="J18" s="12">
        <f t="shared" si="4"/>
        <v>0</v>
      </c>
      <c r="K18" s="14">
        <f t="shared" si="4"/>
        <v>0</v>
      </c>
      <c r="L18" s="14">
        <f t="shared" si="4"/>
        <v>0</v>
      </c>
      <c r="M18" s="14">
        <f t="shared" ref="M18:M23" si="7">IF(AC$23&gt;0,(AC18/AC$23),0)</f>
        <v>0</v>
      </c>
      <c r="N18" s="12">
        <f t="shared" si="5"/>
        <v>0</v>
      </c>
      <c r="O18" s="12">
        <f t="shared" si="5"/>
        <v>0</v>
      </c>
      <c r="P18" s="14">
        <f t="shared" si="5"/>
        <v>0</v>
      </c>
      <c r="Q18" s="12">
        <f t="shared" si="6"/>
        <v>0</v>
      </c>
      <c r="R18" s="56"/>
      <c r="S18" s="76">
        <f>+GETPIVOTDATA(" Tot # Asc. Prof Old",'OLD Counts Pivot Table'!$A$3,"State","AL","Category",1,"Category2","Four-Year")</f>
        <v>916</v>
      </c>
      <c r="T18" s="77">
        <f>+GETPIVOTDATA(" Tot # Asc. Prof Old",'OLD Counts Pivot Table'!$A$3,"State","AL","Category",2,"Category2","Four-Year")</f>
        <v>89</v>
      </c>
      <c r="U18" s="77">
        <f>+GETPIVOTDATA(" Tot # Asc. Prof Old",'OLD Counts Pivot Table'!$A$3,"State","AL","Category",3,"Category2","Four-Year")</f>
        <v>352</v>
      </c>
      <c r="V18" s="77">
        <f>+GETPIVOTDATA(" Tot # Asc. Prof Old",'OLD Counts Pivot Table'!$A$3,"State","AL","Category",4,"Category2","Four-Year")</f>
        <v>171</v>
      </c>
      <c r="W18" s="77">
        <f>+GETPIVOTDATA(" Tot # Asc. Prof Old",'OLD Counts Pivot Table'!$A$3,"State","AL","Category",5,"Category2","Four-Year")</f>
        <v>66</v>
      </c>
      <c r="X18" s="77">
        <f>+GETPIVOTDATA(" Tot # Asc. Prof Old",'OLD Counts Pivot Table'!$A$3,"State","AL","Category",6,"Category2","Four-Year")</f>
        <v>20</v>
      </c>
      <c r="Y18" s="78">
        <f>+GETPIVOTDATA(" Tot # Asc. Prof Old",'OLD Counts Pivot Table'!$A$3,"State","AL","Category2","Four-Year")</f>
        <v>1614</v>
      </c>
      <c r="Z18" s="76">
        <f>+GETPIVOTDATA(" Tot # Asc. Prof Old",'OLD Counts Pivot Table'!$A$3,"State","AL","Category",7,"Category2","Group2")</f>
        <v>0</v>
      </c>
      <c r="AA18" s="77">
        <f>+GETPIVOTDATA(" Tot # Asc. Prof Old",'OLD Counts Pivot Table'!$A$3,"State","AL","Category",8,"Category2","Group2")</f>
        <v>0</v>
      </c>
      <c r="AB18" s="77">
        <f>+GETPIVOTDATA(" Tot # Asc. Prof Old",'OLD Counts Pivot Table'!$A$3,"State","AL","Category",9,"Category2","Group2")</f>
        <v>0</v>
      </c>
      <c r="AC18" s="77">
        <f>+GETPIVOTDATA(" Tot # Asc. Prof Old",'OLD Counts Pivot Table'!$A$3,"State","AL","Category",10,"Category2","Group2")</f>
        <v>0</v>
      </c>
      <c r="AD18" s="77">
        <f>+GETPIVOTDATA(" Tot # Asc. Prof Old",'OLD Counts Pivot Table'!$A$3,"State","AL","Category",11,"Category2","Group2")</f>
        <v>0</v>
      </c>
      <c r="AE18" s="78">
        <f>+GETPIVOTDATA(" Tot # Asc. Prof Old",'OLD Counts Pivot Table'!$A$3,"State","AL","Category2","Group2")</f>
        <v>0</v>
      </c>
      <c r="AF18" s="76">
        <f>+GETPIVOTDATA(" Tot # Asc. Prof Old",'OLD Counts Pivot Table'!$A$3,"State","AL","Category",12,"Category2","Technical Institutes")</f>
        <v>0</v>
      </c>
      <c r="AG18" s="77">
        <f>+GETPIVOTDATA(" Tot # Asc. Prof Old",'OLD Counts Pivot Table'!$A$3,"State","AL","Category",13,"Category2","Technical Institutes")</f>
        <v>0</v>
      </c>
      <c r="AH18" s="76">
        <f>+GETPIVOTDATA(" Tot # Asc. Prof Old",'OLD Counts Pivot Table'!$A$3,"State","AR","Category2","Technical Institutes")</f>
        <v>0</v>
      </c>
    </row>
    <row r="19" spans="1:36" x14ac:dyDescent="0.2">
      <c r="A19" s="10"/>
      <c r="B19" s="18" t="s">
        <v>101</v>
      </c>
      <c r="C19" s="12">
        <f t="shared" si="4"/>
        <v>0.28001237623762376</v>
      </c>
      <c r="D19" s="14">
        <f t="shared" si="4"/>
        <v>0.28052805280528054</v>
      </c>
      <c r="E19" s="14">
        <f t="shared" si="4"/>
        <v>0.33053582956746286</v>
      </c>
      <c r="F19" s="14">
        <f t="shared" si="4"/>
        <v>0.33084947839046197</v>
      </c>
      <c r="G19" s="14">
        <f t="shared" si="4"/>
        <v>0.39754098360655737</v>
      </c>
      <c r="H19" s="40">
        <f t="shared" si="4"/>
        <v>0.48837209302325579</v>
      </c>
      <c r="I19" s="12">
        <f t="shared" si="4"/>
        <v>0.30616269515201316</v>
      </c>
      <c r="J19" s="12">
        <f t="shared" si="4"/>
        <v>0</v>
      </c>
      <c r="K19" s="14">
        <f t="shared" si="4"/>
        <v>0</v>
      </c>
      <c r="L19" s="14">
        <f t="shared" si="4"/>
        <v>0</v>
      </c>
      <c r="M19" s="14">
        <f t="shared" si="7"/>
        <v>0</v>
      </c>
      <c r="N19" s="12">
        <f t="shared" si="5"/>
        <v>0</v>
      </c>
      <c r="O19" s="12">
        <f t="shared" si="5"/>
        <v>0</v>
      </c>
      <c r="P19" s="14">
        <f t="shared" si="5"/>
        <v>0</v>
      </c>
      <c r="Q19" s="12">
        <f t="shared" si="6"/>
        <v>0</v>
      </c>
      <c r="R19" s="56"/>
      <c r="S19" s="76">
        <f>+GETPIVOTDATA(" Tot # Ast. Prof Old",'OLD Counts Pivot Table'!$A$3,"State","AL","Category",1,"Category2","Four-Year")</f>
        <v>905</v>
      </c>
      <c r="T19" s="77">
        <f>+GETPIVOTDATA(" Tot # Ast. Prof Old",'OLD Counts Pivot Table'!$A$3,"State","AL","Category",2,"Category2","Four-Year")</f>
        <v>85</v>
      </c>
      <c r="U19" s="77">
        <f>+GETPIVOTDATA(" Tot # Ast. Prof Old",'OLD Counts Pivot Table'!$A$3,"State","AL","Category",3,"Category2","Four-Year")</f>
        <v>512</v>
      </c>
      <c r="V19" s="77">
        <f>+GETPIVOTDATA(" Tot # Ast. Prof Old",'OLD Counts Pivot Table'!$A$3,"State","AL","Category",4,"Category2","Four-Year")</f>
        <v>222</v>
      </c>
      <c r="W19" s="77">
        <f>+GETPIVOTDATA(" Tot # Ast. Prof Old",'OLD Counts Pivot Table'!$A$3,"State","AL","Category",5,"Category2","Four-Year")</f>
        <v>97</v>
      </c>
      <c r="X19" s="77">
        <f>+GETPIVOTDATA(" Tot # Ast. Prof Old",'OLD Counts Pivot Table'!$A$3,"State","AL","Category",6,"Category2","Four-Year")</f>
        <v>42</v>
      </c>
      <c r="Y19" s="78">
        <f>+GETPIVOTDATA(" Tot # Ast. Prof Old",'OLD Counts Pivot Table'!$A$3,"State","AL","Category2","Four-Year")</f>
        <v>1863</v>
      </c>
      <c r="Z19" s="76">
        <f>+GETPIVOTDATA(" Tot # Ast. Prof Old",'OLD Counts Pivot Table'!$A$3,"State","AL","Category",7,"Category2","Group2")</f>
        <v>0</v>
      </c>
      <c r="AA19" s="77">
        <f>+GETPIVOTDATA(" Tot # Ast. Prof Old",'OLD Counts Pivot Table'!$A$3,"State","AL","Category",8,"Category2","Group2")</f>
        <v>0</v>
      </c>
      <c r="AB19" s="77">
        <f>+GETPIVOTDATA(" Tot # Ast. Prof Old",'OLD Counts Pivot Table'!$A$3,"State","AL","Category",9,"Category2","Group2")</f>
        <v>0</v>
      </c>
      <c r="AC19" s="77">
        <f>+GETPIVOTDATA(" Tot # Ast. Prof Old",'OLD Counts Pivot Table'!$A$3,"State","AL","Category",10,"Category2","Group2")</f>
        <v>0</v>
      </c>
      <c r="AD19" s="77">
        <f>+GETPIVOTDATA(" Tot # Ast. Prof Old",'OLD Counts Pivot Table'!$A$3,"State","AL","Category",11,"Category2","Group2")</f>
        <v>0</v>
      </c>
      <c r="AE19" s="78">
        <f>+GETPIVOTDATA(" Tot # Ast. Prof Old",'OLD Counts Pivot Table'!$A$3,"State","AL","Category2","Group2")</f>
        <v>0</v>
      </c>
      <c r="AF19" s="76">
        <f>+GETPIVOTDATA(" Tot # Ast. Prof Old",'OLD Counts Pivot Table'!$A$3,"State","AL","Category",12,"Category2","Technical Institutes")</f>
        <v>0</v>
      </c>
      <c r="AG19" s="77">
        <f>+GETPIVOTDATA(" Tot # Ast. Prof Old",'OLD Counts Pivot Table'!$A$3,"State","AL","Category",13,"Category2","Technical Institutes")</f>
        <v>0</v>
      </c>
      <c r="AH19" s="76">
        <f>+GETPIVOTDATA(" Tot # Ast. Prof Old",'OLD Counts Pivot Table'!$A$3,"State","AR","Category2","Technical Institutes")</f>
        <v>0</v>
      </c>
    </row>
    <row r="20" spans="1:36" x14ac:dyDescent="0.2">
      <c r="A20" s="10"/>
      <c r="B20" s="18" t="s">
        <v>102</v>
      </c>
      <c r="C20" s="12">
        <f t="shared" si="4"/>
        <v>0.11819306930693069</v>
      </c>
      <c r="D20" s="14">
        <f t="shared" si="4"/>
        <v>4.2904290429042903E-2</v>
      </c>
      <c r="E20" s="14">
        <f t="shared" si="4"/>
        <v>0.17817947062621045</v>
      </c>
      <c r="F20" s="14">
        <f t="shared" si="4"/>
        <v>0.13561847988077497</v>
      </c>
      <c r="G20" s="14">
        <f t="shared" si="4"/>
        <v>4.9180327868852458E-2</v>
      </c>
      <c r="H20" s="40">
        <f t="shared" si="4"/>
        <v>3.4883720930232558E-2</v>
      </c>
      <c r="I20" s="12">
        <f t="shared" si="4"/>
        <v>0.12769104354971242</v>
      </c>
      <c r="J20" s="12">
        <f t="shared" si="4"/>
        <v>0</v>
      </c>
      <c r="K20" s="14">
        <f t="shared" si="4"/>
        <v>0</v>
      </c>
      <c r="L20" s="14">
        <f t="shared" si="4"/>
        <v>0</v>
      </c>
      <c r="M20" s="14">
        <f t="shared" si="7"/>
        <v>0</v>
      </c>
      <c r="N20" s="12">
        <f t="shared" si="5"/>
        <v>0</v>
      </c>
      <c r="O20" s="12">
        <f t="shared" si="5"/>
        <v>0</v>
      </c>
      <c r="P20" s="14">
        <f t="shared" si="5"/>
        <v>0</v>
      </c>
      <c r="Q20" s="12">
        <f t="shared" si="6"/>
        <v>0</v>
      </c>
      <c r="R20" s="56"/>
      <c r="S20" s="76">
        <f>+GETPIVOTDATA(" Tot # Instr. Old",'OLD Counts Pivot Table'!$A$3,"State","AL","Category",1,"Category2","Four-Year")</f>
        <v>382</v>
      </c>
      <c r="T20" s="77">
        <f>+GETPIVOTDATA(" Tot # Instr. Old",'OLD Counts Pivot Table'!$A$3,"State","AL","Category",2,"Category2","Four-Year")</f>
        <v>13</v>
      </c>
      <c r="U20" s="77">
        <f>+GETPIVOTDATA(" Tot # Instr. Old",'OLD Counts Pivot Table'!$A$3,"State","AL","Category",3,"Category2","Four-Year")</f>
        <v>276</v>
      </c>
      <c r="V20" s="77">
        <f>+GETPIVOTDATA(" Tot # Instr. Old",'OLD Counts Pivot Table'!$A$3,"State","AL","Category",4,"Category2","Four-Year")</f>
        <v>91</v>
      </c>
      <c r="W20" s="77">
        <f>+GETPIVOTDATA(" Tot # Instr. Old",'OLD Counts Pivot Table'!$A$3,"State","AL","Category",5,"Category2","Four-Year")</f>
        <v>12</v>
      </c>
      <c r="X20" s="77">
        <f>+GETPIVOTDATA(" Tot # Instr. Old",'OLD Counts Pivot Table'!$A$3,"State","AL","Category",6,"Category2","Four-Year")</f>
        <v>3</v>
      </c>
      <c r="Y20" s="78">
        <f>+GETPIVOTDATA(" Tot # Instr. Old",'OLD Counts Pivot Table'!$A$3,"State","AL","Category2","Four-Year")</f>
        <v>777</v>
      </c>
      <c r="Z20" s="76">
        <f>+GETPIVOTDATA(" Tot # Instr. Old",'OLD Counts Pivot Table'!$A$3,"State","AL","Category",7,"Category2","Group2")</f>
        <v>0</v>
      </c>
      <c r="AA20" s="77">
        <f>+GETPIVOTDATA(" Tot # Instr. Old",'OLD Counts Pivot Table'!$A$3,"State","AL","Category",8,"Category2","Group2")</f>
        <v>0</v>
      </c>
      <c r="AB20" s="77">
        <f>+GETPIVOTDATA(" Tot # Instr. Old",'OLD Counts Pivot Table'!$A$3,"State","AL","Category",9,"Category2","Group2")</f>
        <v>0</v>
      </c>
      <c r="AC20" s="77">
        <f>+GETPIVOTDATA(" Tot # Instr. Old",'OLD Counts Pivot Table'!$A$3,"State","AL","Category",10,"Category2","Group2")</f>
        <v>0</v>
      </c>
      <c r="AD20" s="77">
        <f>+GETPIVOTDATA(" Tot # Instr. Old",'OLD Counts Pivot Table'!$A$3,"State","AL","Category",11,"Category2","Group2")</f>
        <v>0</v>
      </c>
      <c r="AE20" s="78">
        <f>+GETPIVOTDATA(" Tot # Instr. Old",'OLD Counts Pivot Table'!$A$3,"State","AL","Category2","Group2")</f>
        <v>0</v>
      </c>
      <c r="AF20" s="76">
        <f>+GETPIVOTDATA(" Tot # Instr. Old",'OLD Counts Pivot Table'!$A$3,"State","AL","Category",12,"Category2","Technical Institutes")</f>
        <v>0</v>
      </c>
      <c r="AG20" s="77">
        <f>+GETPIVOTDATA(" Tot # Instr. Old",'OLD Counts Pivot Table'!$A$3,"State","AL","Category",13,"Category2","Technical Institutes")</f>
        <v>0</v>
      </c>
      <c r="AH20" s="76">
        <f>+GETPIVOTDATA(" Tot # Instr. Old",'OLD Counts Pivot Table'!$A$3,"State","AR","Category2","Technical Institutes")</f>
        <v>0</v>
      </c>
    </row>
    <row r="21" spans="1:36" x14ac:dyDescent="0.2">
      <c r="A21" s="10"/>
      <c r="B21" s="18" t="s">
        <v>83</v>
      </c>
      <c r="C21" s="12">
        <f t="shared" si="4"/>
        <v>8.0445544554455448E-3</v>
      </c>
      <c r="D21" s="14">
        <f t="shared" si="4"/>
        <v>0.132013201320132</v>
      </c>
      <c r="E21" s="14">
        <f t="shared" si="4"/>
        <v>4.5190445448676564E-2</v>
      </c>
      <c r="F21" s="153">
        <f t="shared" si="4"/>
        <v>2.9806259314456036E-3</v>
      </c>
      <c r="G21" s="14">
        <f t="shared" si="4"/>
        <v>3.2786885245901641E-2</v>
      </c>
      <c r="H21" s="40">
        <f t="shared" si="4"/>
        <v>0</v>
      </c>
      <c r="I21" s="12">
        <f t="shared" si="4"/>
        <v>2.3993426458504521E-2</v>
      </c>
      <c r="J21" s="12">
        <f t="shared" si="4"/>
        <v>0</v>
      </c>
      <c r="K21" s="14">
        <f t="shared" si="4"/>
        <v>0</v>
      </c>
      <c r="L21" s="14">
        <f t="shared" si="4"/>
        <v>0</v>
      </c>
      <c r="M21" s="14">
        <f t="shared" si="7"/>
        <v>0</v>
      </c>
      <c r="N21" s="12">
        <f t="shared" si="5"/>
        <v>0</v>
      </c>
      <c r="O21" s="12">
        <f t="shared" si="5"/>
        <v>0</v>
      </c>
      <c r="P21" s="14">
        <f t="shared" si="5"/>
        <v>0</v>
      </c>
      <c r="Q21" s="12">
        <f t="shared" si="6"/>
        <v>0</v>
      </c>
      <c r="R21" s="56"/>
      <c r="S21" s="76">
        <f>++GETPIVOTDATA(" Tot # Undes. Old",'OLD Counts Pivot Table'!$A$3,"State","AL","Category",1,"Category2","Four-Year")</f>
        <v>26</v>
      </c>
      <c r="T21" s="77">
        <f>+GETPIVOTDATA(" Tot # Undes. Old",'OLD Counts Pivot Table'!$A$3,"State","AL","Category",2,"Category2","Four-Year")</f>
        <v>40</v>
      </c>
      <c r="U21" s="77">
        <f>+GETPIVOTDATA(" Tot # Undes. Old",'OLD Counts Pivot Table'!$A$3,"State","AL","Category",3,"Category2","Four-Year")</f>
        <v>70</v>
      </c>
      <c r="V21" s="77">
        <f>+GETPIVOTDATA(" Tot # Undes. Old",'OLD Counts Pivot Table'!$A$3,"State","AL","Category",4,"Category2","Four-Year")</f>
        <v>2</v>
      </c>
      <c r="W21" s="77">
        <f>+GETPIVOTDATA(" Tot # Undes. Old",'OLD Counts Pivot Table'!$A$3,"State","AL","Category",5,"Category2","Four-Year")</f>
        <v>8</v>
      </c>
      <c r="X21" s="77">
        <f>+GETPIVOTDATA(" Tot # Undes. Old",'OLD Counts Pivot Table'!$A$3,"State","AL","Category",6,"Category2","Four-Year")</f>
        <v>0</v>
      </c>
      <c r="Y21" s="78">
        <f>+GETPIVOTDATA(" Tot # Undes. Old",'OLD Counts Pivot Table'!$A$3,"State","AL","Category2","Four-Year")</f>
        <v>146</v>
      </c>
      <c r="Z21" s="76">
        <f>+GETPIVOTDATA(" Tot # Undes. Old",'OLD Counts Pivot Table'!$A$3,"State","AL","Category",7,"Category2","Group2")</f>
        <v>0</v>
      </c>
      <c r="AA21" s="77">
        <f>+GETPIVOTDATA(" Tot # Undes. Old",'OLD Counts Pivot Table'!$A$3,"State","AL","Category",8,"Category2","Group2")</f>
        <v>0</v>
      </c>
      <c r="AB21" s="77">
        <f>+GETPIVOTDATA(" Tot # Undes. Old",'OLD Counts Pivot Table'!$A$3,"State","AL","Category",9,"Category2","Group2")</f>
        <v>0</v>
      </c>
      <c r="AC21" s="77">
        <f>+GETPIVOTDATA(" Tot # Undes. Old",'OLD Counts Pivot Table'!$A$3,"State","AL","Category",10,"Category2","Group2")</f>
        <v>0</v>
      </c>
      <c r="AD21" s="77">
        <f>+GETPIVOTDATA(" Tot # Undes. Old",'OLD Counts Pivot Table'!$A$3,"State","AL","Category",11,"Category2","Group2")</f>
        <v>0</v>
      </c>
      <c r="AE21" s="78">
        <f>+GETPIVOTDATA(" Tot # Undes. Old",'OLD Counts Pivot Table'!$A$3,"State","AL","Category2","Group2")</f>
        <v>0</v>
      </c>
      <c r="AF21" s="76">
        <f>+GETPIVOTDATA(" Tot # Undes. Old",'OLD Counts Pivot Table'!$A$3,"State","AL","Category",12,"Category2","Technical Institutes")</f>
        <v>0</v>
      </c>
      <c r="AG21" s="77">
        <f>+GETPIVOTDATA(" Tot # Undes. Old",'OLD Counts Pivot Table'!$A$3,"State","AL","Category",13,"Category2","Technical Institutes")</f>
        <v>0</v>
      </c>
      <c r="AH21" s="76">
        <f>+GETPIVOTDATA(" Tot # Undes. Old",'OLD Counts Pivot Table'!$A$3,"State","AR","Category2","Technical Institutes")</f>
        <v>0</v>
      </c>
    </row>
    <row r="22" spans="1:36" x14ac:dyDescent="0.2">
      <c r="A22" s="10"/>
      <c r="B22" s="18" t="s">
        <v>82</v>
      </c>
      <c r="C22" s="12">
        <f t="shared" si="4"/>
        <v>0</v>
      </c>
      <c r="D22" s="14">
        <f t="shared" si="4"/>
        <v>0</v>
      </c>
      <c r="E22" s="103">
        <f t="shared" si="4"/>
        <v>0</v>
      </c>
      <c r="F22" s="14">
        <f t="shared" si="4"/>
        <v>0</v>
      </c>
      <c r="G22" s="153">
        <f t="shared" si="4"/>
        <v>0</v>
      </c>
      <c r="H22" s="40">
        <f t="shared" si="4"/>
        <v>0</v>
      </c>
      <c r="I22" s="102">
        <f t="shared" si="4"/>
        <v>0</v>
      </c>
      <c r="J22" s="12">
        <f t="shared" si="4"/>
        <v>0</v>
      </c>
      <c r="K22" s="14">
        <f t="shared" si="4"/>
        <v>1</v>
      </c>
      <c r="L22" s="14">
        <f t="shared" si="4"/>
        <v>1</v>
      </c>
      <c r="M22" s="14">
        <f t="shared" si="7"/>
        <v>1</v>
      </c>
      <c r="N22" s="12">
        <f t="shared" si="5"/>
        <v>1</v>
      </c>
      <c r="O22" s="12">
        <f t="shared" si="5"/>
        <v>1</v>
      </c>
      <c r="P22" s="14">
        <f t="shared" si="5"/>
        <v>1</v>
      </c>
      <c r="Q22" s="12">
        <f t="shared" si="6"/>
        <v>0</v>
      </c>
      <c r="R22" s="56"/>
      <c r="S22" s="76">
        <f>+GETPIVOTDATA(" Tot # Single Rnk Old",'OLD Counts Pivot Table'!$A$3,"State","AL","Category",1,"Category2","Four-Year")</f>
        <v>0</v>
      </c>
      <c r="T22" s="77">
        <f>+GETPIVOTDATA(" Tot # Single Rnk Old",'OLD Counts Pivot Table'!$A$3,"State","AL","Category",2,"Category2","Four-Year")</f>
        <v>0</v>
      </c>
      <c r="U22" s="77">
        <f>+GETPIVOTDATA(" Tot # Single Rnk Old",'OLD Counts Pivot Table'!$A$3,"State","AL","Category",3,"Category2","Four-Year")</f>
        <v>0</v>
      </c>
      <c r="V22" s="77">
        <f>+GETPIVOTDATA(" Tot # Single Rnk Old",'OLD Counts Pivot Table'!$A$3,"State","AL","Category",4,"Category2","Four-Year")</f>
        <v>0</v>
      </c>
      <c r="W22" s="77">
        <f>+GETPIVOTDATA(" Tot # Single Rnk Old",'OLD Counts Pivot Table'!$A$3,"State","AL","Category",5,"Category2","Four-Year")</f>
        <v>0</v>
      </c>
      <c r="X22" s="77">
        <f>+GETPIVOTDATA(" Tot # Single Rnk Old",'OLD Counts Pivot Table'!$A$3,"State","AL","Category",6,"Category2","Four-Year")</f>
        <v>0</v>
      </c>
      <c r="Y22" s="78">
        <f>+GETPIVOTDATA(" Tot # Single Rnk Old",'OLD Counts Pivot Table'!$A$3,"State","AL","Category2","Four-Year")</f>
        <v>0</v>
      </c>
      <c r="Z22" s="76">
        <f>+GETPIVOTDATA(" Tot # Single Rnk Old",'OLD Counts Pivot Table'!$A$3,"State","AL","Category",7,"Category2","Group2")</f>
        <v>0</v>
      </c>
      <c r="AA22" s="77">
        <f>+GETPIVOTDATA(" Tot # Single Rnk Old",'OLD Counts Pivot Table'!$A$3,"State","AL","Category",8,"Category2","Group2")</f>
        <v>561</v>
      </c>
      <c r="AB22" s="77">
        <f>+GETPIVOTDATA(" Tot # Single Rnk Old",'OLD Counts Pivot Table'!$A$3,"State","AL","Category",9,"Category2","Group2")</f>
        <v>941</v>
      </c>
      <c r="AC22" s="77">
        <f>+GETPIVOTDATA(" Tot # Single Rnk Old",'OLD Counts Pivot Table'!$A$3,"State","AL","Category",10,"Category2","Group2")</f>
        <v>271</v>
      </c>
      <c r="AD22" s="77">
        <f>+GETPIVOTDATA(" Tot # Single Rnk Old",'OLD Counts Pivot Table'!$A$3,"State","AL","Category",11,"Category2","Group2")</f>
        <v>0</v>
      </c>
      <c r="AE22" s="78">
        <f>+GETPIVOTDATA(" Tot # Single Rnk Old",'OLD Counts Pivot Table'!$A$3,"State","AL","Category2","Group2")</f>
        <v>1773</v>
      </c>
      <c r="AF22" s="76">
        <f>+GETPIVOTDATA(" Tot # Single Rnk Old",'OLD Counts Pivot Table'!$A$3,"State","AL","Category",12,"Category2","Technical Institutes")</f>
        <v>76</v>
      </c>
      <c r="AG22" s="77">
        <f>+GETPIVOTDATA(" Tot # Single Rnk Old",'OLD Counts Pivot Table'!$A$3,"State","AL","Category",13,"Category2","Technical Institutes")</f>
        <v>85</v>
      </c>
      <c r="AH22" s="76">
        <f>+GETPIVOTDATA(" Tot # Single Rnk Old",'OLD Counts Pivot Table'!$A$3,"State","AR","Category2","Technical Institutes")</f>
        <v>0</v>
      </c>
    </row>
    <row r="23" spans="1:36" s="33" customFormat="1" x14ac:dyDescent="0.25">
      <c r="A23" s="109"/>
      <c r="B23" s="110" t="s">
        <v>84</v>
      </c>
      <c r="C23" s="13">
        <f t="shared" si="4"/>
        <v>1</v>
      </c>
      <c r="D23" s="11">
        <f t="shared" si="4"/>
        <v>1</v>
      </c>
      <c r="E23" s="11">
        <f t="shared" si="4"/>
        <v>1</v>
      </c>
      <c r="F23" s="11">
        <f t="shared" si="4"/>
        <v>1</v>
      </c>
      <c r="G23" s="11">
        <f t="shared" si="4"/>
        <v>1</v>
      </c>
      <c r="H23" s="41">
        <f t="shared" si="4"/>
        <v>1</v>
      </c>
      <c r="I23" s="13">
        <f t="shared" si="4"/>
        <v>1</v>
      </c>
      <c r="J23" s="13">
        <f t="shared" si="4"/>
        <v>0</v>
      </c>
      <c r="K23" s="11">
        <f t="shared" si="4"/>
        <v>1</v>
      </c>
      <c r="L23" s="11">
        <f t="shared" si="4"/>
        <v>1</v>
      </c>
      <c r="M23" s="11">
        <f t="shared" si="7"/>
        <v>1</v>
      </c>
      <c r="N23" s="13">
        <f t="shared" si="5"/>
        <v>1</v>
      </c>
      <c r="O23" s="13">
        <f t="shared" si="5"/>
        <v>1</v>
      </c>
      <c r="P23" s="11">
        <f t="shared" si="5"/>
        <v>1</v>
      </c>
      <c r="Q23" s="13">
        <f t="shared" si="6"/>
        <v>0</v>
      </c>
      <c r="R23" s="57"/>
      <c r="S23" s="79">
        <f>+GETPIVOTDATA(" All Ranks # Old",'OLD Counts Pivot Table'!$A$3,"State","AL","Category",1,"Category2","Four-Year")</f>
        <v>3232</v>
      </c>
      <c r="T23" s="80">
        <f>+GETPIVOTDATA(" All Ranks # Old",'OLD Counts Pivot Table'!$A$3,"State","AL","Category",2,"Category2","Four-Year")</f>
        <v>303</v>
      </c>
      <c r="U23" s="80">
        <f>+GETPIVOTDATA(" All Ranks # Old",'OLD Counts Pivot Table'!$A$3,"State","AL","Category",3,"Category2","Four-Year")</f>
        <v>1549</v>
      </c>
      <c r="V23" s="80">
        <f>+GETPIVOTDATA(" All Ranks # Old",'OLD Counts Pivot Table'!$A$3,"State","AL","Category",4,"Category2","Four-Year")</f>
        <v>671</v>
      </c>
      <c r="W23" s="80">
        <f>+GETPIVOTDATA(" All Ranks # Old",'OLD Counts Pivot Table'!$A$3,"State","AL","Category",5,"Category2","Four-Year")</f>
        <v>244</v>
      </c>
      <c r="X23" s="80">
        <f>+GETPIVOTDATA(" All Ranks # Old",'OLD Counts Pivot Table'!$A$3,"State","AL","Category",6,"Category2","Four-Year")</f>
        <v>86</v>
      </c>
      <c r="Y23" s="81">
        <f>+GETPIVOTDATA(" All Ranks # Old",'OLD Counts Pivot Table'!$A$3,"State","AL","Category2","Four-Year")</f>
        <v>6085</v>
      </c>
      <c r="Z23" s="79">
        <f>+GETPIVOTDATA(" All Ranks # Old",'OLD Counts Pivot Table'!$A$3,"State","AL","Category",7,"Category2","Group2")</f>
        <v>0</v>
      </c>
      <c r="AA23" s="80">
        <f>+GETPIVOTDATA(" All Ranks # Old",'OLD Counts Pivot Table'!$A$3,"State","AL","Category",8,"Category2","Group2")</f>
        <v>561</v>
      </c>
      <c r="AB23" s="80">
        <f>+GETPIVOTDATA(" All Ranks # Old",'OLD Counts Pivot Table'!$A$3,"State","AL","Category",9,"Category2","Group2")</f>
        <v>941</v>
      </c>
      <c r="AC23" s="80">
        <f>+GETPIVOTDATA(" All Ranks # Old",'OLD Counts Pivot Table'!$A$3,"State","AL","Category",10,"Category2","Group2")</f>
        <v>271</v>
      </c>
      <c r="AD23" s="80">
        <f>+GETPIVOTDATA(" All Ranks # Old",'OLD Counts Pivot Table'!$A$3,"State","AL","Category",11,"Category2","Group2")</f>
        <v>0</v>
      </c>
      <c r="AE23" s="81">
        <f>+GETPIVOTDATA(" All Ranks # Old",'OLD Counts Pivot Table'!$A$3,"State","AL","Category2","Group2")</f>
        <v>1773</v>
      </c>
      <c r="AF23" s="79">
        <f>+GETPIVOTDATA(" All Ranks # Old",'OLD Counts Pivot Table'!$A$3,"State","AL","Category",12,"Category2","Technical Institutes")</f>
        <v>76</v>
      </c>
      <c r="AG23" s="80">
        <f>+GETPIVOTDATA(" All Ranks # Old",'OLD Counts Pivot Table'!$A$3,"State","AL","Category",13,"Category2","Technical Institutes")</f>
        <v>85</v>
      </c>
      <c r="AH23" s="79">
        <f>+GETPIVOTDATA(" All Ranks # Old",'OLD Counts Pivot Table'!$A$3,"State","AR","Category2","Technical Institutes")</f>
        <v>0</v>
      </c>
      <c r="AI23" s="82"/>
      <c r="AJ23" s="82"/>
    </row>
    <row r="24" spans="1:36" x14ac:dyDescent="0.2">
      <c r="A24" s="18" t="s">
        <v>105</v>
      </c>
      <c r="B24" s="15" t="s">
        <v>99</v>
      </c>
      <c r="C24" s="16">
        <f t="shared" ref="C24:M24" si="8">IF(S$30&gt;0,(S24/S$30),0)</f>
        <v>0.37710084033613445</v>
      </c>
      <c r="D24" s="17">
        <f t="shared" si="8"/>
        <v>0</v>
      </c>
      <c r="E24" s="17">
        <f t="shared" si="8"/>
        <v>0.22938829787234041</v>
      </c>
      <c r="F24" s="17">
        <f t="shared" si="8"/>
        <v>0.21231766612641814</v>
      </c>
      <c r="G24" s="17">
        <f t="shared" si="8"/>
        <v>0.13245033112582782</v>
      </c>
      <c r="H24" s="39">
        <f t="shared" si="8"/>
        <v>0.10353535353535354</v>
      </c>
      <c r="I24" s="16">
        <f t="shared" si="8"/>
        <v>0.24751381215469614</v>
      </c>
      <c r="J24" s="16">
        <f t="shared" si="8"/>
        <v>0</v>
      </c>
      <c r="K24" s="17">
        <f t="shared" si="8"/>
        <v>0</v>
      </c>
      <c r="L24" s="17">
        <f t="shared" si="8"/>
        <v>2.358490566037736E-2</v>
      </c>
      <c r="M24" s="17">
        <f t="shared" si="8"/>
        <v>0</v>
      </c>
      <c r="N24" s="91">
        <f t="shared" ref="N24:P30" si="9">IF(AE$30&gt;0,(AE24/AE$30),0)</f>
        <v>3.5063113604488078E-3</v>
      </c>
      <c r="O24" s="91">
        <f t="shared" si="9"/>
        <v>0</v>
      </c>
      <c r="P24" s="17">
        <f t="shared" si="9"/>
        <v>0</v>
      </c>
      <c r="Q24" s="91">
        <f t="shared" ref="Q24:Q30" si="10">IF(AH$30&gt;0,(AH24/AH$30),0)</f>
        <v>0</v>
      </c>
      <c r="R24" s="83"/>
      <c r="S24" s="73">
        <f>+GETPIVOTDATA(" Total # Prof Old",'OLD Counts Pivot Table'!$A$3,"State","AR","Category",1,"Category2","Four-Year")</f>
        <v>359</v>
      </c>
      <c r="T24" s="74">
        <f>+GETPIVOTDATA(" Total # Prof Old",'OLD Counts Pivot Table'!$A$3,"State","AR","Category",2,"Category2","Four-Year")</f>
        <v>0</v>
      </c>
      <c r="U24" s="74">
        <f>+GETPIVOTDATA(" Total # Prof Old",'OLD Counts Pivot Table'!$A$3,"State","AR","Category",3,"Category2","Four-Year")</f>
        <v>345</v>
      </c>
      <c r="V24" s="74">
        <f>+GETPIVOTDATA(" Total # Prof Old",'OLD Counts Pivot Table'!$A$3,"State","AR","Category",4,"Category2","Four-Year")</f>
        <v>131</v>
      </c>
      <c r="W24" s="74">
        <f>+GETPIVOTDATA(" Total # Prof Old",'OLD Counts Pivot Table'!$A$3,"State","AR","Category",5,"Category2","Four-Year")</f>
        <v>20</v>
      </c>
      <c r="X24" s="74">
        <f>+GETPIVOTDATA(" Total # Prof Old",'OLD Counts Pivot Table'!$A$3,"State","AR","Category",6,"Category2","Four-Year")</f>
        <v>41</v>
      </c>
      <c r="Y24" s="75">
        <f>+GETPIVOTDATA(" Total # Prof Old",'OLD Counts Pivot Table'!$A$3,"State","AR","Category2","Four-Year")</f>
        <v>896</v>
      </c>
      <c r="Z24" s="73">
        <f>+GETPIVOTDATA(" Total # Prof Old",'OLD Counts Pivot Table'!$A$3,"State","AR","Category",7,"Category2","Group2")</f>
        <v>0</v>
      </c>
      <c r="AA24" s="74">
        <f>+GETPIVOTDATA(" Total # Prof Old",'OLD Counts Pivot Table'!$A$3,"State","AR","Category",8,"Category2","Group2")</f>
        <v>0</v>
      </c>
      <c r="AB24" s="74">
        <f>+GETPIVOTDATA(" Total # Prof Old",'OLD Counts Pivot Table'!$A$3,"State","AR","Category",9,"Category2","Group2")</f>
        <v>5</v>
      </c>
      <c r="AC24" s="74">
        <f>+GETPIVOTDATA(" Total # Prof Old",'OLD Counts Pivot Table'!$A$3,"State","AR","Category",10,"Category2","Group2")</f>
        <v>0</v>
      </c>
      <c r="AD24" s="74">
        <f>+GETPIVOTDATA(" Total # Prof Old",'OLD Counts Pivot Table'!$A$3,"State","AR","Category",11,"Category2","Group2")</f>
        <v>0</v>
      </c>
      <c r="AE24" s="75">
        <f>+GETPIVOTDATA(" Total # Prof Old",'OLD Counts Pivot Table'!$A$3,"State","AR","Category2","Group2")</f>
        <v>5</v>
      </c>
      <c r="AF24" s="73">
        <f>+GETPIVOTDATA(" Total # Prof Old",'OLD Counts Pivot Table'!$A$3,"State","AR","Category",12,"Category2","Technical Institutes")</f>
        <v>0</v>
      </c>
      <c r="AG24" s="74">
        <f>+GETPIVOTDATA(" Total # Prof Old",'OLD Counts Pivot Table'!$A$3,"State","AR","Category",13,"Category2","Technical Institutes")</f>
        <v>0</v>
      </c>
      <c r="AH24" s="73">
        <f>+GETPIVOTDATA(" Total # Prof Old",'OLD Counts Pivot Table'!$A$3,"State","AR","Category2","Technical Institutes")</f>
        <v>0</v>
      </c>
    </row>
    <row r="25" spans="1:36" x14ac:dyDescent="0.2">
      <c r="A25" s="10"/>
      <c r="B25" s="18" t="s">
        <v>100</v>
      </c>
      <c r="C25" s="12">
        <f t="shared" ref="C25:L30" si="11">IF(S$30&gt;0,(S25/S$30),0)</f>
        <v>0.22899159663865545</v>
      </c>
      <c r="D25" s="14">
        <f t="shared" si="11"/>
        <v>0</v>
      </c>
      <c r="E25" s="14">
        <f t="shared" si="11"/>
        <v>0.24468085106382978</v>
      </c>
      <c r="F25" s="14">
        <f t="shared" si="11"/>
        <v>0.23662884927066449</v>
      </c>
      <c r="G25" s="14">
        <f t="shared" si="11"/>
        <v>0.19867549668874171</v>
      </c>
      <c r="H25" s="40">
        <f t="shared" si="11"/>
        <v>0.20707070707070707</v>
      </c>
      <c r="I25" s="12">
        <f t="shared" si="11"/>
        <v>0.23314917127071824</v>
      </c>
      <c r="J25" s="12">
        <f t="shared" si="11"/>
        <v>0</v>
      </c>
      <c r="K25" s="14">
        <f t="shared" si="11"/>
        <v>0</v>
      </c>
      <c r="L25" s="14">
        <f t="shared" si="11"/>
        <v>4.2452830188679243E-2</v>
      </c>
      <c r="M25" s="14">
        <f t="shared" ref="M25:M30" si="12">IF(AC$30&gt;0,(AC25/AC$30),0)</f>
        <v>0</v>
      </c>
      <c r="N25" s="12">
        <f t="shared" si="9"/>
        <v>6.311360448807854E-3</v>
      </c>
      <c r="O25" s="12">
        <f t="shared" si="9"/>
        <v>0</v>
      </c>
      <c r="P25" s="14">
        <f t="shared" si="9"/>
        <v>0</v>
      </c>
      <c r="Q25" s="12">
        <f t="shared" si="10"/>
        <v>0</v>
      </c>
      <c r="R25" s="56"/>
      <c r="S25" s="76">
        <f>+GETPIVOTDATA(" Tot # Asc. Prof Old",'OLD Counts Pivot Table'!$A$3,"State","AR","Category",1,"Category2","Four-Year")</f>
        <v>218</v>
      </c>
      <c r="T25" s="77">
        <f>+GETPIVOTDATA(" Tot # Asc. Prof Old",'OLD Counts Pivot Table'!$A$3,"State","AR","Category",2,"Category2","Four-Year")</f>
        <v>0</v>
      </c>
      <c r="U25" s="77">
        <f>+GETPIVOTDATA(" Tot # Asc. Prof Old",'OLD Counts Pivot Table'!$A$3,"State","AR","Category",3,"Category2","Four-Year")</f>
        <v>368</v>
      </c>
      <c r="V25" s="77">
        <f>+GETPIVOTDATA(" Tot # Asc. Prof Old",'OLD Counts Pivot Table'!$A$3,"State","AR","Category",4,"Category2","Four-Year")</f>
        <v>146</v>
      </c>
      <c r="W25" s="77">
        <f>+GETPIVOTDATA(" Tot # Asc. Prof Old",'OLD Counts Pivot Table'!$A$3,"State","AR","Category",5,"Category2","Four-Year")</f>
        <v>30</v>
      </c>
      <c r="X25" s="77">
        <f>+GETPIVOTDATA(" Tot # Asc. Prof Old",'OLD Counts Pivot Table'!$A$3,"State","AR","Category",6,"Category2","Four-Year")</f>
        <v>82</v>
      </c>
      <c r="Y25" s="78">
        <f>+GETPIVOTDATA(" Tot # Asc. Prof Old",'OLD Counts Pivot Table'!$A$3,"State","AR","Category2","Four-Year")</f>
        <v>844</v>
      </c>
      <c r="Z25" s="76">
        <f>+GETPIVOTDATA(" Tot # Asc. Prof Old",'OLD Counts Pivot Table'!$A$3,"State","AR","Category",7,"Category2","Group2")</f>
        <v>0</v>
      </c>
      <c r="AA25" s="77">
        <f>+GETPIVOTDATA(" Tot # Asc. Prof Old",'OLD Counts Pivot Table'!$A$3,"State","AR","Category",8,"Category2","Group2")</f>
        <v>0</v>
      </c>
      <c r="AB25" s="77">
        <f>+GETPIVOTDATA(" Tot # Asc. Prof Old",'OLD Counts Pivot Table'!$A$3,"State","AR","Category",9,"Category2","Group2")</f>
        <v>9</v>
      </c>
      <c r="AC25" s="77">
        <f>+GETPIVOTDATA(" Tot # Asc. Prof Old",'OLD Counts Pivot Table'!$A$3,"State","AR","Category",10,"Category2","Group2")</f>
        <v>0</v>
      </c>
      <c r="AD25" s="77">
        <f>+GETPIVOTDATA(" Tot # Asc. Prof Old",'OLD Counts Pivot Table'!$A$3,"State","AR","Category",11,"Category2","Group2")</f>
        <v>0</v>
      </c>
      <c r="AE25" s="78">
        <f>+GETPIVOTDATA(" Tot # Asc. Prof Old",'OLD Counts Pivot Table'!$A$3,"State","AR","Category2","Group2")</f>
        <v>9</v>
      </c>
      <c r="AF25" s="76">
        <f>+GETPIVOTDATA(" Tot # Asc. Prof Old",'OLD Counts Pivot Table'!$A$3,"State","AR","Category",12,"Category2","Technical Institutes")</f>
        <v>0</v>
      </c>
      <c r="AG25" s="77">
        <f>+GETPIVOTDATA(" Tot # Asc. Prof Old",'OLD Counts Pivot Table'!$A$3,"State","AR","Category",13,"Category2","Technical Institutes")</f>
        <v>0</v>
      </c>
      <c r="AH25" s="76">
        <f>+GETPIVOTDATA(" Tot # Asc. Prof Old",'OLD Counts Pivot Table'!$A$3,"State","AR","Category2","Technical Institutes")</f>
        <v>0</v>
      </c>
    </row>
    <row r="26" spans="1:36" x14ac:dyDescent="0.2">
      <c r="A26" s="10"/>
      <c r="B26" s="18" t="s">
        <v>101</v>
      </c>
      <c r="C26" s="12">
        <f t="shared" si="11"/>
        <v>0.17857142857142858</v>
      </c>
      <c r="D26" s="14">
        <f t="shared" si="11"/>
        <v>0</v>
      </c>
      <c r="E26" s="14">
        <f t="shared" si="11"/>
        <v>0.28523936170212766</v>
      </c>
      <c r="F26" s="14">
        <f t="shared" si="11"/>
        <v>0.33711507293354942</v>
      </c>
      <c r="G26" s="14">
        <f t="shared" si="11"/>
        <v>0.23841059602649006</v>
      </c>
      <c r="H26" s="40">
        <f t="shared" si="11"/>
        <v>0.38131313131313133</v>
      </c>
      <c r="I26" s="12">
        <f t="shared" si="11"/>
        <v>0.27458563535911601</v>
      </c>
      <c r="J26" s="12">
        <f t="shared" si="11"/>
        <v>0</v>
      </c>
      <c r="K26" s="14">
        <f t="shared" si="11"/>
        <v>0</v>
      </c>
      <c r="L26" s="14">
        <f t="shared" si="11"/>
        <v>0.16037735849056603</v>
      </c>
      <c r="M26" s="14">
        <f t="shared" si="12"/>
        <v>3.5555555555555556E-2</v>
      </c>
      <c r="N26" s="12">
        <f t="shared" si="9"/>
        <v>4.6283309957924262E-2</v>
      </c>
      <c r="O26" s="12">
        <f t="shared" si="9"/>
        <v>0</v>
      </c>
      <c r="P26" s="14">
        <f t="shared" si="9"/>
        <v>0</v>
      </c>
      <c r="Q26" s="12">
        <f t="shared" si="10"/>
        <v>0</v>
      </c>
      <c r="R26" s="56"/>
      <c r="S26" s="76">
        <f>+GETPIVOTDATA(" Tot # Ast. Prof Old",'OLD Counts Pivot Table'!$A$3,"State","AR","Category",1,"Category2","Four-Year")</f>
        <v>170</v>
      </c>
      <c r="T26" s="77">
        <f>+GETPIVOTDATA(" Tot # Ast. Prof Old",'OLD Counts Pivot Table'!$A$3,"State","AR","Category",2,"Category2","Four-Year")</f>
        <v>0</v>
      </c>
      <c r="U26" s="77">
        <f>+GETPIVOTDATA(" Tot # Ast. Prof Old",'OLD Counts Pivot Table'!$A$3,"State","AR","Category",3,"Category2","Four-Year")</f>
        <v>429</v>
      </c>
      <c r="V26" s="77">
        <f>+GETPIVOTDATA(" Tot # Ast. Prof Old",'OLD Counts Pivot Table'!$A$3,"State","AR","Category",4,"Category2","Four-Year")</f>
        <v>208</v>
      </c>
      <c r="W26" s="77">
        <f>+GETPIVOTDATA(" Tot # Ast. Prof Old",'OLD Counts Pivot Table'!$A$3,"State","AR","Category",5,"Category2","Four-Year")</f>
        <v>36</v>
      </c>
      <c r="X26" s="77">
        <f>+GETPIVOTDATA(" Tot # Ast. Prof Old",'OLD Counts Pivot Table'!$A$3,"State","AR","Category",6,"Category2","Four-Year")</f>
        <v>151</v>
      </c>
      <c r="Y26" s="78">
        <f>+GETPIVOTDATA(" Tot # Ast. Prof Old",'OLD Counts Pivot Table'!$A$3,"State","AR","Category2","Four-Year")</f>
        <v>994</v>
      </c>
      <c r="Z26" s="76">
        <f>+GETPIVOTDATA(" Tot # Ast. Prof Old",'OLD Counts Pivot Table'!$A$3,"State","AR","Category",7,"Category2","Group2")</f>
        <v>0</v>
      </c>
      <c r="AA26" s="77">
        <f>+GETPIVOTDATA(" Tot # Ast. Prof Old",'OLD Counts Pivot Table'!$A$3,"State","AR","Category",8,"Category2","Group2")</f>
        <v>0</v>
      </c>
      <c r="AB26" s="77">
        <f>+GETPIVOTDATA(" Tot # Ast. Prof Old",'OLD Counts Pivot Table'!$A$3,"State","AR","Category",9,"Category2","Group2")</f>
        <v>34</v>
      </c>
      <c r="AC26" s="77">
        <f>+GETPIVOTDATA(" Tot # Ast. Prof Old",'OLD Counts Pivot Table'!$A$3,"State","AR","Category",10,"Category2","Group2")</f>
        <v>32</v>
      </c>
      <c r="AD26" s="77">
        <f>+GETPIVOTDATA(" Tot # Ast. Prof Old",'OLD Counts Pivot Table'!$A$3,"State","AR","Category",11,"Category2","Group2")</f>
        <v>0</v>
      </c>
      <c r="AE26" s="78">
        <f>+GETPIVOTDATA(" Tot # Ast. Prof Old",'OLD Counts Pivot Table'!$A$3,"State","AR","Category2","Group2")</f>
        <v>66</v>
      </c>
      <c r="AF26" s="76">
        <f>+GETPIVOTDATA(" Tot # Ast. Prof Old",'OLD Counts Pivot Table'!$A$3,"State","AR","Category",12,"Category2","Technical Institutes")</f>
        <v>0</v>
      </c>
      <c r="AG26" s="77">
        <f>+GETPIVOTDATA(" Tot # Ast. Prof Old",'OLD Counts Pivot Table'!$A$3,"State","AR","Category",13,"Category2","Technical Institutes")</f>
        <v>0</v>
      </c>
      <c r="AH26" s="76">
        <f>+GETPIVOTDATA(" Tot # Ast. Prof Old",'OLD Counts Pivot Table'!$A$3,"State","AR","Category2","Technical Institutes")</f>
        <v>0</v>
      </c>
    </row>
    <row r="27" spans="1:36" x14ac:dyDescent="0.2">
      <c r="A27" s="10"/>
      <c r="B27" s="18" t="s">
        <v>102</v>
      </c>
      <c r="C27" s="12">
        <f t="shared" si="11"/>
        <v>0.13550420168067226</v>
      </c>
      <c r="D27" s="14">
        <f t="shared" si="11"/>
        <v>0</v>
      </c>
      <c r="E27" s="14">
        <f t="shared" si="11"/>
        <v>0.19680851063829788</v>
      </c>
      <c r="F27" s="14">
        <f t="shared" si="11"/>
        <v>0.15559157212317667</v>
      </c>
      <c r="G27" s="14">
        <f t="shared" si="11"/>
        <v>0.15894039735099338</v>
      </c>
      <c r="H27" s="40">
        <f t="shared" si="11"/>
        <v>0.29040404040404039</v>
      </c>
      <c r="I27" s="12">
        <f t="shared" si="11"/>
        <v>0.18232044198895028</v>
      </c>
      <c r="J27" s="12">
        <f t="shared" si="11"/>
        <v>0</v>
      </c>
      <c r="K27" s="14">
        <f t="shared" si="11"/>
        <v>0</v>
      </c>
      <c r="L27" s="14">
        <f t="shared" si="11"/>
        <v>0.34433962264150941</v>
      </c>
      <c r="M27" s="14">
        <f t="shared" si="12"/>
        <v>8.666666666666667E-2</v>
      </c>
      <c r="N27" s="12">
        <f t="shared" si="9"/>
        <v>0.10589060308555399</v>
      </c>
      <c r="O27" s="12">
        <f t="shared" si="9"/>
        <v>0</v>
      </c>
      <c r="P27" s="14">
        <f t="shared" si="9"/>
        <v>0</v>
      </c>
      <c r="Q27" s="12">
        <f t="shared" si="10"/>
        <v>0</v>
      </c>
      <c r="R27" s="56"/>
      <c r="S27" s="76">
        <f>+GETPIVOTDATA(" Tot # Instr. Old",'OLD Counts Pivot Table'!$A$3,"State","AR","Category",1,"Category2","Four-Year")</f>
        <v>129</v>
      </c>
      <c r="T27" s="77">
        <f>+GETPIVOTDATA(" Tot # Instr. Old",'OLD Counts Pivot Table'!$A$3,"State","AR","Category",2,"Category2","Four-Year")</f>
        <v>0</v>
      </c>
      <c r="U27" s="77">
        <f>+GETPIVOTDATA(" Tot # Instr. Old",'OLD Counts Pivot Table'!$A$3,"State","AR","Category",3,"Category2","Four-Year")</f>
        <v>296</v>
      </c>
      <c r="V27" s="77">
        <f>+GETPIVOTDATA(" Tot # Instr. Old",'OLD Counts Pivot Table'!$A$3,"State","AR","Category",4,"Category2","Four-Year")</f>
        <v>96</v>
      </c>
      <c r="W27" s="77">
        <f>+GETPIVOTDATA(" Tot # Instr. Old",'OLD Counts Pivot Table'!$A$3,"State","AR","Category",5,"Category2","Four-Year")</f>
        <v>24</v>
      </c>
      <c r="X27" s="77">
        <f>+GETPIVOTDATA(" Tot # Instr. Old",'OLD Counts Pivot Table'!$A$3,"State","AR","Category",6,"Category2","Four-Year")</f>
        <v>115</v>
      </c>
      <c r="Y27" s="78">
        <f>+GETPIVOTDATA(" Tot # Instr. Old",'OLD Counts Pivot Table'!$A$3,"State","AR","Category2","Four-Year")</f>
        <v>660</v>
      </c>
      <c r="Z27" s="76">
        <f>+GETPIVOTDATA(" Tot # Instr. Old",'OLD Counts Pivot Table'!$A$3,"State","AR","Category",7,"Category2","Group2")</f>
        <v>0</v>
      </c>
      <c r="AA27" s="77">
        <f>+GETPIVOTDATA(" Tot # Instr. Old",'OLD Counts Pivot Table'!$A$3,"State","AR","Category",8,"Category2","Group2")</f>
        <v>0</v>
      </c>
      <c r="AB27" s="77">
        <f>+GETPIVOTDATA(" Tot # Instr. Old",'OLD Counts Pivot Table'!$A$3,"State","AR","Category",9,"Category2","Group2")</f>
        <v>73</v>
      </c>
      <c r="AC27" s="77">
        <f>+GETPIVOTDATA(" Tot # Instr. Old",'OLD Counts Pivot Table'!$A$3,"State","AR","Category",10,"Category2","Group2")</f>
        <v>78</v>
      </c>
      <c r="AD27" s="77">
        <f>+GETPIVOTDATA(" Tot # Instr. Old",'OLD Counts Pivot Table'!$A$3,"State","AR","Category",11,"Category2","Group2")</f>
        <v>0</v>
      </c>
      <c r="AE27" s="78">
        <f>+GETPIVOTDATA(" Tot # Instr. Old",'OLD Counts Pivot Table'!$A$3,"State","AR","Category2","Group2")</f>
        <v>151</v>
      </c>
      <c r="AF27" s="76">
        <f>+GETPIVOTDATA(" Tot # Instr. Old",'OLD Counts Pivot Table'!$A$3,"State","AR","Category",12,"Category2","Technical Institutes")</f>
        <v>0</v>
      </c>
      <c r="AG27" s="77">
        <f>+GETPIVOTDATA(" Tot # Instr. Old",'OLD Counts Pivot Table'!$A$3,"State","AR","Category",13,"Category2","Technical Institutes")</f>
        <v>0</v>
      </c>
      <c r="AH27" s="76">
        <f>+GETPIVOTDATA(" Tot # Instr. Old",'OLD Counts Pivot Table'!$A$3,"State","AR","Category2","Technical Institutes")</f>
        <v>0</v>
      </c>
    </row>
    <row r="28" spans="1:36" x14ac:dyDescent="0.2">
      <c r="A28" s="10"/>
      <c r="B28" s="18" t="s">
        <v>83</v>
      </c>
      <c r="C28" s="12">
        <f t="shared" si="11"/>
        <v>7.9831932773109238E-2</v>
      </c>
      <c r="D28" s="14">
        <f t="shared" si="11"/>
        <v>0</v>
      </c>
      <c r="E28" s="14">
        <f t="shared" si="11"/>
        <v>4.3882978723404256E-2</v>
      </c>
      <c r="F28" s="14">
        <f t="shared" si="11"/>
        <v>5.834683954619125E-2</v>
      </c>
      <c r="G28" s="14">
        <f t="shared" si="11"/>
        <v>0.27152317880794702</v>
      </c>
      <c r="H28" s="40">
        <f t="shared" si="11"/>
        <v>1.7676767676767676E-2</v>
      </c>
      <c r="I28" s="12">
        <f t="shared" si="11"/>
        <v>6.2430939226519336E-2</v>
      </c>
      <c r="J28" s="12">
        <f t="shared" si="11"/>
        <v>0</v>
      </c>
      <c r="K28" s="14">
        <f t="shared" si="11"/>
        <v>0</v>
      </c>
      <c r="L28" s="14">
        <f t="shared" si="11"/>
        <v>0</v>
      </c>
      <c r="M28" s="14">
        <f t="shared" si="12"/>
        <v>0</v>
      </c>
      <c r="N28" s="12">
        <f t="shared" si="9"/>
        <v>0</v>
      </c>
      <c r="O28" s="12">
        <f t="shared" si="9"/>
        <v>0</v>
      </c>
      <c r="P28" s="14">
        <f t="shared" si="9"/>
        <v>0</v>
      </c>
      <c r="Q28" s="12">
        <f t="shared" si="10"/>
        <v>0</v>
      </c>
      <c r="R28" s="56"/>
      <c r="S28" s="76">
        <f>++GETPIVOTDATA(" Tot # Undes. Old",'OLD Counts Pivot Table'!$A$3,"State","AR","Category",1,"Category2","Four-Year")</f>
        <v>76</v>
      </c>
      <c r="T28" s="77">
        <f>+GETPIVOTDATA(" Tot # Undes. Old",'OLD Counts Pivot Table'!$A$3,"State","AR","Category",2,"Category2","Four-Year")</f>
        <v>0</v>
      </c>
      <c r="U28" s="77">
        <f>+GETPIVOTDATA(" Tot # Undes. Old",'OLD Counts Pivot Table'!$A$3,"State","AR","Category",3,"Category2","Four-Year")</f>
        <v>66</v>
      </c>
      <c r="V28" s="77">
        <f>+GETPIVOTDATA(" Tot # Undes. Old",'OLD Counts Pivot Table'!$A$3,"State","AR","Category",4,"Category2","Four-Year")</f>
        <v>36</v>
      </c>
      <c r="W28" s="77">
        <f>+GETPIVOTDATA(" Tot # Undes. Old",'OLD Counts Pivot Table'!$A$3,"State","AR","Category",5,"Category2","Four-Year")</f>
        <v>41</v>
      </c>
      <c r="X28" s="77">
        <f>+GETPIVOTDATA(" Tot # Undes. Old",'OLD Counts Pivot Table'!$A$3,"State","AR","Category",6,"Category2","Four-Year")</f>
        <v>7</v>
      </c>
      <c r="Y28" s="78">
        <f>+GETPIVOTDATA(" Tot # Undes. Old",'OLD Counts Pivot Table'!$A$3,"State","AR","Category2","Four-Year")</f>
        <v>226</v>
      </c>
      <c r="Z28" s="76">
        <f>+GETPIVOTDATA(" Tot # Undes. Old",'OLD Counts Pivot Table'!$A$3,"State","AR","Category",7,"Category2","Group2")</f>
        <v>0</v>
      </c>
      <c r="AA28" s="77">
        <f>+GETPIVOTDATA(" Tot # Undes. Old",'OLD Counts Pivot Table'!$A$3,"State","AR","Category",8,"Category2","Group2")</f>
        <v>0</v>
      </c>
      <c r="AB28" s="77">
        <f>+GETPIVOTDATA(" Tot # Undes. Old",'OLD Counts Pivot Table'!$A$3,"State","AR","Category",9,"Category2","Group2")</f>
        <v>0</v>
      </c>
      <c r="AC28" s="77">
        <f>+GETPIVOTDATA(" Tot # Undes. Old",'OLD Counts Pivot Table'!$A$3,"State","AR","Category",10,"Category2","Group2")</f>
        <v>0</v>
      </c>
      <c r="AD28" s="77">
        <f>+GETPIVOTDATA(" Tot # Undes. Old",'OLD Counts Pivot Table'!$A$3,"State","AR","Category",11,"Category2","Group2")</f>
        <v>0</v>
      </c>
      <c r="AE28" s="78">
        <f>+GETPIVOTDATA(" Tot # Undes. Old",'OLD Counts Pivot Table'!$A$3,"State","AR","Category2","Group2")</f>
        <v>0</v>
      </c>
      <c r="AF28" s="76">
        <f>+GETPIVOTDATA(" Tot # Undes. Old",'OLD Counts Pivot Table'!$A$3,"State","AR","Category",12,"Category2","Technical Institutes")</f>
        <v>0</v>
      </c>
      <c r="AG28" s="77">
        <f>+GETPIVOTDATA(" Tot # Undes. Old",'OLD Counts Pivot Table'!$A$3,"State","AR","Category",13,"Category2","Technical Institutes")</f>
        <v>0</v>
      </c>
      <c r="AH28" s="76">
        <f>+GETPIVOTDATA(" Tot # Undes. Old",'OLD Counts Pivot Table'!$A$3,"State","AR","Category2","Technical Institutes")</f>
        <v>0</v>
      </c>
    </row>
    <row r="29" spans="1:36" x14ac:dyDescent="0.2">
      <c r="A29" s="10"/>
      <c r="B29" s="18" t="s">
        <v>82</v>
      </c>
      <c r="C29" s="12">
        <f t="shared" si="11"/>
        <v>0</v>
      </c>
      <c r="D29" s="14">
        <f t="shared" si="11"/>
        <v>0</v>
      </c>
      <c r="E29" s="103">
        <f t="shared" si="11"/>
        <v>0</v>
      </c>
      <c r="F29" s="14">
        <f t="shared" si="11"/>
        <v>0</v>
      </c>
      <c r="G29" s="103">
        <f t="shared" si="11"/>
        <v>0</v>
      </c>
      <c r="H29" s="40">
        <f t="shared" si="11"/>
        <v>0</v>
      </c>
      <c r="I29" s="102">
        <f t="shared" si="11"/>
        <v>0</v>
      </c>
      <c r="J29" s="12">
        <f t="shared" si="11"/>
        <v>0</v>
      </c>
      <c r="K29" s="14">
        <f t="shared" si="11"/>
        <v>1</v>
      </c>
      <c r="L29" s="14">
        <f t="shared" si="11"/>
        <v>0.42924528301886794</v>
      </c>
      <c r="M29" s="14">
        <f t="shared" si="12"/>
        <v>0.87777777777777777</v>
      </c>
      <c r="N29" s="12">
        <f t="shared" si="9"/>
        <v>0.8380084151472651</v>
      </c>
      <c r="O29" s="12">
        <f t="shared" si="9"/>
        <v>0</v>
      </c>
      <c r="P29" s="14">
        <f t="shared" si="9"/>
        <v>0</v>
      </c>
      <c r="Q29" s="12">
        <f t="shared" si="10"/>
        <v>0</v>
      </c>
      <c r="R29" s="56"/>
      <c r="S29" s="76">
        <f>+GETPIVOTDATA(" Tot # Single Rnk Old",'OLD Counts Pivot Table'!$A$3,"State","AR","Category",1,"Category2","Four-Year")</f>
        <v>0</v>
      </c>
      <c r="T29" s="77">
        <f>+GETPIVOTDATA(" Tot # Single Rnk Old",'OLD Counts Pivot Table'!$A$3,"State","AR","Category",2,"Category2","Four-Year")</f>
        <v>0</v>
      </c>
      <c r="U29" s="77">
        <f>+GETPIVOTDATA(" Tot # Single Rnk Old",'OLD Counts Pivot Table'!$A$3,"State","AR","Category",3,"Category2","Four-Year")</f>
        <v>0</v>
      </c>
      <c r="V29" s="77">
        <f>+GETPIVOTDATA(" Tot # Single Rnk Old",'OLD Counts Pivot Table'!$A$3,"State","AR","Category",4,"Category2","Four-Year")</f>
        <v>0</v>
      </c>
      <c r="W29" s="77">
        <f>+GETPIVOTDATA(" Tot # Single Rnk Old",'OLD Counts Pivot Table'!$A$3,"State","AR","Category",5,"Category2","Four-Year")</f>
        <v>0</v>
      </c>
      <c r="X29" s="77">
        <f>+GETPIVOTDATA(" Tot # Single Rnk Old",'OLD Counts Pivot Table'!$A$3,"State","AR","Category",6,"Category2","Four-Year")</f>
        <v>0</v>
      </c>
      <c r="Y29" s="78">
        <f>+GETPIVOTDATA(" Tot # Single Rnk Old",'OLD Counts Pivot Table'!$A$3,"State","AR","Category2","Four-Year")</f>
        <v>0</v>
      </c>
      <c r="Z29" s="76">
        <f>+GETPIVOTDATA(" Tot # Single Rnk Old",'OLD Counts Pivot Table'!$A$3,"State","AR","Category",7,"Category2","Group2")</f>
        <v>0</v>
      </c>
      <c r="AA29" s="77">
        <f>+GETPIVOTDATA(" Tot # Single Rnk Old",'OLD Counts Pivot Table'!$A$3,"State","AR","Category",8,"Category2","Group2")</f>
        <v>314</v>
      </c>
      <c r="AB29" s="77">
        <f>+GETPIVOTDATA(" Tot # Single Rnk Old",'OLD Counts Pivot Table'!$A$3,"State","AR","Category",9,"Category2","Group2")</f>
        <v>91</v>
      </c>
      <c r="AC29" s="77">
        <f>+GETPIVOTDATA(" Tot # Single Rnk Old",'OLD Counts Pivot Table'!$A$3,"State","AR","Category",10,"Category2","Group2")</f>
        <v>790</v>
      </c>
      <c r="AD29" s="77">
        <f>+GETPIVOTDATA(" Tot # Single Rnk Old",'OLD Counts Pivot Table'!$A$3,"State","AR","Category",11,"Category2","Group2")</f>
        <v>0</v>
      </c>
      <c r="AE29" s="78">
        <f>+GETPIVOTDATA(" Tot # Single Rnk Old",'OLD Counts Pivot Table'!$A$3,"State","AR","Category2","Group2")</f>
        <v>1195</v>
      </c>
      <c r="AF29" s="76">
        <f>+GETPIVOTDATA(" Tot # Single Rnk Old",'OLD Counts Pivot Table'!$A$3,"State","AR","Category",12,"Category2","Technical Institutes")</f>
        <v>0</v>
      </c>
      <c r="AG29" s="77">
        <f>+GETPIVOTDATA(" Tot # Single Rnk Old",'OLD Counts Pivot Table'!$A$3,"State","AR","Category",13,"Category2","Technical Institutes")</f>
        <v>0</v>
      </c>
      <c r="AH29" s="76">
        <f>+GETPIVOTDATA(" Tot # Single Rnk Old",'OLD Counts Pivot Table'!$A$3,"State","AR","Category2","Technical Institutes")</f>
        <v>0</v>
      </c>
    </row>
    <row r="30" spans="1:36" s="33" customFormat="1" x14ac:dyDescent="0.25">
      <c r="A30" s="109"/>
      <c r="B30" s="110" t="s">
        <v>84</v>
      </c>
      <c r="C30" s="13">
        <f t="shared" si="11"/>
        <v>1</v>
      </c>
      <c r="D30" s="11">
        <f t="shared" si="11"/>
        <v>0</v>
      </c>
      <c r="E30" s="11">
        <f t="shared" si="11"/>
        <v>1</v>
      </c>
      <c r="F30" s="11">
        <f t="shared" si="11"/>
        <v>1</v>
      </c>
      <c r="G30" s="11">
        <f t="shared" si="11"/>
        <v>1</v>
      </c>
      <c r="H30" s="41">
        <f t="shared" si="11"/>
        <v>1</v>
      </c>
      <c r="I30" s="13">
        <f t="shared" si="11"/>
        <v>1</v>
      </c>
      <c r="J30" s="13">
        <f t="shared" si="11"/>
        <v>0</v>
      </c>
      <c r="K30" s="11">
        <f t="shared" si="11"/>
        <v>1</v>
      </c>
      <c r="L30" s="11">
        <f t="shared" si="11"/>
        <v>1</v>
      </c>
      <c r="M30" s="11">
        <f t="shared" si="12"/>
        <v>1</v>
      </c>
      <c r="N30" s="13">
        <f t="shared" si="9"/>
        <v>1</v>
      </c>
      <c r="O30" s="13">
        <f t="shared" si="9"/>
        <v>0</v>
      </c>
      <c r="P30" s="11">
        <f t="shared" si="9"/>
        <v>0</v>
      </c>
      <c r="Q30" s="13">
        <f t="shared" si="10"/>
        <v>0</v>
      </c>
      <c r="R30" s="57"/>
      <c r="S30" s="79">
        <f>+GETPIVOTDATA(" All Ranks # Old",'OLD Counts Pivot Table'!$A$3,"State","AR","Category",1,"Category2","Four-Year")</f>
        <v>952</v>
      </c>
      <c r="T30" s="80">
        <f>+GETPIVOTDATA(" All Ranks # Old",'OLD Counts Pivot Table'!$A$3,"State","AR","Category",2,"Category2","Four-Year")</f>
        <v>0</v>
      </c>
      <c r="U30" s="80">
        <f>+GETPIVOTDATA(" All Ranks # Old",'OLD Counts Pivot Table'!$A$3,"State","AR","Category",3,"Category2","Four-Year")</f>
        <v>1504</v>
      </c>
      <c r="V30" s="80">
        <f>+GETPIVOTDATA(" All Ranks # Old",'OLD Counts Pivot Table'!$A$3,"State","AR","Category",4,"Category2","Four-Year")</f>
        <v>617</v>
      </c>
      <c r="W30" s="80">
        <f>+GETPIVOTDATA(" All Ranks # Old",'OLD Counts Pivot Table'!$A$3,"State","AR","Category",5,"Category2","Four-Year")</f>
        <v>151</v>
      </c>
      <c r="X30" s="80">
        <f>+GETPIVOTDATA(" All Ranks # Old",'OLD Counts Pivot Table'!$A$3,"State","AR","Category",6,"Category2","Four-Year")</f>
        <v>396</v>
      </c>
      <c r="Y30" s="81">
        <f>+GETPIVOTDATA(" All Ranks # Old",'OLD Counts Pivot Table'!$A$3,"State","AR","Category2","Four-Year")</f>
        <v>3620</v>
      </c>
      <c r="Z30" s="79">
        <f>+GETPIVOTDATA(" All Ranks # Old",'OLD Counts Pivot Table'!$A$3,"State","AR","Category",7,"Category2","Group2")</f>
        <v>0</v>
      </c>
      <c r="AA30" s="80">
        <f>+GETPIVOTDATA(" All Ranks # Old",'OLD Counts Pivot Table'!$A$3,"State","AR","Category",8,"Category2","Group2")</f>
        <v>314</v>
      </c>
      <c r="AB30" s="80">
        <f>+GETPIVOTDATA(" All Ranks # Old",'OLD Counts Pivot Table'!$A$3,"State","AR","Category",9,"Category2","Group2")</f>
        <v>212</v>
      </c>
      <c r="AC30" s="80">
        <f>+GETPIVOTDATA(" All Ranks # Old",'OLD Counts Pivot Table'!$A$3,"State","AR","Category",10,"Category2","Group2")</f>
        <v>900</v>
      </c>
      <c r="AD30" s="80">
        <f>+GETPIVOTDATA(" All Ranks # Old",'OLD Counts Pivot Table'!$A$3,"State","AR","Category",11,"Category2","Group2")</f>
        <v>0</v>
      </c>
      <c r="AE30" s="81">
        <f>+GETPIVOTDATA(" All Ranks # Old",'OLD Counts Pivot Table'!$A$3,"State","AR","Category2","Group2")</f>
        <v>1426</v>
      </c>
      <c r="AF30" s="79">
        <f>+GETPIVOTDATA(" All Ranks # Old",'OLD Counts Pivot Table'!$A$3,"State","AR","Category",12,"Category2","Technical Institutes")</f>
        <v>0</v>
      </c>
      <c r="AG30" s="80">
        <f>+GETPIVOTDATA(" All Ranks # Old",'OLD Counts Pivot Table'!$A$3,"State","AR","Category",13,"Category2","Technical Institutes")</f>
        <v>0</v>
      </c>
      <c r="AH30" s="79">
        <f>+GETPIVOTDATA(" All Ranks # Old",'OLD Counts Pivot Table'!$A$3,"State","AR","Category2","Technical Institutes")</f>
        <v>0</v>
      </c>
      <c r="AI30" s="82"/>
      <c r="AJ30" s="82"/>
    </row>
    <row r="31" spans="1:36" x14ac:dyDescent="0.2">
      <c r="A31" s="18" t="s">
        <v>106</v>
      </c>
      <c r="B31" s="15" t="s">
        <v>99</v>
      </c>
      <c r="C31" s="16">
        <f t="shared" ref="C31:M37" si="13">IF(S$37&gt;0,(S31/S$37),0)</f>
        <v>0.33658969804618116</v>
      </c>
      <c r="D31" s="17">
        <f t="shared" si="13"/>
        <v>0</v>
      </c>
      <c r="E31" s="17">
        <f t="shared" si="13"/>
        <v>0</v>
      </c>
      <c r="F31" s="17">
        <f t="shared" si="13"/>
        <v>0.18181818181818182</v>
      </c>
      <c r="G31" s="17">
        <f t="shared" si="13"/>
        <v>0</v>
      </c>
      <c r="H31" s="39">
        <f t="shared" si="13"/>
        <v>0</v>
      </c>
      <c r="I31" s="16">
        <f t="shared" si="13"/>
        <v>0.31344410876132933</v>
      </c>
      <c r="J31" s="16">
        <f t="shared" si="13"/>
        <v>0</v>
      </c>
      <c r="K31" s="17">
        <f t="shared" si="13"/>
        <v>0</v>
      </c>
      <c r="L31" s="17">
        <f t="shared" si="13"/>
        <v>0</v>
      </c>
      <c r="M31" s="17">
        <f t="shared" si="13"/>
        <v>0</v>
      </c>
      <c r="N31" s="16">
        <f t="shared" ref="N31:P37" si="14">IF(AE$37&gt;0,(AE31/AE$37),0)</f>
        <v>0</v>
      </c>
      <c r="O31" s="91">
        <f t="shared" si="14"/>
        <v>0</v>
      </c>
      <c r="P31" s="17">
        <f t="shared" si="14"/>
        <v>0</v>
      </c>
      <c r="Q31" s="91">
        <f t="shared" ref="Q31:Q37" si="15">IF(AH$37&gt;0,(AH31/AH$37),0)</f>
        <v>0</v>
      </c>
      <c r="R31" s="83"/>
      <c r="S31" s="73">
        <f>+GETPIVOTDATA(" Total # Prof Old",'OLD Counts Pivot Table'!$A$3,"State","DE","Category",1,"Category2","Four-Year")</f>
        <v>379</v>
      </c>
      <c r="T31" s="74">
        <f>+GETPIVOTDATA(" Total # Prof Old",'OLD Counts Pivot Table'!$A$3,"State","DE","Category",2,"Category2","Four-Year")</f>
        <v>0</v>
      </c>
      <c r="U31" s="74">
        <f>+GETPIVOTDATA(" Total # Prof Old",'OLD Counts Pivot Table'!$A$3,"State","DE","Category",3,"Category2","Four-Year")</f>
        <v>0</v>
      </c>
      <c r="V31" s="74">
        <f>+GETPIVOTDATA(" Total # Prof Old",'OLD Counts Pivot Table'!$A$3,"State","DE","Category",4,"Category2","Four-Year")</f>
        <v>36</v>
      </c>
      <c r="W31" s="74">
        <f>+GETPIVOTDATA(" Total # Prof Old",'OLD Counts Pivot Table'!$A$3,"State","DE","Category",5,"Category2","Four-Year")</f>
        <v>0</v>
      </c>
      <c r="X31" s="74">
        <f>+GETPIVOTDATA(" Total # Prof Old",'OLD Counts Pivot Table'!$A$3,"State","DE","Category",6,"Category2","Four-Year")</f>
        <v>0</v>
      </c>
      <c r="Y31" s="75">
        <f>+GETPIVOTDATA(" Total # Prof Old",'OLD Counts Pivot Table'!$A$3,"State","DE","Category2","Four-Year")</f>
        <v>415</v>
      </c>
      <c r="Z31" s="73">
        <f>+GETPIVOTDATA(" Total # Prof Old",'OLD Counts Pivot Table'!$A$3,"State","DE","Category",7,"Category2","Group2")</f>
        <v>0</v>
      </c>
      <c r="AA31" s="74">
        <f>+GETPIVOTDATA(" Total # Prof Old",'OLD Counts Pivot Table'!$A$3,"State","DE","Category",8,"Category2","Group2")</f>
        <v>0</v>
      </c>
      <c r="AB31" s="74">
        <f>+GETPIVOTDATA(" Total # Prof Old",'OLD Counts Pivot Table'!$A$3,"State","DE","Category",9,"Category2","Group2")</f>
        <v>0</v>
      </c>
      <c r="AC31" s="74">
        <f>+GETPIVOTDATA(" Total # Prof Old",'OLD Counts Pivot Table'!$A$3,"State","DE","Category",10,"Category2","Group2")</f>
        <v>0</v>
      </c>
      <c r="AD31" s="74">
        <f>+GETPIVOTDATA(" Total # Prof Old",'OLD Counts Pivot Table'!$A$3,"State","DE","Category",11,"Category2","Group2")</f>
        <v>0</v>
      </c>
      <c r="AE31" s="75">
        <f>+GETPIVOTDATA(" Total # Prof Old",'OLD Counts Pivot Table'!$A$3,"State","DE","Category2","Group2")</f>
        <v>0</v>
      </c>
      <c r="AF31" s="73">
        <f>+GETPIVOTDATA(" Total # Prof Old",'OLD Counts Pivot Table'!$A$3,"State","DE","Category",12,"Category2","Technical Institutes")</f>
        <v>0</v>
      </c>
      <c r="AG31" s="74">
        <f>+GETPIVOTDATA(" Total # Prof Old",'OLD Counts Pivot Table'!$A$3,"State","DE","Category",13,"Category2","Technical Institutes")</f>
        <v>0</v>
      </c>
      <c r="AH31" s="73">
        <f>+GETPIVOTDATA(" Total # Prof Old",'OLD Counts Pivot Table'!$A$3,"State","AR","Category2","Technical Institutes")</f>
        <v>0</v>
      </c>
    </row>
    <row r="32" spans="1:36" x14ac:dyDescent="0.2">
      <c r="A32" s="10"/>
      <c r="B32" s="18" t="s">
        <v>100</v>
      </c>
      <c r="C32" s="12">
        <f t="shared" si="13"/>
        <v>0.31083481349911191</v>
      </c>
      <c r="D32" s="14">
        <f t="shared" si="13"/>
        <v>0</v>
      </c>
      <c r="E32" s="14">
        <f t="shared" si="13"/>
        <v>0</v>
      </c>
      <c r="F32" s="14">
        <f t="shared" si="13"/>
        <v>0.43434343434343436</v>
      </c>
      <c r="G32" s="14">
        <f t="shared" si="13"/>
        <v>0</v>
      </c>
      <c r="H32" s="40">
        <f t="shared" si="13"/>
        <v>0</v>
      </c>
      <c r="I32" s="12">
        <f t="shared" si="13"/>
        <v>0.32930513595166161</v>
      </c>
      <c r="J32" s="12">
        <f t="shared" si="13"/>
        <v>0</v>
      </c>
      <c r="K32" s="14">
        <f t="shared" si="13"/>
        <v>0</v>
      </c>
      <c r="L32" s="14">
        <f t="shared" si="13"/>
        <v>0</v>
      </c>
      <c r="M32" s="14">
        <f t="shared" ref="M32:M37" si="16">IF(AC$37&gt;0,(AC32/AC$37),0)</f>
        <v>0</v>
      </c>
      <c r="N32" s="12">
        <f t="shared" si="14"/>
        <v>0</v>
      </c>
      <c r="O32" s="12">
        <f t="shared" si="14"/>
        <v>0</v>
      </c>
      <c r="P32" s="14">
        <f t="shared" si="14"/>
        <v>0</v>
      </c>
      <c r="Q32" s="12">
        <f t="shared" si="15"/>
        <v>0</v>
      </c>
      <c r="R32" s="56"/>
      <c r="S32" s="76">
        <f>+GETPIVOTDATA(" Tot # Asc. Prof Old",'OLD Counts Pivot Table'!$A$3,"State","DE","Category",1,"Category2","Four-Year")</f>
        <v>350</v>
      </c>
      <c r="T32" s="77">
        <f>+GETPIVOTDATA(" Tot # Asc. Prof Old",'OLD Counts Pivot Table'!$A$3,"State","DE","Category",2,"Category2","Four-Year")</f>
        <v>0</v>
      </c>
      <c r="U32" s="77">
        <f>+GETPIVOTDATA(" Tot # Asc. Prof Old",'OLD Counts Pivot Table'!$A$3,"State","DE","Category",3,"Category2","Four-Year")</f>
        <v>0</v>
      </c>
      <c r="V32" s="77">
        <f>+GETPIVOTDATA(" Tot # Asc. Prof Old",'OLD Counts Pivot Table'!$A$3,"State","DE","Category",4,"Category2","Four-Year")</f>
        <v>86</v>
      </c>
      <c r="W32" s="77">
        <f>+GETPIVOTDATA(" Tot # Asc. Prof Old",'OLD Counts Pivot Table'!$A$3,"State","DE","Category",5,"Category2","Four-Year")</f>
        <v>0</v>
      </c>
      <c r="X32" s="77">
        <f>+GETPIVOTDATA(" Tot # Asc. Prof Old",'OLD Counts Pivot Table'!$A$3,"State","DE","Category",6,"Category2","Four-Year")</f>
        <v>0</v>
      </c>
      <c r="Y32" s="78">
        <f>+GETPIVOTDATA(" Tot # Asc. Prof Old",'OLD Counts Pivot Table'!$A$3,"State","DE","Category2","Four-Year")</f>
        <v>436</v>
      </c>
      <c r="Z32" s="76">
        <f>+GETPIVOTDATA(" Tot # Asc. Prof Old",'OLD Counts Pivot Table'!$A$3,"State","DE","Category",7,"Category2","Group2")</f>
        <v>0</v>
      </c>
      <c r="AA32" s="77">
        <f>+GETPIVOTDATA(" Tot # Asc. Prof Old",'OLD Counts Pivot Table'!$A$3,"State","DE","Category",8,"Category2","Group2")</f>
        <v>0</v>
      </c>
      <c r="AB32" s="77">
        <f>+GETPIVOTDATA(" Tot # Asc. Prof Old",'OLD Counts Pivot Table'!$A$3,"State","DE","Category",9,"Category2","Group2")</f>
        <v>0</v>
      </c>
      <c r="AC32" s="77">
        <f>+GETPIVOTDATA(" Tot # Asc. Prof Old",'OLD Counts Pivot Table'!$A$3,"State","DE","Category",10,"Category2","Group2")</f>
        <v>0</v>
      </c>
      <c r="AD32" s="77">
        <f>+GETPIVOTDATA(" Tot # Asc. Prof Old",'OLD Counts Pivot Table'!$A$3,"State","DE","Category",11,"Category2","Group2")</f>
        <v>0</v>
      </c>
      <c r="AE32" s="78">
        <f>+GETPIVOTDATA(" Tot # Asc. Prof Old",'OLD Counts Pivot Table'!$A$3,"State","DE","Category2","Group2")</f>
        <v>0</v>
      </c>
      <c r="AF32" s="76">
        <f>+GETPIVOTDATA(" Tot # Asc. Prof Old",'OLD Counts Pivot Table'!$A$3,"State","DE","Category",12,"Category2","Technical Institutes")</f>
        <v>0</v>
      </c>
      <c r="AG32" s="77">
        <f>+GETPIVOTDATA(" Tot # Asc. Prof Old",'OLD Counts Pivot Table'!$A$3,"State","DE","Category",13,"Category2","Technical Institutes")</f>
        <v>0</v>
      </c>
      <c r="AH32" s="76">
        <f>+GETPIVOTDATA(" Tot # Asc. Prof Old",'OLD Counts Pivot Table'!$A$3,"State","AR","Category2","Technical Institutes")</f>
        <v>0</v>
      </c>
    </row>
    <row r="33" spans="1:36" x14ac:dyDescent="0.2">
      <c r="A33" s="10"/>
      <c r="B33" s="18" t="s">
        <v>101</v>
      </c>
      <c r="C33" s="12">
        <f t="shared" si="13"/>
        <v>0.25754884547069273</v>
      </c>
      <c r="D33" s="14">
        <f t="shared" si="13"/>
        <v>0</v>
      </c>
      <c r="E33" s="14">
        <f t="shared" si="13"/>
        <v>0</v>
      </c>
      <c r="F33" s="14">
        <f t="shared" si="13"/>
        <v>0.31818181818181818</v>
      </c>
      <c r="G33" s="14">
        <f t="shared" si="13"/>
        <v>0</v>
      </c>
      <c r="H33" s="40">
        <f t="shared" si="13"/>
        <v>0</v>
      </c>
      <c r="I33" s="12">
        <f t="shared" si="13"/>
        <v>0.26661631419939574</v>
      </c>
      <c r="J33" s="12">
        <f t="shared" si="13"/>
        <v>0</v>
      </c>
      <c r="K33" s="14">
        <f t="shared" si="13"/>
        <v>0</v>
      </c>
      <c r="L33" s="14">
        <f t="shared" si="13"/>
        <v>0</v>
      </c>
      <c r="M33" s="14">
        <f t="shared" si="16"/>
        <v>0</v>
      </c>
      <c r="N33" s="12">
        <f t="shared" si="14"/>
        <v>0</v>
      </c>
      <c r="O33" s="12">
        <f t="shared" si="14"/>
        <v>0</v>
      </c>
      <c r="P33" s="14">
        <f t="shared" si="14"/>
        <v>0</v>
      </c>
      <c r="Q33" s="12">
        <f t="shared" si="15"/>
        <v>0</v>
      </c>
      <c r="R33" s="56"/>
      <c r="S33" s="76">
        <f>+GETPIVOTDATA(" Tot # Ast. Prof Old",'OLD Counts Pivot Table'!$A$3,"State","DE","Category",1,"Category2","Four-Year")</f>
        <v>290</v>
      </c>
      <c r="T33" s="77">
        <f>+GETPIVOTDATA(" Tot # Ast. Prof Old",'OLD Counts Pivot Table'!$A$3,"State","DE","Category",2,"Category2","Four-Year")</f>
        <v>0</v>
      </c>
      <c r="U33" s="77">
        <f>+GETPIVOTDATA(" Tot # Ast. Prof Old",'OLD Counts Pivot Table'!$A$3,"State","DE","Category",3,"Category2","Four-Year")</f>
        <v>0</v>
      </c>
      <c r="V33" s="77">
        <f>+GETPIVOTDATA(" Tot # Ast. Prof Old",'OLD Counts Pivot Table'!$A$3,"State","DE","Category",4,"Category2","Four-Year")</f>
        <v>63</v>
      </c>
      <c r="W33" s="77">
        <f>+GETPIVOTDATA(" Tot # Ast. Prof Old",'OLD Counts Pivot Table'!$A$3,"State","DE","Category",5,"Category2","Four-Year")</f>
        <v>0</v>
      </c>
      <c r="X33" s="77">
        <f>+GETPIVOTDATA(" Tot # Ast. Prof Old",'OLD Counts Pivot Table'!$A$3,"State","DE","Category",6,"Category2","Four-Year")</f>
        <v>0</v>
      </c>
      <c r="Y33" s="78">
        <f>+GETPIVOTDATA(" Tot # Ast. Prof Old",'OLD Counts Pivot Table'!$A$3,"State","DE","Category2","Four-Year")</f>
        <v>353</v>
      </c>
      <c r="Z33" s="76">
        <f>+GETPIVOTDATA(" Tot # Ast. Prof Old",'OLD Counts Pivot Table'!$A$3,"State","DE","Category",7,"Category2","Group2")</f>
        <v>0</v>
      </c>
      <c r="AA33" s="77">
        <f>+GETPIVOTDATA(" Tot # Ast. Prof Old",'OLD Counts Pivot Table'!$A$3,"State","DE","Category",8,"Category2","Group2")</f>
        <v>0</v>
      </c>
      <c r="AB33" s="77">
        <f>+GETPIVOTDATA(" Tot # Ast. Prof Old",'OLD Counts Pivot Table'!$A$3,"State","DE","Category",9,"Category2","Group2")</f>
        <v>0</v>
      </c>
      <c r="AC33" s="77">
        <f>+GETPIVOTDATA(" Tot # Ast. Prof Old",'OLD Counts Pivot Table'!$A$3,"State","DE","Category",10,"Category2","Group2")</f>
        <v>0</v>
      </c>
      <c r="AD33" s="77">
        <f>+GETPIVOTDATA(" Tot # Ast. Prof Old",'OLD Counts Pivot Table'!$A$3,"State","DE","Category",11,"Category2","Group2")</f>
        <v>0</v>
      </c>
      <c r="AE33" s="78">
        <f>+GETPIVOTDATA(" Tot # Ast. Prof Old",'OLD Counts Pivot Table'!$A$3,"State","DE","Category2","Group2")</f>
        <v>0</v>
      </c>
      <c r="AF33" s="76">
        <f>+GETPIVOTDATA(" Tot # Ast. Prof Old",'OLD Counts Pivot Table'!$A$3,"State","DE","Category",12,"Category2","Technical Institutes")</f>
        <v>0</v>
      </c>
      <c r="AG33" s="77">
        <f>+GETPIVOTDATA(" Tot # Ast. Prof Old",'OLD Counts Pivot Table'!$A$3,"State","DE","Category",13,"Category2","Technical Institutes")</f>
        <v>0</v>
      </c>
      <c r="AH33" s="76">
        <f>+GETPIVOTDATA(" Tot # Ast. Prof Old",'OLD Counts Pivot Table'!$A$3,"State","AR","Category2","Technical Institutes")</f>
        <v>0</v>
      </c>
    </row>
    <row r="34" spans="1:36" x14ac:dyDescent="0.2">
      <c r="A34" s="10"/>
      <c r="B34" s="18" t="s">
        <v>102</v>
      </c>
      <c r="C34" s="12">
        <f t="shared" si="13"/>
        <v>9.5026642984014212E-2</v>
      </c>
      <c r="D34" s="14">
        <f t="shared" si="13"/>
        <v>0</v>
      </c>
      <c r="E34" s="14">
        <f t="shared" si="13"/>
        <v>0</v>
      </c>
      <c r="F34" s="14">
        <f t="shared" si="13"/>
        <v>5.5555555555555552E-2</v>
      </c>
      <c r="G34" s="14">
        <f t="shared" si="13"/>
        <v>0</v>
      </c>
      <c r="H34" s="40">
        <f t="shared" si="13"/>
        <v>0</v>
      </c>
      <c r="I34" s="12">
        <f t="shared" si="13"/>
        <v>8.9123867069486398E-2</v>
      </c>
      <c r="J34" s="12">
        <f t="shared" si="13"/>
        <v>0</v>
      </c>
      <c r="K34" s="14">
        <f t="shared" si="13"/>
        <v>0</v>
      </c>
      <c r="L34" s="14">
        <f t="shared" si="13"/>
        <v>0</v>
      </c>
      <c r="M34" s="14">
        <f t="shared" si="16"/>
        <v>0</v>
      </c>
      <c r="N34" s="12">
        <f t="shared" si="14"/>
        <v>0</v>
      </c>
      <c r="O34" s="12">
        <f t="shared" si="14"/>
        <v>0</v>
      </c>
      <c r="P34" s="14">
        <f t="shared" si="14"/>
        <v>0</v>
      </c>
      <c r="Q34" s="12">
        <f t="shared" si="15"/>
        <v>0</v>
      </c>
      <c r="R34" s="56"/>
      <c r="S34" s="76">
        <f>+GETPIVOTDATA(" Tot # Instr. Old",'OLD Counts Pivot Table'!$A$3,"State","DE","Category",1,"Category2","Four-Year")</f>
        <v>107</v>
      </c>
      <c r="T34" s="77">
        <f>+GETPIVOTDATA(" Tot # Instr. Old",'OLD Counts Pivot Table'!$A$3,"State","DE","Category",2,"Category2","Four-Year")</f>
        <v>0</v>
      </c>
      <c r="U34" s="77">
        <f>+GETPIVOTDATA(" Tot # Instr. Old",'OLD Counts Pivot Table'!$A$3,"State","DE","Category",3,"Category2","Four-Year")</f>
        <v>0</v>
      </c>
      <c r="V34" s="77">
        <f>+GETPIVOTDATA(" Tot # Instr. Old",'OLD Counts Pivot Table'!$A$3,"State","DE","Category",4,"Category2","Four-Year")</f>
        <v>11</v>
      </c>
      <c r="W34" s="77">
        <f>+GETPIVOTDATA(" Tot # Instr. Old",'OLD Counts Pivot Table'!$A$3,"State","DE","Category",5,"Category2","Four-Year")</f>
        <v>0</v>
      </c>
      <c r="X34" s="77">
        <f>+GETPIVOTDATA(" Tot # Instr. Old",'OLD Counts Pivot Table'!$A$3,"State","DE","Category",6,"Category2","Four-Year")</f>
        <v>0</v>
      </c>
      <c r="Y34" s="78">
        <f>+GETPIVOTDATA(" Tot # Instr. Old",'OLD Counts Pivot Table'!$A$3,"State","DE","Category2","Four-Year")</f>
        <v>118</v>
      </c>
      <c r="Z34" s="76">
        <f>+GETPIVOTDATA(" Tot # Instr. Old",'OLD Counts Pivot Table'!$A$3,"State","DE","Category",7,"Category2","Group2")</f>
        <v>0</v>
      </c>
      <c r="AA34" s="77">
        <f>+GETPIVOTDATA(" Tot # Instr. Old",'OLD Counts Pivot Table'!$A$3,"State","DE","Category",8,"Category2","Group2")</f>
        <v>0</v>
      </c>
      <c r="AB34" s="77">
        <f>+GETPIVOTDATA(" Tot # Instr. Old",'OLD Counts Pivot Table'!$A$3,"State","DE","Category",9,"Category2","Group2")</f>
        <v>0</v>
      </c>
      <c r="AC34" s="77">
        <f>+GETPIVOTDATA(" Tot # Instr. Old",'OLD Counts Pivot Table'!$A$3,"State","DE","Category",10,"Category2","Group2")</f>
        <v>0</v>
      </c>
      <c r="AD34" s="77">
        <f>+GETPIVOTDATA(" Tot # Instr. Old",'OLD Counts Pivot Table'!$A$3,"State","DE","Category",11,"Category2","Group2")</f>
        <v>0</v>
      </c>
      <c r="AE34" s="78">
        <f>+GETPIVOTDATA(" Tot # Instr. Old",'OLD Counts Pivot Table'!$A$3,"State","DE","Category2","Group2")</f>
        <v>0</v>
      </c>
      <c r="AF34" s="76">
        <f>+GETPIVOTDATA(" Tot # Instr. Old",'OLD Counts Pivot Table'!$A$3,"State","DE","Category",12,"Category2","Technical Institutes")</f>
        <v>0</v>
      </c>
      <c r="AG34" s="77">
        <f>+GETPIVOTDATA(" Tot # Instr. Old",'OLD Counts Pivot Table'!$A$3,"State","DE","Category",13,"Category2","Technical Institutes")</f>
        <v>0</v>
      </c>
      <c r="AH34" s="76">
        <f>+GETPIVOTDATA(" Tot # Instr. Old",'OLD Counts Pivot Table'!$A$3,"State","AR","Category2","Technical Institutes")</f>
        <v>0</v>
      </c>
    </row>
    <row r="35" spans="1:36" x14ac:dyDescent="0.2">
      <c r="A35" s="10"/>
      <c r="B35" s="18" t="s">
        <v>83</v>
      </c>
      <c r="C35" s="154">
        <f t="shared" si="13"/>
        <v>0</v>
      </c>
      <c r="D35" s="14">
        <f t="shared" si="13"/>
        <v>0</v>
      </c>
      <c r="E35" s="14">
        <f t="shared" si="13"/>
        <v>0</v>
      </c>
      <c r="F35" s="14">
        <f t="shared" si="13"/>
        <v>1.0101010101010102E-2</v>
      </c>
      <c r="G35" s="14">
        <f t="shared" si="13"/>
        <v>0</v>
      </c>
      <c r="H35" s="40">
        <f t="shared" si="13"/>
        <v>0</v>
      </c>
      <c r="I35" s="154">
        <f t="shared" si="13"/>
        <v>1.5105740181268882E-3</v>
      </c>
      <c r="J35" s="12">
        <f t="shared" si="13"/>
        <v>0</v>
      </c>
      <c r="K35" s="14">
        <f t="shared" si="13"/>
        <v>0</v>
      </c>
      <c r="L35" s="14">
        <f t="shared" si="13"/>
        <v>0</v>
      </c>
      <c r="M35" s="14">
        <f t="shared" si="16"/>
        <v>0</v>
      </c>
      <c r="N35" s="12">
        <f t="shared" si="14"/>
        <v>0</v>
      </c>
      <c r="O35" s="12">
        <f t="shared" si="14"/>
        <v>0</v>
      </c>
      <c r="P35" s="14">
        <f t="shared" si="14"/>
        <v>0</v>
      </c>
      <c r="Q35" s="12">
        <f t="shared" si="15"/>
        <v>0</v>
      </c>
      <c r="R35" s="56"/>
      <c r="S35" s="76">
        <f>++GETPIVOTDATA(" Tot # Undes. Old",'OLD Counts Pivot Table'!$A$3,"State","DE","Category",1,"Category2","Four-Year")</f>
        <v>0</v>
      </c>
      <c r="T35" s="77">
        <f>+GETPIVOTDATA(" Tot # Undes. Old",'OLD Counts Pivot Table'!$A$3,"State","DE","Category",2,"Category2","Four-Year")</f>
        <v>0</v>
      </c>
      <c r="U35" s="77">
        <f>+GETPIVOTDATA(" Tot # Undes. Old",'OLD Counts Pivot Table'!$A$3,"State","DE","Category",3,"Category2","Four-Year")</f>
        <v>0</v>
      </c>
      <c r="V35" s="77">
        <f>+GETPIVOTDATA(" Tot # Undes. Old",'OLD Counts Pivot Table'!$A$3,"State","DE","Category",4,"Category2","Four-Year")</f>
        <v>2</v>
      </c>
      <c r="W35" s="77">
        <f>+GETPIVOTDATA(" Tot # Undes. Old",'OLD Counts Pivot Table'!$A$3,"State","DE","Category",5,"Category2","Four-Year")</f>
        <v>0</v>
      </c>
      <c r="X35" s="77">
        <f>+GETPIVOTDATA(" Tot # Undes. Old",'OLD Counts Pivot Table'!$A$3,"State","DE","Category",6,"Category2","Four-Year")</f>
        <v>0</v>
      </c>
      <c r="Y35" s="78">
        <f>+GETPIVOTDATA(" Tot # Undes. Old",'OLD Counts Pivot Table'!$A$3,"State","DE","Category2","Four-Year")</f>
        <v>2</v>
      </c>
      <c r="Z35" s="76">
        <f>+GETPIVOTDATA(" Tot # Undes. Old",'OLD Counts Pivot Table'!$A$3,"State","DE","Category",7,"Category2","Group2")</f>
        <v>0</v>
      </c>
      <c r="AA35" s="77">
        <f>+GETPIVOTDATA(" Tot # Undes. Old",'OLD Counts Pivot Table'!$A$3,"State","DE","Category",8,"Category2","Group2")</f>
        <v>0</v>
      </c>
      <c r="AB35" s="77">
        <f>+GETPIVOTDATA(" Tot # Undes. Old",'OLD Counts Pivot Table'!$A$3,"State","DE","Category",9,"Category2","Group2")</f>
        <v>0</v>
      </c>
      <c r="AC35" s="77">
        <f>+GETPIVOTDATA(" Tot # Undes. Old",'OLD Counts Pivot Table'!$A$3,"State","DE","Category",10,"Category2","Group2")</f>
        <v>0</v>
      </c>
      <c r="AD35" s="77">
        <f>+GETPIVOTDATA(" Tot # Undes. Old",'OLD Counts Pivot Table'!$A$3,"State","DE","Category",11,"Category2","Group2")</f>
        <v>0</v>
      </c>
      <c r="AE35" s="78">
        <f>+GETPIVOTDATA(" Tot # Undes. Old",'OLD Counts Pivot Table'!$A$3,"State","DE","Category2","Group2")</f>
        <v>0</v>
      </c>
      <c r="AF35" s="76">
        <f>+GETPIVOTDATA(" Tot # Undes. Old",'OLD Counts Pivot Table'!$A$3,"State","DE","Category",12,"Category2","Technical Institutes")</f>
        <v>0</v>
      </c>
      <c r="AG35" s="77">
        <f>+GETPIVOTDATA(" Tot # Undes. Old",'OLD Counts Pivot Table'!$A$3,"State","DE","Category",13,"Category2","Technical Institutes")</f>
        <v>0</v>
      </c>
      <c r="AH35" s="76">
        <f>+GETPIVOTDATA(" Tot # Undes. Old",'OLD Counts Pivot Table'!$A$3,"State","AR","Category2","Technical Institutes")</f>
        <v>0</v>
      </c>
    </row>
    <row r="36" spans="1:36" x14ac:dyDescent="0.2">
      <c r="A36" s="10"/>
      <c r="B36" s="18" t="s">
        <v>82</v>
      </c>
      <c r="C36" s="12">
        <f t="shared" si="13"/>
        <v>0</v>
      </c>
      <c r="D36" s="14">
        <f t="shared" si="13"/>
        <v>0</v>
      </c>
      <c r="E36" s="103">
        <f t="shared" si="13"/>
        <v>0</v>
      </c>
      <c r="F36" s="14">
        <f t="shared" si="13"/>
        <v>0</v>
      </c>
      <c r="G36" s="103">
        <f t="shared" si="13"/>
        <v>0</v>
      </c>
      <c r="H36" s="40">
        <f t="shared" si="13"/>
        <v>0</v>
      </c>
      <c r="I36" s="102">
        <f t="shared" si="13"/>
        <v>0</v>
      </c>
      <c r="J36" s="12">
        <f t="shared" si="13"/>
        <v>0</v>
      </c>
      <c r="K36" s="14">
        <f t="shared" si="13"/>
        <v>1</v>
      </c>
      <c r="L36" s="14">
        <f t="shared" si="13"/>
        <v>1</v>
      </c>
      <c r="M36" s="14">
        <f t="shared" si="16"/>
        <v>1</v>
      </c>
      <c r="N36" s="12">
        <f t="shared" si="14"/>
        <v>1</v>
      </c>
      <c r="O36" s="12">
        <f t="shared" si="14"/>
        <v>0</v>
      </c>
      <c r="P36" s="14">
        <f t="shared" si="14"/>
        <v>0</v>
      </c>
      <c r="Q36" s="12">
        <f t="shared" si="15"/>
        <v>0</v>
      </c>
      <c r="R36" s="56"/>
      <c r="S36" s="76">
        <f>+GETPIVOTDATA(" Tot # Single Rnk Old",'OLD Counts Pivot Table'!$A$3,"State","DE","Category",1,"Category2","Four-Year")</f>
        <v>0</v>
      </c>
      <c r="T36" s="77">
        <f>+GETPIVOTDATA(" Tot # Single Rnk Old",'OLD Counts Pivot Table'!$A$3,"State","DE","Category",2,"Category2","Four-Year")</f>
        <v>0</v>
      </c>
      <c r="U36" s="77">
        <f>+GETPIVOTDATA(" Tot # Single Rnk Old",'OLD Counts Pivot Table'!$A$3,"State","DE","Category",3,"Category2","Four-Year")</f>
        <v>0</v>
      </c>
      <c r="V36" s="77">
        <f>+GETPIVOTDATA(" Tot # Single Rnk Old",'OLD Counts Pivot Table'!$A$3,"State","DE","Category",4,"Category2","Four-Year")</f>
        <v>0</v>
      </c>
      <c r="W36" s="77">
        <f>+GETPIVOTDATA(" Tot # Single Rnk Old",'OLD Counts Pivot Table'!$A$3,"State","DE","Category",5,"Category2","Four-Year")</f>
        <v>0</v>
      </c>
      <c r="X36" s="77">
        <f>+GETPIVOTDATA(" Tot # Single Rnk Old",'OLD Counts Pivot Table'!$A$3,"State","DE","Category",6,"Category2","Four-Year")</f>
        <v>0</v>
      </c>
      <c r="Y36" s="78">
        <f>+GETPIVOTDATA(" Tot # Single Rnk Old",'OLD Counts Pivot Table'!$A$3,"State","DE","Category2","Four-Year")</f>
        <v>0</v>
      </c>
      <c r="Z36" s="76">
        <f>+GETPIVOTDATA(" Tot # Single Rnk Old",'OLD Counts Pivot Table'!$A$3,"State","DE","Category",7,"Category2","Group2")</f>
        <v>0</v>
      </c>
      <c r="AA36" s="77">
        <f>+GETPIVOTDATA(" Tot # Single Rnk Old",'OLD Counts Pivot Table'!$A$3,"State","DE","Category",8,"Category2","Group2")</f>
        <v>179</v>
      </c>
      <c r="AB36" s="77">
        <f>+GETPIVOTDATA(" Tot # Single Rnk Old",'OLD Counts Pivot Table'!$A$3,"State","DE","Category",9,"Category2","Group2")</f>
        <v>121</v>
      </c>
      <c r="AC36" s="77">
        <f>+GETPIVOTDATA(" Tot # Single Rnk Old",'OLD Counts Pivot Table'!$A$3,"State","DE","Category",10,"Category2","Group2")</f>
        <v>84</v>
      </c>
      <c r="AD36" s="77">
        <f>+GETPIVOTDATA(" Tot # Single Rnk Old",'OLD Counts Pivot Table'!$A$3,"State","DE","Category",11,"Category2","Group2")</f>
        <v>0</v>
      </c>
      <c r="AE36" s="78">
        <f>+GETPIVOTDATA(" Tot # Single Rnk Old",'OLD Counts Pivot Table'!$A$3,"State","DE","Category2","Group2")</f>
        <v>384</v>
      </c>
      <c r="AF36" s="76">
        <f>+GETPIVOTDATA(" Tot # Single Rnk Old",'OLD Counts Pivot Table'!$A$3,"State","DE","Category",12,"Category2","Technical Institutes")</f>
        <v>0</v>
      </c>
      <c r="AG36" s="77">
        <f>+GETPIVOTDATA(" Tot # Single Rnk Old",'OLD Counts Pivot Table'!$A$3,"State","DE","Category",13,"Category2","Technical Institutes")</f>
        <v>0</v>
      </c>
      <c r="AH36" s="76">
        <f>+GETPIVOTDATA(" Tot # Single Rnk Old",'OLD Counts Pivot Table'!$A$3,"State","AR","Category2","Technical Institutes")</f>
        <v>0</v>
      </c>
    </row>
    <row r="37" spans="1:36" s="33" customFormat="1" x14ac:dyDescent="0.25">
      <c r="A37" s="109"/>
      <c r="B37" s="110" t="s">
        <v>84</v>
      </c>
      <c r="C37" s="13">
        <f t="shared" si="13"/>
        <v>1</v>
      </c>
      <c r="D37" s="11">
        <f t="shared" si="13"/>
        <v>0</v>
      </c>
      <c r="E37" s="11">
        <f t="shared" si="13"/>
        <v>0</v>
      </c>
      <c r="F37" s="11">
        <f t="shared" si="13"/>
        <v>1</v>
      </c>
      <c r="G37" s="11">
        <f t="shared" si="13"/>
        <v>0</v>
      </c>
      <c r="H37" s="41">
        <f t="shared" si="13"/>
        <v>0</v>
      </c>
      <c r="I37" s="13">
        <f t="shared" si="13"/>
        <v>1</v>
      </c>
      <c r="J37" s="13">
        <f t="shared" si="13"/>
        <v>0</v>
      </c>
      <c r="K37" s="11">
        <f t="shared" si="13"/>
        <v>1</v>
      </c>
      <c r="L37" s="11">
        <f t="shared" si="13"/>
        <v>1</v>
      </c>
      <c r="M37" s="11">
        <f t="shared" si="16"/>
        <v>1</v>
      </c>
      <c r="N37" s="13">
        <f t="shared" si="14"/>
        <v>1</v>
      </c>
      <c r="O37" s="13">
        <f t="shared" si="14"/>
        <v>0</v>
      </c>
      <c r="P37" s="11">
        <f t="shared" si="14"/>
        <v>0</v>
      </c>
      <c r="Q37" s="13">
        <f t="shared" si="15"/>
        <v>0</v>
      </c>
      <c r="R37" s="57"/>
      <c r="S37" s="79">
        <f>+GETPIVOTDATA(" All Ranks # Old",'OLD Counts Pivot Table'!$A$3,"State","DE","Category",1,"Category2","Four-Year")</f>
        <v>1126</v>
      </c>
      <c r="T37" s="80">
        <f>+GETPIVOTDATA(" All Ranks # Old",'OLD Counts Pivot Table'!$A$3,"State","DE","Category",2,"Category2","Four-Year")</f>
        <v>0</v>
      </c>
      <c r="U37" s="80">
        <f>+GETPIVOTDATA(" All Ranks # Old",'OLD Counts Pivot Table'!$A$3,"State","DE","Category",3,"Category2","Four-Year")</f>
        <v>0</v>
      </c>
      <c r="V37" s="80">
        <f>+GETPIVOTDATA(" All Ranks # Old",'OLD Counts Pivot Table'!$A$3,"State","DE","Category",4,"Category2","Four-Year")</f>
        <v>198</v>
      </c>
      <c r="W37" s="80">
        <f>+GETPIVOTDATA(" All Ranks # Old",'OLD Counts Pivot Table'!$A$3,"State","DE","Category",5,"Category2","Four-Year")</f>
        <v>0</v>
      </c>
      <c r="X37" s="80">
        <f>+GETPIVOTDATA(" All Ranks # Old",'OLD Counts Pivot Table'!$A$3,"State","DE","Category",6,"Category2","Four-Year")</f>
        <v>0</v>
      </c>
      <c r="Y37" s="81">
        <f>+GETPIVOTDATA(" All Ranks # Old",'OLD Counts Pivot Table'!$A$3,"State","DE","Category2","Four-Year")</f>
        <v>1324</v>
      </c>
      <c r="Z37" s="79">
        <f>+GETPIVOTDATA(" All Ranks # Old",'OLD Counts Pivot Table'!$A$3,"State","DE","Category",7,"Category2","Group2")</f>
        <v>0</v>
      </c>
      <c r="AA37" s="80">
        <f>+GETPIVOTDATA(" All Ranks # Old",'OLD Counts Pivot Table'!$A$3,"State","DE","Category",8,"Category2","Group2")</f>
        <v>179</v>
      </c>
      <c r="AB37" s="80">
        <f>+GETPIVOTDATA(" All Ranks # Old",'OLD Counts Pivot Table'!$A$3,"State","DE","Category",9,"Category2","Group2")</f>
        <v>121</v>
      </c>
      <c r="AC37" s="80">
        <f>+GETPIVOTDATA(" All Ranks # Old",'OLD Counts Pivot Table'!$A$3,"State","DE","Category",10,"Category2","Group2")</f>
        <v>84</v>
      </c>
      <c r="AD37" s="80">
        <f>+GETPIVOTDATA(" All Ranks # Old",'OLD Counts Pivot Table'!$A$3,"State","DE","Category",11,"Category2","Group2")</f>
        <v>0</v>
      </c>
      <c r="AE37" s="81">
        <f>+GETPIVOTDATA(" All Ranks # Old",'OLD Counts Pivot Table'!$A$3,"State","DE","Category2","Group2")</f>
        <v>384</v>
      </c>
      <c r="AF37" s="79">
        <f>+GETPIVOTDATA(" All Ranks # Old",'OLD Counts Pivot Table'!$A$3,"State","DE","Category",12,"Category2","Technical Institutes")</f>
        <v>0</v>
      </c>
      <c r="AG37" s="80">
        <f>+GETPIVOTDATA(" All Ranks # Old",'OLD Counts Pivot Table'!$A$3,"State","DE","Category",13,"Category2","Technical Institutes")</f>
        <v>0</v>
      </c>
      <c r="AH37" s="79">
        <f>+GETPIVOTDATA(" All Ranks # Old",'OLD Counts Pivot Table'!$A$3,"State","AR","Category2","Technical Institutes")</f>
        <v>0</v>
      </c>
      <c r="AI37" s="82"/>
      <c r="AJ37" s="82"/>
    </row>
    <row r="38" spans="1:36" x14ac:dyDescent="0.2">
      <c r="A38" s="18" t="s">
        <v>114</v>
      </c>
      <c r="B38" s="15" t="s">
        <v>99</v>
      </c>
      <c r="C38" s="16">
        <f t="shared" ref="C38:M44" si="17">IF(S$44&gt;0,(S38/S$44),0)</f>
        <v>0.29625114294422433</v>
      </c>
      <c r="D38" s="17">
        <f t="shared" si="17"/>
        <v>0.24935400516795866</v>
      </c>
      <c r="E38" s="17">
        <f t="shared" si="17"/>
        <v>0.22926093514328807</v>
      </c>
      <c r="F38" s="17">
        <f t="shared" si="17"/>
        <v>0.17158176943699732</v>
      </c>
      <c r="G38" s="17">
        <f t="shared" si="17"/>
        <v>0</v>
      </c>
      <c r="H38" s="39">
        <f t="shared" si="17"/>
        <v>0.3380281690140845</v>
      </c>
      <c r="I38" s="16">
        <f t="shared" si="17"/>
        <v>0.2777289699099495</v>
      </c>
      <c r="J38" s="16">
        <f t="shared" si="17"/>
        <v>0</v>
      </c>
      <c r="K38" s="17">
        <f t="shared" si="17"/>
        <v>0</v>
      </c>
      <c r="L38" s="17">
        <f t="shared" si="17"/>
        <v>0</v>
      </c>
      <c r="M38" s="17">
        <f t="shared" si="17"/>
        <v>0</v>
      </c>
      <c r="N38" s="16">
        <f t="shared" ref="N38:P44" si="18">IF(AE$44&gt;0,(AE38/AE$44),0)</f>
        <v>0</v>
      </c>
      <c r="O38" s="91">
        <f t="shared" si="18"/>
        <v>0</v>
      </c>
      <c r="P38" s="17">
        <f t="shared" si="18"/>
        <v>0</v>
      </c>
      <c r="Q38" s="91">
        <f t="shared" ref="Q38:Q44" si="19">IF(AH$44&gt;0,(AH38/AH$44),0)</f>
        <v>0</v>
      </c>
      <c r="R38" s="83"/>
      <c r="S38" s="73">
        <f>+GETPIVOTDATA(" Total # Prof Old",'OLD Counts Pivot Table'!$A$3,"State","FL","Category",1,"Category2","Four-Year")</f>
        <v>1944</v>
      </c>
      <c r="T38" s="74">
        <f>+GETPIVOTDATA(" Total # Prof Old",'OLD Counts Pivot Table'!$A$3,"State","FL","Category",2,"Category2","Four-Year")</f>
        <v>193</v>
      </c>
      <c r="U38" s="74">
        <f>+GETPIVOTDATA(" Total # Prof Old",'OLD Counts Pivot Table'!$A$3,"State","FL","Category",3,"Category2","Four-Year")</f>
        <v>304</v>
      </c>
      <c r="V38" s="74">
        <f>+GETPIVOTDATA(" Total # Prof Old",'OLD Counts Pivot Table'!$A$3,"State","FL","Category",4,"Category2","Four-Year")</f>
        <v>64</v>
      </c>
      <c r="W38" s="74">
        <f>+GETPIVOTDATA(" Total # Prof Old",'OLD Counts Pivot Table'!$A$3,"State","FL","Category",5,"Category2","Four-Year")</f>
        <v>0</v>
      </c>
      <c r="X38" s="74">
        <f>+GETPIVOTDATA(" Total # Prof Old",'OLD Counts Pivot Table'!$A$3,"State","FL","Category",6,"Category2","Four-Year")</f>
        <v>24</v>
      </c>
      <c r="Y38" s="75">
        <f>+GETPIVOTDATA(" Total # Prof Old",'OLD Counts Pivot Table'!$A$3,"State","FL","Category2","Four-Year")</f>
        <v>2529</v>
      </c>
      <c r="Z38" s="73">
        <f>+GETPIVOTDATA(" Total # Prof Old",'OLD Counts Pivot Table'!$A$3,"State","FL","Category",7,"Category2","Group2")</f>
        <v>0</v>
      </c>
      <c r="AA38" s="74">
        <f>+GETPIVOTDATA(" Total # Prof Old",'OLD Counts Pivot Table'!$A$3,"State","FL","Category",8,"Category2","Group2")</f>
        <v>0</v>
      </c>
      <c r="AB38" s="74">
        <f>+GETPIVOTDATA(" Total # Prof Old",'OLD Counts Pivot Table'!$A$3,"State","FL","Category",9,"Category2","Group2")</f>
        <v>0</v>
      </c>
      <c r="AC38" s="74">
        <f>+GETPIVOTDATA(" Total # Prof Old",'OLD Counts Pivot Table'!$A$3,"State","FL","Category",10,"Category2","Group2")</f>
        <v>0</v>
      </c>
      <c r="AD38" s="74">
        <f>+GETPIVOTDATA(" Total # Prof Old",'OLD Counts Pivot Table'!$A$3,"State","FL","Category",11,"Category2","Group2")</f>
        <v>0</v>
      </c>
      <c r="AE38" s="75">
        <f>+GETPIVOTDATA(" Total # Prof Old",'OLD Counts Pivot Table'!$A$3,"State","FL","Category2","Group2")</f>
        <v>0</v>
      </c>
      <c r="AF38" s="73">
        <f>+GETPIVOTDATA(" Total # Prof Old",'OLD Counts Pivot Table'!$A$3,"State","FL","Category",12,"Category2","Technical Institutes")</f>
        <v>0</v>
      </c>
      <c r="AG38" s="74">
        <f>+GETPIVOTDATA(" Total # Prof Old",'OLD Counts Pivot Table'!$A$3,"State","FL","Category",13,"Category2","Technical Institutes")</f>
        <v>0</v>
      </c>
      <c r="AH38" s="73">
        <f>+GETPIVOTDATA(" Total # Prof Old",'OLD Counts Pivot Table'!$A$3,"State","AR","Category2","Technical Institutes")</f>
        <v>0</v>
      </c>
    </row>
    <row r="39" spans="1:36" x14ac:dyDescent="0.2">
      <c r="A39" s="10"/>
      <c r="B39" s="18" t="s">
        <v>100</v>
      </c>
      <c r="C39" s="12">
        <f t="shared" si="17"/>
        <v>0.28588844864370616</v>
      </c>
      <c r="D39" s="14">
        <f t="shared" si="17"/>
        <v>0.29715762273901808</v>
      </c>
      <c r="E39" s="14">
        <f t="shared" si="17"/>
        <v>0.30392156862745096</v>
      </c>
      <c r="F39" s="14">
        <f t="shared" si="17"/>
        <v>0.2546916890080429</v>
      </c>
      <c r="G39" s="14">
        <f t="shared" si="17"/>
        <v>0</v>
      </c>
      <c r="H39" s="40">
        <f t="shared" si="17"/>
        <v>0.3380281690140845</v>
      </c>
      <c r="I39" s="12">
        <f t="shared" si="17"/>
        <v>0.28860092246870195</v>
      </c>
      <c r="J39" s="12">
        <f t="shared" si="17"/>
        <v>0</v>
      </c>
      <c r="K39" s="14">
        <f t="shared" si="17"/>
        <v>0</v>
      </c>
      <c r="L39" s="14">
        <f t="shared" si="17"/>
        <v>0</v>
      </c>
      <c r="M39" s="14">
        <f t="shared" ref="M39:M44" si="20">IF(AC$44&gt;0,(AC39/AC$44),0)</f>
        <v>0</v>
      </c>
      <c r="N39" s="12">
        <f t="shared" si="18"/>
        <v>0</v>
      </c>
      <c r="O39" s="12">
        <f t="shared" si="18"/>
        <v>0</v>
      </c>
      <c r="P39" s="14">
        <f t="shared" si="18"/>
        <v>0</v>
      </c>
      <c r="Q39" s="12">
        <f t="shared" si="19"/>
        <v>0</v>
      </c>
      <c r="R39" s="56"/>
      <c r="S39" s="76">
        <f>+GETPIVOTDATA(" Tot # Asc. Prof Old",'OLD Counts Pivot Table'!$A$3,"State","FL","Category",1,"Category2","Four-Year")</f>
        <v>1876</v>
      </c>
      <c r="T39" s="77">
        <f>+GETPIVOTDATA(" Tot # Asc. Prof Old",'OLD Counts Pivot Table'!$A$3,"State","FL","Category",2,"Category2","Four-Year")</f>
        <v>230</v>
      </c>
      <c r="U39" s="77">
        <f>+GETPIVOTDATA(" Tot # Asc. Prof Old",'OLD Counts Pivot Table'!$A$3,"State","FL","Category",3,"Category2","Four-Year")</f>
        <v>403</v>
      </c>
      <c r="V39" s="77">
        <f>+GETPIVOTDATA(" Tot # Asc. Prof Old",'OLD Counts Pivot Table'!$A$3,"State","FL","Category",4,"Category2","Four-Year")</f>
        <v>95</v>
      </c>
      <c r="W39" s="77">
        <f>+GETPIVOTDATA(" Tot # Asc. Prof Old",'OLD Counts Pivot Table'!$A$3,"State","FL","Category",5,"Category2","Four-Year")</f>
        <v>0</v>
      </c>
      <c r="X39" s="77">
        <f>+GETPIVOTDATA(" Tot # Asc. Prof Old",'OLD Counts Pivot Table'!$A$3,"State","FL","Category",6,"Category2","Four-Year")</f>
        <v>24</v>
      </c>
      <c r="Y39" s="78">
        <f>+GETPIVOTDATA(" Tot # Asc. Prof Old",'OLD Counts Pivot Table'!$A$3,"State","FL","Category2","Four-Year")</f>
        <v>2628</v>
      </c>
      <c r="Z39" s="76">
        <f>+GETPIVOTDATA(" Tot # Asc. Prof Old",'OLD Counts Pivot Table'!$A$3,"State","FL","Category",7,"Category2","Group2")</f>
        <v>0</v>
      </c>
      <c r="AA39" s="77">
        <f>+GETPIVOTDATA(" Tot # Asc. Prof Old",'OLD Counts Pivot Table'!$A$3,"State","FL","Category",8,"Category2","Group2")</f>
        <v>0</v>
      </c>
      <c r="AB39" s="77">
        <f>+GETPIVOTDATA(" Tot # Asc. Prof Old",'OLD Counts Pivot Table'!$A$3,"State","FL","Category",9,"Category2","Group2")</f>
        <v>0</v>
      </c>
      <c r="AC39" s="77">
        <f>+GETPIVOTDATA(" Tot # Asc. Prof Old",'OLD Counts Pivot Table'!$A$3,"State","FL","Category",10,"Category2","Group2")</f>
        <v>0</v>
      </c>
      <c r="AD39" s="77">
        <f>+GETPIVOTDATA(" Tot # Asc. Prof Old",'OLD Counts Pivot Table'!$A$3,"State","FL","Category",11,"Category2","Group2")</f>
        <v>0</v>
      </c>
      <c r="AE39" s="78">
        <f>+GETPIVOTDATA(" Tot # Asc. Prof Old",'OLD Counts Pivot Table'!$A$3,"State","FL","Category2","Group2")</f>
        <v>0</v>
      </c>
      <c r="AF39" s="76">
        <f>+GETPIVOTDATA(" Tot # Asc. Prof Old",'OLD Counts Pivot Table'!$A$3,"State","FL","Category",12,"Category2","Technical Institutes")</f>
        <v>0</v>
      </c>
      <c r="AG39" s="77">
        <f>+GETPIVOTDATA(" Tot # Asc. Prof Old",'OLD Counts Pivot Table'!$A$3,"State","FL","Category",13,"Category2","Technical Institutes")</f>
        <v>0</v>
      </c>
      <c r="AH39" s="76">
        <f>+GETPIVOTDATA(" Tot # Asc. Prof Old",'OLD Counts Pivot Table'!$A$3,"State","AR","Category2","Technical Institutes")</f>
        <v>0</v>
      </c>
    </row>
    <row r="40" spans="1:36" x14ac:dyDescent="0.2">
      <c r="A40" s="10"/>
      <c r="B40" s="18" t="s">
        <v>101</v>
      </c>
      <c r="C40" s="12">
        <f t="shared" si="17"/>
        <v>0.23559890277354464</v>
      </c>
      <c r="D40" s="14">
        <f t="shared" si="17"/>
        <v>0.2144702842377261</v>
      </c>
      <c r="E40" s="14">
        <f t="shared" si="17"/>
        <v>0.29260935143288086</v>
      </c>
      <c r="F40" s="14">
        <f t="shared" si="17"/>
        <v>0.33243967828418231</v>
      </c>
      <c r="G40" s="14">
        <f t="shared" si="17"/>
        <v>0</v>
      </c>
      <c r="H40" s="40">
        <f t="shared" si="17"/>
        <v>0.30985915492957744</v>
      </c>
      <c r="I40" s="12">
        <f t="shared" si="17"/>
        <v>0.24665056007028333</v>
      </c>
      <c r="J40" s="12">
        <f t="shared" si="17"/>
        <v>0</v>
      </c>
      <c r="K40" s="14">
        <f t="shared" si="17"/>
        <v>0</v>
      </c>
      <c r="L40" s="14">
        <f t="shared" si="17"/>
        <v>0</v>
      </c>
      <c r="M40" s="14">
        <f t="shared" si="20"/>
        <v>0</v>
      </c>
      <c r="N40" s="12">
        <f t="shared" si="18"/>
        <v>0</v>
      </c>
      <c r="O40" s="12">
        <f t="shared" si="18"/>
        <v>0</v>
      </c>
      <c r="P40" s="14">
        <f t="shared" si="18"/>
        <v>0</v>
      </c>
      <c r="Q40" s="12">
        <f t="shared" si="19"/>
        <v>0</v>
      </c>
      <c r="R40" s="56"/>
      <c r="S40" s="76">
        <f>+GETPIVOTDATA(" Tot # Ast. Prof Old",'OLD Counts Pivot Table'!$A$3,"State","FL","Category",1,"Category2","Four-Year")</f>
        <v>1546</v>
      </c>
      <c r="T40" s="77">
        <f>+GETPIVOTDATA(" Tot # Ast. Prof Old",'OLD Counts Pivot Table'!$A$3,"State","FL","Category",2,"Category2","Four-Year")</f>
        <v>166</v>
      </c>
      <c r="U40" s="77">
        <f>+GETPIVOTDATA(" Tot # Ast. Prof Old",'OLD Counts Pivot Table'!$A$3,"State","FL","Category",3,"Category2","Four-Year")</f>
        <v>388</v>
      </c>
      <c r="V40" s="77">
        <f>+GETPIVOTDATA(" Tot # Ast. Prof Old",'OLD Counts Pivot Table'!$A$3,"State","FL","Category",4,"Category2","Four-Year")</f>
        <v>124</v>
      </c>
      <c r="W40" s="77">
        <f>+GETPIVOTDATA(" Tot # Ast. Prof Old",'OLD Counts Pivot Table'!$A$3,"State","FL","Category",5,"Category2","Four-Year")</f>
        <v>0</v>
      </c>
      <c r="X40" s="77">
        <f>+GETPIVOTDATA(" Tot # Ast. Prof Old",'OLD Counts Pivot Table'!$A$3,"State","FL","Category",6,"Category2","Four-Year")</f>
        <v>22</v>
      </c>
      <c r="Y40" s="78">
        <f>+GETPIVOTDATA(" Tot # Ast. Prof Old",'OLD Counts Pivot Table'!$A$3,"State","FL","Category2","Four-Year")</f>
        <v>2246</v>
      </c>
      <c r="Z40" s="76">
        <f>+GETPIVOTDATA(" Tot # Ast. Prof Old",'OLD Counts Pivot Table'!$A$3,"State","FL","Category",7,"Category2","Group2")</f>
        <v>0</v>
      </c>
      <c r="AA40" s="77">
        <f>+GETPIVOTDATA(" Tot # Ast. Prof Old",'OLD Counts Pivot Table'!$A$3,"State","FL","Category",8,"Category2","Group2")</f>
        <v>0</v>
      </c>
      <c r="AB40" s="77">
        <f>+GETPIVOTDATA(" Tot # Ast. Prof Old",'OLD Counts Pivot Table'!$A$3,"State","FL","Category",9,"Category2","Group2")</f>
        <v>0</v>
      </c>
      <c r="AC40" s="77">
        <f>+GETPIVOTDATA(" Tot # Ast. Prof Old",'OLD Counts Pivot Table'!$A$3,"State","FL","Category",10,"Category2","Group2")</f>
        <v>0</v>
      </c>
      <c r="AD40" s="77">
        <f>+GETPIVOTDATA(" Tot # Ast. Prof Old",'OLD Counts Pivot Table'!$A$3,"State","FL","Category",11,"Category2","Group2")</f>
        <v>0</v>
      </c>
      <c r="AE40" s="78">
        <f>+GETPIVOTDATA(" Tot # Ast. Prof Old",'OLD Counts Pivot Table'!$A$3,"State","FL","Category2","Group2")</f>
        <v>0</v>
      </c>
      <c r="AF40" s="76">
        <f>+GETPIVOTDATA(" Tot # Ast. Prof Old",'OLD Counts Pivot Table'!$A$3,"State","FL","Category",12,"Category2","Technical Institutes")</f>
        <v>0</v>
      </c>
      <c r="AG40" s="77">
        <f>+GETPIVOTDATA(" Tot # Ast. Prof Old",'OLD Counts Pivot Table'!$A$3,"State","FL","Category",13,"Category2","Technical Institutes")</f>
        <v>0</v>
      </c>
      <c r="AH40" s="76">
        <f>+GETPIVOTDATA(" Tot # Ast. Prof Old",'OLD Counts Pivot Table'!$A$3,"State","AR","Category2","Technical Institutes")</f>
        <v>0</v>
      </c>
    </row>
    <row r="41" spans="1:36" x14ac:dyDescent="0.2">
      <c r="A41" s="10"/>
      <c r="B41" s="18" t="s">
        <v>102</v>
      </c>
      <c r="C41" s="12">
        <f t="shared" si="17"/>
        <v>0.10042669917708016</v>
      </c>
      <c r="D41" s="14">
        <f t="shared" si="17"/>
        <v>0.23514211886304909</v>
      </c>
      <c r="E41" s="14">
        <f t="shared" si="17"/>
        <v>0.14027149321266968</v>
      </c>
      <c r="F41" s="14">
        <f t="shared" si="17"/>
        <v>0.24128686327077747</v>
      </c>
      <c r="G41" s="14">
        <f t="shared" si="17"/>
        <v>0</v>
      </c>
      <c r="H41" s="40">
        <f t="shared" si="17"/>
        <v>1.4084507042253521E-2</v>
      </c>
      <c r="I41" s="12">
        <f t="shared" si="17"/>
        <v>0.12277619152207336</v>
      </c>
      <c r="J41" s="12">
        <f t="shared" si="17"/>
        <v>0</v>
      </c>
      <c r="K41" s="14">
        <f t="shared" si="17"/>
        <v>0</v>
      </c>
      <c r="L41" s="14">
        <f t="shared" si="17"/>
        <v>0</v>
      </c>
      <c r="M41" s="14">
        <f t="shared" si="20"/>
        <v>0</v>
      </c>
      <c r="N41" s="12">
        <f t="shared" si="18"/>
        <v>0</v>
      </c>
      <c r="O41" s="12">
        <f t="shared" si="18"/>
        <v>0</v>
      </c>
      <c r="P41" s="14">
        <f t="shared" si="18"/>
        <v>0</v>
      </c>
      <c r="Q41" s="12">
        <f t="shared" si="19"/>
        <v>0</v>
      </c>
      <c r="R41" s="56"/>
      <c r="S41" s="76">
        <f>+GETPIVOTDATA(" Tot # Instr. Old",'OLD Counts Pivot Table'!$A$3,"State","FL","Category",1,"Category2","Four-Year")</f>
        <v>659</v>
      </c>
      <c r="T41" s="77">
        <f>+GETPIVOTDATA(" Tot # Instr. Old",'OLD Counts Pivot Table'!$A$3,"State","FL","Category",2,"Category2","Four-Year")</f>
        <v>182</v>
      </c>
      <c r="U41" s="77">
        <f>+GETPIVOTDATA(" Tot # Instr. Old",'OLD Counts Pivot Table'!$A$3,"State","FL","Category",3,"Category2","Four-Year")</f>
        <v>186</v>
      </c>
      <c r="V41" s="77">
        <f>+GETPIVOTDATA(" Tot # Instr. Old",'OLD Counts Pivot Table'!$A$3,"State","FL","Category",4,"Category2","Four-Year")</f>
        <v>90</v>
      </c>
      <c r="W41" s="77">
        <f>+GETPIVOTDATA(" Tot # Instr. Old",'OLD Counts Pivot Table'!$A$3,"State","FL","Category",5,"Category2","Four-Year")</f>
        <v>0</v>
      </c>
      <c r="X41" s="77">
        <f>+GETPIVOTDATA(" Tot # Instr. Old",'OLD Counts Pivot Table'!$A$3,"State","FL","Category",6,"Category2","Four-Year")</f>
        <v>1</v>
      </c>
      <c r="Y41" s="78">
        <f>+GETPIVOTDATA(" Tot # Instr. Old",'OLD Counts Pivot Table'!$A$3,"State","FL","Category2","Four-Year")</f>
        <v>1118</v>
      </c>
      <c r="Z41" s="76">
        <f>+GETPIVOTDATA(" Tot # Instr. Old",'OLD Counts Pivot Table'!$A$3,"State","FL","Category",7,"Category2","Group2")</f>
        <v>0</v>
      </c>
      <c r="AA41" s="77">
        <f>+GETPIVOTDATA(" Tot # Instr. Old",'OLD Counts Pivot Table'!$A$3,"State","FL","Category",8,"Category2","Group2")</f>
        <v>0</v>
      </c>
      <c r="AB41" s="77">
        <f>+GETPIVOTDATA(" Tot # Instr. Old",'OLD Counts Pivot Table'!$A$3,"State","FL","Category",9,"Category2","Group2")</f>
        <v>0</v>
      </c>
      <c r="AC41" s="77">
        <f>+GETPIVOTDATA(" Tot # Instr. Old",'OLD Counts Pivot Table'!$A$3,"State","FL","Category",10,"Category2","Group2")</f>
        <v>0</v>
      </c>
      <c r="AD41" s="77">
        <f>+GETPIVOTDATA(" Tot # Instr. Old",'OLD Counts Pivot Table'!$A$3,"State","FL","Category",11,"Category2","Group2")</f>
        <v>0</v>
      </c>
      <c r="AE41" s="78">
        <f>+GETPIVOTDATA(" Tot # Instr. Old",'OLD Counts Pivot Table'!$A$3,"State","FL","Category2","Group2")</f>
        <v>0</v>
      </c>
      <c r="AF41" s="76">
        <f>+GETPIVOTDATA(" Tot # Instr. Old",'OLD Counts Pivot Table'!$A$3,"State","FL","Category",12,"Category2","Technical Institutes")</f>
        <v>0</v>
      </c>
      <c r="AG41" s="77">
        <f>+GETPIVOTDATA(" Tot # Instr. Old",'OLD Counts Pivot Table'!$A$3,"State","FL","Category",13,"Category2","Technical Institutes")</f>
        <v>0</v>
      </c>
      <c r="AH41" s="76">
        <f>+GETPIVOTDATA(" Tot # Instr. Old",'OLD Counts Pivot Table'!$A$3,"State","AR","Category2","Technical Institutes")</f>
        <v>0</v>
      </c>
    </row>
    <row r="42" spans="1:36" x14ac:dyDescent="0.2">
      <c r="A42" s="10"/>
      <c r="B42" s="18" t="s">
        <v>83</v>
      </c>
      <c r="C42" s="12">
        <f t="shared" si="17"/>
        <v>8.1834806461444684E-2</v>
      </c>
      <c r="D42" s="14">
        <f t="shared" si="17"/>
        <v>3.875968992248062E-3</v>
      </c>
      <c r="E42" s="14">
        <f t="shared" si="17"/>
        <v>3.3936651583710405E-2</v>
      </c>
      <c r="F42" s="14">
        <f t="shared" si="17"/>
        <v>0</v>
      </c>
      <c r="G42" s="153">
        <f t="shared" si="17"/>
        <v>0</v>
      </c>
      <c r="H42" s="40">
        <f t="shared" si="17"/>
        <v>0</v>
      </c>
      <c r="I42" s="12">
        <f t="shared" si="17"/>
        <v>6.424335602899188E-2</v>
      </c>
      <c r="J42" s="12">
        <f t="shared" si="17"/>
        <v>0</v>
      </c>
      <c r="K42" s="14">
        <f t="shared" si="17"/>
        <v>0</v>
      </c>
      <c r="L42" s="14">
        <f t="shared" si="17"/>
        <v>0</v>
      </c>
      <c r="M42" s="14">
        <f t="shared" si="20"/>
        <v>0</v>
      </c>
      <c r="N42" s="12">
        <f t="shared" si="18"/>
        <v>0</v>
      </c>
      <c r="O42" s="12">
        <f t="shared" si="18"/>
        <v>0</v>
      </c>
      <c r="P42" s="14">
        <f t="shared" si="18"/>
        <v>0</v>
      </c>
      <c r="Q42" s="12">
        <f t="shared" si="19"/>
        <v>0</v>
      </c>
      <c r="R42" s="56"/>
      <c r="S42" s="76">
        <f>++GETPIVOTDATA(" Tot # Undes. Old",'OLD Counts Pivot Table'!$A$3,"State","FL","Category",1,"Category2","Four-Year")</f>
        <v>537</v>
      </c>
      <c r="T42" s="77">
        <f>+GETPIVOTDATA(" Tot # Undes. Old",'OLD Counts Pivot Table'!$A$3,"State","FL","Category",2,"Category2","Four-Year")</f>
        <v>3</v>
      </c>
      <c r="U42" s="77">
        <f>+GETPIVOTDATA(" Tot # Undes. Old",'OLD Counts Pivot Table'!$A$3,"State","FL","Category",3,"Category2","Four-Year")</f>
        <v>45</v>
      </c>
      <c r="V42" s="77">
        <f>+GETPIVOTDATA(" Tot # Undes. Old",'OLD Counts Pivot Table'!$A$3,"State","FL","Category",4,"Category2","Four-Year")</f>
        <v>0</v>
      </c>
      <c r="W42" s="77">
        <f>+GETPIVOTDATA(" Tot # Undes. Old",'OLD Counts Pivot Table'!$A$3,"State","FL","Category",5,"Category2","Four-Year")</f>
        <v>0</v>
      </c>
      <c r="X42" s="77">
        <f>+GETPIVOTDATA(" Tot # Undes. Old",'OLD Counts Pivot Table'!$A$3,"State","FL","Category",6,"Category2","Four-Year")</f>
        <v>0</v>
      </c>
      <c r="Y42" s="78">
        <f>+GETPIVOTDATA(" Tot # Undes. Old",'OLD Counts Pivot Table'!$A$3,"State","FL","Category2","Four-Year")</f>
        <v>585</v>
      </c>
      <c r="Z42" s="76">
        <f>+GETPIVOTDATA(" Tot # Undes. Old",'OLD Counts Pivot Table'!$A$3,"State","FL","Category",7,"Category2","Group2")</f>
        <v>0</v>
      </c>
      <c r="AA42" s="77">
        <f>+GETPIVOTDATA(" Tot # Undes. Old",'OLD Counts Pivot Table'!$A$3,"State","FL","Category",8,"Category2","Group2")</f>
        <v>0</v>
      </c>
      <c r="AB42" s="77">
        <f>+GETPIVOTDATA(" Tot # Undes. Old",'OLD Counts Pivot Table'!$A$3,"State","FL","Category",9,"Category2","Group2")</f>
        <v>0</v>
      </c>
      <c r="AC42" s="77">
        <f>+GETPIVOTDATA(" Tot # Undes. Old",'OLD Counts Pivot Table'!$A$3,"State","FL","Category",10,"Category2","Group2")</f>
        <v>0</v>
      </c>
      <c r="AD42" s="77">
        <f>+GETPIVOTDATA(" Tot # Undes. Old",'OLD Counts Pivot Table'!$A$3,"State","FL","Category",11,"Category2","Group2")</f>
        <v>0</v>
      </c>
      <c r="AE42" s="78">
        <f>+GETPIVOTDATA(" Tot # Undes. Old",'OLD Counts Pivot Table'!$A$3,"State","FL","Category2","Group2")</f>
        <v>0</v>
      </c>
      <c r="AF42" s="76">
        <f>+GETPIVOTDATA(" Tot # Undes. Old",'OLD Counts Pivot Table'!$A$3,"State","FL","Category",12,"Category2","Technical Institutes")</f>
        <v>0</v>
      </c>
      <c r="AG42" s="77">
        <f>+GETPIVOTDATA(" Tot # Undes. Old",'OLD Counts Pivot Table'!$A$3,"State","FL","Category",13,"Category2","Technical Institutes")</f>
        <v>0</v>
      </c>
      <c r="AH42" s="76">
        <f>+GETPIVOTDATA(" Tot # Undes. Old",'OLD Counts Pivot Table'!$A$3,"State","AR","Category2","Technical Institutes")</f>
        <v>0</v>
      </c>
    </row>
    <row r="43" spans="1:36" x14ac:dyDescent="0.2">
      <c r="A43" s="10"/>
      <c r="B43" s="18" t="s">
        <v>82</v>
      </c>
      <c r="C43" s="12">
        <f t="shared" si="17"/>
        <v>0</v>
      </c>
      <c r="D43" s="14">
        <f t="shared" si="17"/>
        <v>0</v>
      </c>
      <c r="E43" s="103">
        <f t="shared" si="17"/>
        <v>0</v>
      </c>
      <c r="F43" s="14">
        <f t="shared" si="17"/>
        <v>0</v>
      </c>
      <c r="G43" s="103">
        <f t="shared" si="17"/>
        <v>0</v>
      </c>
      <c r="H43" s="40">
        <f t="shared" si="17"/>
        <v>0</v>
      </c>
      <c r="I43" s="102">
        <f t="shared" si="17"/>
        <v>0</v>
      </c>
      <c r="J43" s="12">
        <f t="shared" si="17"/>
        <v>1</v>
      </c>
      <c r="K43" s="14">
        <f t="shared" si="17"/>
        <v>1</v>
      </c>
      <c r="L43" s="14">
        <f t="shared" si="17"/>
        <v>1</v>
      </c>
      <c r="M43" s="14">
        <f t="shared" si="20"/>
        <v>1</v>
      </c>
      <c r="N43" s="12">
        <f t="shared" si="18"/>
        <v>1</v>
      </c>
      <c r="O43" s="12">
        <f t="shared" si="18"/>
        <v>0</v>
      </c>
      <c r="P43" s="14">
        <f t="shared" si="18"/>
        <v>0</v>
      </c>
      <c r="Q43" s="12">
        <f t="shared" si="19"/>
        <v>0</v>
      </c>
      <c r="R43" s="56"/>
      <c r="S43" s="76">
        <f>+GETPIVOTDATA(" Tot # Single Rnk Old",'OLD Counts Pivot Table'!$A$3,"State","FL","Category",1,"Category2","Four-Year")</f>
        <v>0</v>
      </c>
      <c r="T43" s="77">
        <f>+GETPIVOTDATA(" Tot # Single Rnk Old",'OLD Counts Pivot Table'!$A$3,"State","FL","Category",2,"Category2","Four-Year")</f>
        <v>0</v>
      </c>
      <c r="U43" s="77">
        <f>+GETPIVOTDATA(" Tot # Single Rnk Old",'OLD Counts Pivot Table'!$A$3,"State","FL","Category",3,"Category2","Four-Year")</f>
        <v>0</v>
      </c>
      <c r="V43" s="77">
        <f>+GETPIVOTDATA(" Tot # Single Rnk Old",'OLD Counts Pivot Table'!$A$3,"State","FL","Category",4,"Category2","Four-Year")</f>
        <v>0</v>
      </c>
      <c r="W43" s="77">
        <f>+GETPIVOTDATA(" Tot # Single Rnk Old",'OLD Counts Pivot Table'!$A$3,"State","FL","Category",5,"Category2","Four-Year")</f>
        <v>0</v>
      </c>
      <c r="X43" s="77">
        <f>+GETPIVOTDATA(" Tot # Single Rnk Old",'OLD Counts Pivot Table'!$A$3,"State","FL","Category",6,"Category2","Four-Year")</f>
        <v>0</v>
      </c>
      <c r="Y43" s="78">
        <f>+GETPIVOTDATA(" Tot # Single Rnk Old",'OLD Counts Pivot Table'!$A$3,"State","FL","Category2","Four-Year")</f>
        <v>0</v>
      </c>
      <c r="Z43" s="76">
        <f>+GETPIVOTDATA(" Tot # Single Rnk Old",'OLD Counts Pivot Table'!$A$3,"State","FL","Category",7,"Category2","Group2")</f>
        <v>2147</v>
      </c>
      <c r="AA43" s="77">
        <f>+GETPIVOTDATA(" Tot # Single Rnk Old",'OLD Counts Pivot Table'!$A$3,"State","FL","Category",8,"Category2","Group2")</f>
        <v>2856</v>
      </c>
      <c r="AB43" s="77">
        <f>+GETPIVOTDATA(" Tot # Single Rnk Old",'OLD Counts Pivot Table'!$A$3,"State","FL","Category",9,"Category2","Group2")</f>
        <v>433</v>
      </c>
      <c r="AC43" s="77">
        <f>+GETPIVOTDATA(" Tot # Single Rnk Old",'OLD Counts Pivot Table'!$A$3,"State","FL","Category",10,"Category2","Group2")</f>
        <v>57</v>
      </c>
      <c r="AD43" s="77">
        <f>+GETPIVOTDATA(" Tot # Single Rnk Old",'OLD Counts Pivot Table'!$A$3,"State","FL","Category",11,"Category2","Group2")</f>
        <v>0</v>
      </c>
      <c r="AE43" s="78">
        <f>+GETPIVOTDATA(" Tot # Single Rnk Old",'OLD Counts Pivot Table'!$A$3,"State","FL","Category2","Group2")</f>
        <v>5493</v>
      </c>
      <c r="AF43" s="76">
        <f>+GETPIVOTDATA(" Tot # Single Rnk Old",'OLD Counts Pivot Table'!$A$3,"State","FL","Category",12,"Category2","Technical Institutes")</f>
        <v>0</v>
      </c>
      <c r="AG43" s="77">
        <f>+GETPIVOTDATA(" Tot # Single Rnk Old",'OLD Counts Pivot Table'!$A$3,"State","FL","Category",13,"Category2","Technical Institutes")</f>
        <v>0</v>
      </c>
      <c r="AH43" s="76">
        <f>+GETPIVOTDATA(" Tot # Single Rnk Old",'OLD Counts Pivot Table'!$A$3,"State","AR","Category2","Technical Institutes")</f>
        <v>0</v>
      </c>
    </row>
    <row r="44" spans="1:36" s="33" customFormat="1" x14ac:dyDescent="0.25">
      <c r="A44" s="109"/>
      <c r="B44" s="110" t="s">
        <v>84</v>
      </c>
      <c r="C44" s="13">
        <f t="shared" si="17"/>
        <v>1</v>
      </c>
      <c r="D44" s="11">
        <f t="shared" si="17"/>
        <v>1</v>
      </c>
      <c r="E44" s="11">
        <f t="shared" si="17"/>
        <v>1</v>
      </c>
      <c r="F44" s="11">
        <f t="shared" si="17"/>
        <v>1</v>
      </c>
      <c r="G44" s="11">
        <f t="shared" si="17"/>
        <v>0</v>
      </c>
      <c r="H44" s="41">
        <f t="shared" si="17"/>
        <v>1</v>
      </c>
      <c r="I44" s="13">
        <f t="shared" si="17"/>
        <v>1</v>
      </c>
      <c r="J44" s="13">
        <f t="shared" si="17"/>
        <v>1</v>
      </c>
      <c r="K44" s="11">
        <f t="shared" si="17"/>
        <v>1</v>
      </c>
      <c r="L44" s="11">
        <f t="shared" si="17"/>
        <v>1</v>
      </c>
      <c r="M44" s="11">
        <f t="shared" si="20"/>
        <v>1</v>
      </c>
      <c r="N44" s="13">
        <f t="shared" si="18"/>
        <v>1</v>
      </c>
      <c r="O44" s="13">
        <f t="shared" si="18"/>
        <v>0</v>
      </c>
      <c r="P44" s="11">
        <f t="shared" si="18"/>
        <v>0</v>
      </c>
      <c r="Q44" s="13">
        <f t="shared" si="19"/>
        <v>0</v>
      </c>
      <c r="R44" s="57"/>
      <c r="S44" s="79">
        <f>+GETPIVOTDATA(" All Ranks # Old",'OLD Counts Pivot Table'!$A$3,"State","FL","Category",1,"Category2","Four-Year")</f>
        <v>6562</v>
      </c>
      <c r="T44" s="80">
        <f>+GETPIVOTDATA(" All Ranks # Old",'OLD Counts Pivot Table'!$A$3,"State","FL","Category",2,"Category2","Four-Year")</f>
        <v>774</v>
      </c>
      <c r="U44" s="80">
        <f>+GETPIVOTDATA(" All Ranks # Old",'OLD Counts Pivot Table'!$A$3,"State","FL","Category",3,"Category2","Four-Year")</f>
        <v>1326</v>
      </c>
      <c r="V44" s="80">
        <f>+GETPIVOTDATA(" All Ranks # Old",'OLD Counts Pivot Table'!$A$3,"State","FL","Category",4,"Category2","Four-Year")</f>
        <v>373</v>
      </c>
      <c r="W44" s="80">
        <f>+GETPIVOTDATA(" All Ranks # Old",'OLD Counts Pivot Table'!$A$3,"State","FL","Category",5,"Category2","Four-Year")</f>
        <v>0</v>
      </c>
      <c r="X44" s="80">
        <f>+GETPIVOTDATA(" All Ranks # Old",'OLD Counts Pivot Table'!$A$3,"State","FL","Category",6,"Category2","Four-Year")</f>
        <v>71</v>
      </c>
      <c r="Y44" s="81">
        <f>+GETPIVOTDATA(" All Ranks # Old",'OLD Counts Pivot Table'!$A$3,"State","FL","Category2","Four-Year")</f>
        <v>9106</v>
      </c>
      <c r="Z44" s="79">
        <f>+GETPIVOTDATA(" All Ranks # Old",'OLD Counts Pivot Table'!$A$3,"State","FL","Category",7,"Category2","Group2")</f>
        <v>2147</v>
      </c>
      <c r="AA44" s="80">
        <f>+GETPIVOTDATA(" All Ranks # Old",'OLD Counts Pivot Table'!$A$3,"State","FL","Category",8,"Category2","Group2")</f>
        <v>2856</v>
      </c>
      <c r="AB44" s="80">
        <f>+GETPIVOTDATA(" All Ranks # Old",'OLD Counts Pivot Table'!$A$3,"State","FL","Category",9,"Category2","Group2")</f>
        <v>433</v>
      </c>
      <c r="AC44" s="80">
        <f>+GETPIVOTDATA(" All Ranks # Old",'OLD Counts Pivot Table'!$A$3,"State","FL","Category",10,"Category2","Group2")</f>
        <v>57</v>
      </c>
      <c r="AD44" s="80">
        <f>+GETPIVOTDATA(" All Ranks # Old",'OLD Counts Pivot Table'!$A$3,"State","FL","Category",11,"Category2","Group2")</f>
        <v>0</v>
      </c>
      <c r="AE44" s="81">
        <f>+GETPIVOTDATA(" All Ranks # Old",'OLD Counts Pivot Table'!$A$3,"State","FL","Category2","Group2")</f>
        <v>5493</v>
      </c>
      <c r="AF44" s="79">
        <f>+GETPIVOTDATA(" All Ranks # Old",'OLD Counts Pivot Table'!$A$3,"State","FL","Category",12,"Category2","Technical Institutes")</f>
        <v>0</v>
      </c>
      <c r="AG44" s="80">
        <f>+GETPIVOTDATA(" All Ranks # Old",'OLD Counts Pivot Table'!$A$3,"State","FL","Category",13,"Category2","Technical Institutes")</f>
        <v>0</v>
      </c>
      <c r="AH44" s="79">
        <f>+GETPIVOTDATA(" All Ranks # Old",'OLD Counts Pivot Table'!$A$3,"State","AR","Category2","Technical Institutes")</f>
        <v>0</v>
      </c>
      <c r="AI44" s="82"/>
      <c r="AJ44" s="82"/>
    </row>
    <row r="45" spans="1:36" x14ac:dyDescent="0.2">
      <c r="A45" s="18" t="s">
        <v>112</v>
      </c>
      <c r="B45" s="15" t="s">
        <v>99</v>
      </c>
      <c r="C45" s="16">
        <f t="shared" ref="C45:M51" si="21">IF(S$51&gt;0,(S45/S$51),0)</f>
        <v>0.31588319088319089</v>
      </c>
      <c r="D45" s="17">
        <f t="shared" si="21"/>
        <v>0.42153846153846153</v>
      </c>
      <c r="E45" s="17">
        <f t="shared" si="21"/>
        <v>0.24373854612095297</v>
      </c>
      <c r="F45" s="17">
        <f t="shared" si="21"/>
        <v>0.20443925233644861</v>
      </c>
      <c r="G45" s="17">
        <f t="shared" si="21"/>
        <v>0.2132486388384755</v>
      </c>
      <c r="H45" s="39">
        <f t="shared" si="21"/>
        <v>7.2972972972972977E-2</v>
      </c>
      <c r="I45" s="16">
        <f t="shared" si="21"/>
        <v>0.26836355183635519</v>
      </c>
      <c r="J45" s="16">
        <f t="shared" si="21"/>
        <v>0.16919739696312364</v>
      </c>
      <c r="K45" s="17">
        <f t="shared" si="21"/>
        <v>0.10176991150442478</v>
      </c>
      <c r="L45" s="17">
        <f t="shared" si="21"/>
        <v>8.3783783783783788E-2</v>
      </c>
      <c r="M45" s="17">
        <f t="shared" si="21"/>
        <v>7.1428571428571425E-2</v>
      </c>
      <c r="N45" s="16">
        <f t="shared" ref="N45:P51" si="22">IF(AE$51&gt;0,(AE45/AE$51),0)</f>
        <v>0.11085316308763785</v>
      </c>
      <c r="O45" s="91">
        <f t="shared" si="22"/>
        <v>0</v>
      </c>
      <c r="P45" s="17">
        <f t="shared" si="22"/>
        <v>0</v>
      </c>
      <c r="Q45" s="91">
        <f t="shared" ref="Q45:Q51" si="23">IF(AH$51&gt;0,(AH45/AH$51),0)</f>
        <v>0</v>
      </c>
      <c r="R45" s="83"/>
      <c r="S45" s="73">
        <f>+GETPIVOTDATA(" Total # Prof Old",'OLD Counts Pivot Table'!$A$3,"State","ga","Category",1,"Category2","Four-Year")</f>
        <v>887</v>
      </c>
      <c r="T45" s="74">
        <f>+GETPIVOTDATA(" Total # Prof Old",'OLD Counts Pivot Table'!$A$3,"State","ga","Category",2,"Category2","Four-Year")</f>
        <v>411</v>
      </c>
      <c r="U45" s="74">
        <f>+GETPIVOTDATA(" Total # Prof Old",'OLD Counts Pivot Table'!$A$3,"State","ga","Category",3,"Category2","Four-Year")</f>
        <v>399</v>
      </c>
      <c r="V45" s="74">
        <f>+GETPIVOTDATA(" Total # Prof Old",'OLD Counts Pivot Table'!$A$3,"State","ga","Category",4,"Category2","Four-Year")</f>
        <v>350</v>
      </c>
      <c r="W45" s="74">
        <f>+GETPIVOTDATA(" Total # Prof Old",'OLD Counts Pivot Table'!$A$3,"State","ga","Category",5,"Category2","Four-Year")</f>
        <v>235</v>
      </c>
      <c r="X45" s="74">
        <f>+GETPIVOTDATA(" Total # Prof Old",'OLD Counts Pivot Table'!$A$3,"State","ga","Category",6,"Category2","Four-Year")</f>
        <v>27</v>
      </c>
      <c r="Y45" s="75">
        <f>+GETPIVOTDATA(" Total # Prof Old",'OLD Counts Pivot Table'!$A$3,"State","ga","Category2","Four-Year")</f>
        <v>2309</v>
      </c>
      <c r="Z45" s="73">
        <f>+GETPIVOTDATA(" Total # Prof Old",'OLD Counts Pivot Table'!$A$3,"State","ga","Category",7,"Category2","Group2")</f>
        <v>78</v>
      </c>
      <c r="AA45" s="74">
        <f>+GETPIVOTDATA(" Total # Prof Old",'OLD Counts Pivot Table'!$A$3,"State","ga","Category",8,"Category2","Group2")</f>
        <v>46</v>
      </c>
      <c r="AB45" s="74">
        <f>+GETPIVOTDATA(" Total # Prof Old",'OLD Counts Pivot Table'!$A$3,"State","ga","Category",9,"Category2","Group2")</f>
        <v>62</v>
      </c>
      <c r="AC45" s="74">
        <f>+GETPIVOTDATA(" Total # Prof Old",'OLD Counts Pivot Table'!$A$3,"State","ga","Category",10,"Category2","Group2")</f>
        <v>5</v>
      </c>
      <c r="AD45" s="74">
        <f>+GETPIVOTDATA(" Total # Prof Old",'OLD Counts Pivot Table'!$A$3,"State","ga","Category",11,"Category2","Group2")</f>
        <v>0</v>
      </c>
      <c r="AE45" s="75">
        <f>+GETPIVOTDATA(" Total # Prof Old",'OLD Counts Pivot Table'!$A$3,"State","ga","Category2","Group2")</f>
        <v>191</v>
      </c>
      <c r="AF45" s="73">
        <f>+GETPIVOTDATA(" Total # Prof Old",'OLD Counts Pivot Table'!$A$3,"State","ga","Category",12,"Category2","Technical Institutes")</f>
        <v>0</v>
      </c>
      <c r="AG45" s="74">
        <f>+GETPIVOTDATA(" Total # Prof Old",'OLD Counts Pivot Table'!$A$3,"State","ga","Category",13,"Category2","Technical Institutes")</f>
        <v>0</v>
      </c>
      <c r="AH45" s="73">
        <f>+GETPIVOTDATA(" Total # Prof Old",'OLD Counts Pivot Table'!$A$3,"State","AR","Category2","Technical Institutes")</f>
        <v>0</v>
      </c>
    </row>
    <row r="46" spans="1:36" x14ac:dyDescent="0.2">
      <c r="A46" s="10"/>
      <c r="B46" s="18" t="s">
        <v>100</v>
      </c>
      <c r="C46" s="12">
        <f t="shared" si="21"/>
        <v>0.28062678062678065</v>
      </c>
      <c r="D46" s="14">
        <f t="shared" si="21"/>
        <v>0.24717948717948718</v>
      </c>
      <c r="E46" s="14">
        <f t="shared" si="21"/>
        <v>0.24434941967012827</v>
      </c>
      <c r="F46" s="14">
        <f t="shared" si="21"/>
        <v>0.23539719626168223</v>
      </c>
      <c r="G46" s="14">
        <f t="shared" si="21"/>
        <v>0.25045372050816694</v>
      </c>
      <c r="H46" s="40">
        <f t="shared" si="21"/>
        <v>0.21351351351351353</v>
      </c>
      <c r="I46" s="12">
        <f t="shared" si="21"/>
        <v>0.25418410041841005</v>
      </c>
      <c r="J46" s="12">
        <f t="shared" si="21"/>
        <v>0.27331887201735355</v>
      </c>
      <c r="K46" s="14">
        <f t="shared" si="21"/>
        <v>0.3584070796460177</v>
      </c>
      <c r="L46" s="14">
        <f t="shared" si="21"/>
        <v>0.1864864864864865</v>
      </c>
      <c r="M46" s="14">
        <f t="shared" ref="M46:M51" si="24">IF(AC$51&gt;0,(AC46/AC$51),0)</f>
        <v>0.18571428571428572</v>
      </c>
      <c r="N46" s="12">
        <f t="shared" si="22"/>
        <v>0.25478816018572259</v>
      </c>
      <c r="O46" s="12">
        <f t="shared" si="22"/>
        <v>0</v>
      </c>
      <c r="P46" s="14">
        <f t="shared" si="22"/>
        <v>0</v>
      </c>
      <c r="Q46" s="12">
        <f t="shared" si="23"/>
        <v>0</v>
      </c>
      <c r="R46" s="56"/>
      <c r="S46" s="76">
        <f>+GETPIVOTDATA(" Tot # Asc. Prof Old",'OLD Counts Pivot Table'!$A$3,"State","ga","Category",1,"Category2","Four-Year")</f>
        <v>788</v>
      </c>
      <c r="T46" s="77">
        <f>+GETPIVOTDATA(" Tot # Asc. Prof Old",'OLD Counts Pivot Table'!$A$3,"State","ga","Category",2,"Category2","Four-Year")</f>
        <v>241</v>
      </c>
      <c r="U46" s="77">
        <f>+GETPIVOTDATA(" Tot # Asc. Prof Old",'OLD Counts Pivot Table'!$A$3,"State","ga","Category",3,"Category2","Four-Year")</f>
        <v>400</v>
      </c>
      <c r="V46" s="77">
        <f>+GETPIVOTDATA(" Tot # Asc. Prof Old",'OLD Counts Pivot Table'!$A$3,"State","ga","Category",4,"Category2","Four-Year")</f>
        <v>403</v>
      </c>
      <c r="W46" s="77">
        <f>+GETPIVOTDATA(" Tot # Asc. Prof Old",'OLD Counts Pivot Table'!$A$3,"State","ga","Category",5,"Category2","Four-Year")</f>
        <v>276</v>
      </c>
      <c r="X46" s="77">
        <f>+GETPIVOTDATA(" Tot # Asc. Prof Old",'OLD Counts Pivot Table'!$A$3,"State","ga","Category",6,"Category2","Four-Year")</f>
        <v>79</v>
      </c>
      <c r="Y46" s="78">
        <f>+GETPIVOTDATA(" Tot # Asc. Prof Old",'OLD Counts Pivot Table'!$A$3,"State","ga","Category2","Four-Year")</f>
        <v>2187</v>
      </c>
      <c r="Z46" s="76">
        <f>+GETPIVOTDATA(" Tot # Asc. Prof Old",'OLD Counts Pivot Table'!$A$3,"State","ga","Category",7,"Category2","Group2")</f>
        <v>126</v>
      </c>
      <c r="AA46" s="77">
        <f>+GETPIVOTDATA(" Tot # Asc. Prof Old",'OLD Counts Pivot Table'!$A$3,"State","ga","Category",8,"Category2","Group2")</f>
        <v>162</v>
      </c>
      <c r="AB46" s="77">
        <f>+GETPIVOTDATA(" Tot # Asc. Prof Old",'OLD Counts Pivot Table'!$A$3,"State","ga","Category",9,"Category2","Group2")</f>
        <v>138</v>
      </c>
      <c r="AC46" s="77">
        <f>+GETPIVOTDATA(" Tot # Asc. Prof Old",'OLD Counts Pivot Table'!$A$3,"State","ga","Category",10,"Category2","Group2")</f>
        <v>13</v>
      </c>
      <c r="AD46" s="77">
        <f>+GETPIVOTDATA(" Tot # Asc. Prof Old",'OLD Counts Pivot Table'!$A$3,"State","ga","Category",11,"Category2","Group2")</f>
        <v>0</v>
      </c>
      <c r="AE46" s="78">
        <f>+GETPIVOTDATA(" Tot # Asc. Prof Old",'OLD Counts Pivot Table'!$A$3,"State","ga","Category2","Group2")</f>
        <v>439</v>
      </c>
      <c r="AF46" s="76">
        <f>+GETPIVOTDATA(" Tot # Asc. Prof Old",'OLD Counts Pivot Table'!$A$3,"State","ga","Category",12,"Category2","Technical Institutes")</f>
        <v>0</v>
      </c>
      <c r="AG46" s="77">
        <f>+GETPIVOTDATA(" Tot # Asc. Prof Old",'OLD Counts Pivot Table'!$A$3,"State","ga","Category",13,"Category2","Technical Institutes")</f>
        <v>0</v>
      </c>
      <c r="AH46" s="76">
        <f>+GETPIVOTDATA(" Tot # Asc. Prof Old",'OLD Counts Pivot Table'!$A$3,"State","AR","Category2","Technical Institutes")</f>
        <v>0</v>
      </c>
    </row>
    <row r="47" spans="1:36" x14ac:dyDescent="0.2">
      <c r="A47" s="10"/>
      <c r="B47" s="18" t="s">
        <v>101</v>
      </c>
      <c r="C47" s="12">
        <f t="shared" si="21"/>
        <v>0.27314814814814814</v>
      </c>
      <c r="D47" s="14">
        <f t="shared" si="21"/>
        <v>0.2287179487179487</v>
      </c>
      <c r="E47" s="14">
        <f t="shared" si="21"/>
        <v>0.337202199144777</v>
      </c>
      <c r="F47" s="14">
        <f t="shared" si="21"/>
        <v>0.3855140186915888</v>
      </c>
      <c r="G47" s="14">
        <f t="shared" si="21"/>
        <v>0.36116152450090744</v>
      </c>
      <c r="H47" s="40">
        <f t="shared" si="21"/>
        <v>0.64054054054054055</v>
      </c>
      <c r="I47" s="12">
        <f t="shared" si="21"/>
        <v>0.32973035797303579</v>
      </c>
      <c r="J47" s="12">
        <f t="shared" si="21"/>
        <v>0.40997830802603036</v>
      </c>
      <c r="K47" s="14">
        <f t="shared" si="21"/>
        <v>0.25663716814159293</v>
      </c>
      <c r="L47" s="14">
        <f t="shared" si="21"/>
        <v>0.39189189189189189</v>
      </c>
      <c r="M47" s="14">
        <f t="shared" si="24"/>
        <v>0.4</v>
      </c>
      <c r="N47" s="12">
        <f t="shared" si="22"/>
        <v>0.36157864190365641</v>
      </c>
      <c r="O47" s="12">
        <f t="shared" si="22"/>
        <v>0</v>
      </c>
      <c r="P47" s="14">
        <f t="shared" si="22"/>
        <v>0</v>
      </c>
      <c r="Q47" s="12">
        <f t="shared" si="23"/>
        <v>0</v>
      </c>
      <c r="R47" s="56"/>
      <c r="S47" s="76">
        <f>+GETPIVOTDATA(" Tot # Ast. Prof Old",'OLD Counts Pivot Table'!$A$3,"State","ga","Category",1,"Category2","Four-Year")</f>
        <v>767</v>
      </c>
      <c r="T47" s="77">
        <f>+GETPIVOTDATA(" Tot # Ast. Prof Old",'OLD Counts Pivot Table'!$A$3,"State","ga","Category",2,"Category2","Four-Year")</f>
        <v>223</v>
      </c>
      <c r="U47" s="77">
        <f>+GETPIVOTDATA(" Tot # Ast. Prof Old",'OLD Counts Pivot Table'!$A$3,"State","ga","Category",3,"Category2","Four-Year")</f>
        <v>552</v>
      </c>
      <c r="V47" s="77">
        <f>+GETPIVOTDATA(" Tot # Ast. Prof Old",'OLD Counts Pivot Table'!$A$3,"State","ga","Category",4,"Category2","Four-Year")</f>
        <v>660</v>
      </c>
      <c r="W47" s="77">
        <f>+GETPIVOTDATA(" Tot # Ast. Prof Old",'OLD Counts Pivot Table'!$A$3,"State","ga","Category",5,"Category2","Four-Year")</f>
        <v>398</v>
      </c>
      <c r="X47" s="77">
        <f>+GETPIVOTDATA(" Tot # Ast. Prof Old",'OLD Counts Pivot Table'!$A$3,"State","ga","Category",6,"Category2","Four-Year")</f>
        <v>237</v>
      </c>
      <c r="Y47" s="78">
        <f>+GETPIVOTDATA(" Tot # Ast. Prof Old",'OLD Counts Pivot Table'!$A$3,"State","ga","Category2","Four-Year")</f>
        <v>2837</v>
      </c>
      <c r="Z47" s="76">
        <f>+GETPIVOTDATA(" Tot # Ast. Prof Old",'OLD Counts Pivot Table'!$A$3,"State","ga","Category",7,"Category2","Group2")</f>
        <v>189</v>
      </c>
      <c r="AA47" s="77">
        <f>+GETPIVOTDATA(" Tot # Ast. Prof Old",'OLD Counts Pivot Table'!$A$3,"State","ga","Category",8,"Category2","Group2")</f>
        <v>116</v>
      </c>
      <c r="AB47" s="77">
        <f>+GETPIVOTDATA(" Tot # Ast. Prof Old",'OLD Counts Pivot Table'!$A$3,"State","ga","Category",9,"Category2","Group2")</f>
        <v>290</v>
      </c>
      <c r="AC47" s="77">
        <f>+GETPIVOTDATA(" Tot # Ast. Prof Old",'OLD Counts Pivot Table'!$A$3,"State","ga","Category",10,"Category2","Group2")</f>
        <v>28</v>
      </c>
      <c r="AD47" s="77">
        <f>+GETPIVOTDATA(" Tot # Ast. Prof Old",'OLD Counts Pivot Table'!$A$3,"State","ga","Category",11,"Category2","Group2")</f>
        <v>0</v>
      </c>
      <c r="AE47" s="78">
        <f>+GETPIVOTDATA(" Tot # Ast. Prof Old",'OLD Counts Pivot Table'!$A$3,"State","ga","Category2","Group2")</f>
        <v>623</v>
      </c>
      <c r="AF47" s="76">
        <f>+GETPIVOTDATA(" Tot # Ast. Prof Old",'OLD Counts Pivot Table'!$A$3,"State","ga","Category",12,"Category2","Technical Institutes")</f>
        <v>0</v>
      </c>
      <c r="AG47" s="77">
        <f>+GETPIVOTDATA(" Tot # Ast. Prof Old",'OLD Counts Pivot Table'!$A$3,"State","ga","Category",13,"Category2","Technical Institutes")</f>
        <v>0</v>
      </c>
      <c r="AH47" s="76">
        <f>+GETPIVOTDATA(" Tot # Ast. Prof Old",'OLD Counts Pivot Table'!$A$3,"State","AR","Category2","Technical Institutes")</f>
        <v>0</v>
      </c>
    </row>
    <row r="48" spans="1:36" x14ac:dyDescent="0.2">
      <c r="A48" s="10"/>
      <c r="B48" s="18" t="s">
        <v>102</v>
      </c>
      <c r="C48" s="12">
        <f t="shared" si="21"/>
        <v>3.7749287749287749E-2</v>
      </c>
      <c r="D48" s="14">
        <f t="shared" si="21"/>
        <v>2.6666666666666668E-2</v>
      </c>
      <c r="E48" s="14">
        <f t="shared" si="21"/>
        <v>0.13500305436774587</v>
      </c>
      <c r="F48" s="14">
        <f t="shared" si="21"/>
        <v>9.2289719626168221E-2</v>
      </c>
      <c r="G48" s="14">
        <f t="shared" si="21"/>
        <v>0.10980036297640654</v>
      </c>
      <c r="H48" s="40">
        <f t="shared" si="21"/>
        <v>3.5135135135135137E-2</v>
      </c>
      <c r="I48" s="12">
        <f t="shared" si="21"/>
        <v>7.4965132496513251E-2</v>
      </c>
      <c r="J48" s="12">
        <f t="shared" si="21"/>
        <v>8.2429501084598705E-2</v>
      </c>
      <c r="K48" s="14">
        <f t="shared" si="21"/>
        <v>0.25</v>
      </c>
      <c r="L48" s="14">
        <f t="shared" si="21"/>
        <v>0.2797297297297297</v>
      </c>
      <c r="M48" s="14">
        <f t="shared" si="24"/>
        <v>0.3</v>
      </c>
      <c r="N48" s="12">
        <f t="shared" si="22"/>
        <v>0.2199651770168311</v>
      </c>
      <c r="O48" s="12">
        <f t="shared" si="22"/>
        <v>0</v>
      </c>
      <c r="P48" s="14">
        <f t="shared" si="22"/>
        <v>0</v>
      </c>
      <c r="Q48" s="12">
        <f t="shared" si="23"/>
        <v>0</v>
      </c>
      <c r="R48" s="56"/>
      <c r="S48" s="76">
        <f>+GETPIVOTDATA(" Tot # Instr. Old",'OLD Counts Pivot Table'!$A$3,"State","ga","Category",1,"Category2","Four-Year")</f>
        <v>106</v>
      </c>
      <c r="T48" s="77">
        <f>+GETPIVOTDATA(" Tot # Instr. Old",'OLD Counts Pivot Table'!$A$3,"State","ga","Category",2,"Category2","Four-Year")</f>
        <v>26</v>
      </c>
      <c r="U48" s="77">
        <f>+GETPIVOTDATA(" Tot # Instr. Old",'OLD Counts Pivot Table'!$A$3,"State","ga","Category",3,"Category2","Four-Year")</f>
        <v>221</v>
      </c>
      <c r="V48" s="77">
        <f>+GETPIVOTDATA(" Tot # Instr. Old",'OLD Counts Pivot Table'!$A$3,"State","ga","Category",4,"Category2","Four-Year")</f>
        <v>158</v>
      </c>
      <c r="W48" s="77">
        <f>+GETPIVOTDATA(" Tot # Instr. Old",'OLD Counts Pivot Table'!$A$3,"State","ga","Category",5,"Category2","Four-Year")</f>
        <v>121</v>
      </c>
      <c r="X48" s="77">
        <f>+GETPIVOTDATA(" Tot # Instr. Old",'OLD Counts Pivot Table'!$A$3,"State","ga","Category",6,"Category2","Four-Year")</f>
        <v>13</v>
      </c>
      <c r="Y48" s="78">
        <f>+GETPIVOTDATA(" Tot # Instr. Old",'OLD Counts Pivot Table'!$A$3,"State","ga","Category2","Four-Year")</f>
        <v>645</v>
      </c>
      <c r="Z48" s="76">
        <f>+GETPIVOTDATA(" Tot # Instr. Old",'OLD Counts Pivot Table'!$A$3,"State","ga","Category",7,"Category2","Group2")</f>
        <v>38</v>
      </c>
      <c r="AA48" s="77">
        <f>+GETPIVOTDATA(" Tot # Instr. Old",'OLD Counts Pivot Table'!$A$3,"State","ga","Category",8,"Category2","Group2")</f>
        <v>113</v>
      </c>
      <c r="AB48" s="77">
        <f>+GETPIVOTDATA(" Tot # Instr. Old",'OLD Counts Pivot Table'!$A$3,"State","ga","Category",9,"Category2","Group2")</f>
        <v>207</v>
      </c>
      <c r="AC48" s="77">
        <f>+GETPIVOTDATA(" Tot # Instr. Old",'OLD Counts Pivot Table'!$A$3,"State","ga","Category",10,"Category2","Group2")</f>
        <v>21</v>
      </c>
      <c r="AD48" s="77">
        <f>+GETPIVOTDATA(" Tot # Instr. Old",'OLD Counts Pivot Table'!$A$3,"State","ga","Category",11,"Category2","Group2")</f>
        <v>0</v>
      </c>
      <c r="AE48" s="78">
        <f>+GETPIVOTDATA(" Tot # Instr. Old",'OLD Counts Pivot Table'!$A$3,"State","ga","Category2","Group2")</f>
        <v>379</v>
      </c>
      <c r="AF48" s="76">
        <f>+GETPIVOTDATA(" Tot # Instr. Old",'OLD Counts Pivot Table'!$A$3,"State","ga","Category",12,"Category2","Technical Institutes")</f>
        <v>0</v>
      </c>
      <c r="AG48" s="77">
        <f>+GETPIVOTDATA(" Tot # Instr. Old",'OLD Counts Pivot Table'!$A$3,"State","ga","Category",13,"Category2","Technical Institutes")</f>
        <v>0</v>
      </c>
      <c r="AH48" s="76">
        <f>+GETPIVOTDATA(" Tot # Instr. Old",'OLD Counts Pivot Table'!$A$3,"State","AR","Category2","Technical Institutes")</f>
        <v>0</v>
      </c>
    </row>
    <row r="49" spans="1:36" x14ac:dyDescent="0.2">
      <c r="A49" s="10"/>
      <c r="B49" s="18" t="s">
        <v>83</v>
      </c>
      <c r="C49" s="12">
        <f t="shared" si="21"/>
        <v>9.2592592592592587E-2</v>
      </c>
      <c r="D49" s="14">
        <f t="shared" si="21"/>
        <v>7.5897435897435903E-2</v>
      </c>
      <c r="E49" s="153">
        <f t="shared" si="21"/>
        <v>3.9706780696395848E-2</v>
      </c>
      <c r="F49" s="14">
        <f t="shared" si="21"/>
        <v>8.2359813084112152E-2</v>
      </c>
      <c r="G49" s="14">
        <f t="shared" si="21"/>
        <v>6.5335753176043551E-2</v>
      </c>
      <c r="H49" s="84">
        <f t="shared" si="21"/>
        <v>3.783783783783784E-2</v>
      </c>
      <c r="I49" s="12">
        <f t="shared" si="21"/>
        <v>7.2756857275685732E-2</v>
      </c>
      <c r="J49" s="12">
        <f t="shared" si="21"/>
        <v>6.5075921908893705E-2</v>
      </c>
      <c r="K49" s="14">
        <f t="shared" si="21"/>
        <v>3.3185840707964605E-2</v>
      </c>
      <c r="L49" s="14">
        <f t="shared" si="21"/>
        <v>5.8108108108108111E-2</v>
      </c>
      <c r="M49" s="14">
        <f t="shared" si="24"/>
        <v>4.2857142857142858E-2</v>
      </c>
      <c r="N49" s="12">
        <f t="shared" si="22"/>
        <v>5.2814857806152062E-2</v>
      </c>
      <c r="O49" s="12">
        <f t="shared" si="22"/>
        <v>0</v>
      </c>
      <c r="P49" s="14">
        <f t="shared" si="22"/>
        <v>0</v>
      </c>
      <c r="Q49" s="12">
        <f t="shared" si="23"/>
        <v>0</v>
      </c>
      <c r="R49" s="56"/>
      <c r="S49" s="76">
        <f>++GETPIVOTDATA(" Tot # Undes. Old",'OLD Counts Pivot Table'!$A$3,"State","ga","Category",1,"Category2","Four-Year")</f>
        <v>260</v>
      </c>
      <c r="T49" s="77">
        <f>+GETPIVOTDATA(" Tot # Undes. Old",'OLD Counts Pivot Table'!$A$3,"State","ga","Category",2,"Category2","Four-Year")</f>
        <v>74</v>
      </c>
      <c r="U49" s="77">
        <f>+GETPIVOTDATA(" Tot # Undes. Old",'OLD Counts Pivot Table'!$A$3,"State","ga","Category",3,"Category2","Four-Year")</f>
        <v>65</v>
      </c>
      <c r="V49" s="77">
        <f>+GETPIVOTDATA(" Tot # Undes. Old",'OLD Counts Pivot Table'!$A$3,"State","ga","Category",4,"Category2","Four-Year")</f>
        <v>141</v>
      </c>
      <c r="W49" s="77">
        <f>+GETPIVOTDATA(" Tot # Undes. Old",'OLD Counts Pivot Table'!$A$3,"State","ga","Category",5,"Category2","Four-Year")</f>
        <v>72</v>
      </c>
      <c r="X49" s="77">
        <f>+GETPIVOTDATA(" Tot # Undes. Old",'OLD Counts Pivot Table'!$A$3,"State","ga","Category",6,"Category2","Four-Year")</f>
        <v>14</v>
      </c>
      <c r="Y49" s="78">
        <f>+GETPIVOTDATA(" Tot # Undes. Old",'OLD Counts Pivot Table'!$A$3,"State","ga","Category2","Four-Year")</f>
        <v>626</v>
      </c>
      <c r="Z49" s="76">
        <f>+GETPIVOTDATA(" Tot # Undes. Old",'OLD Counts Pivot Table'!$A$3,"State","ga","Category",7,"Category2","Group2")</f>
        <v>30</v>
      </c>
      <c r="AA49" s="77">
        <f>+GETPIVOTDATA(" Tot # Undes. Old",'OLD Counts Pivot Table'!$A$3,"State","ga","Category",8,"Category2","Group2")</f>
        <v>15</v>
      </c>
      <c r="AB49" s="77">
        <f>+GETPIVOTDATA(" Tot # Undes. Old",'OLD Counts Pivot Table'!$A$3,"State","ga","Category",9,"Category2","Group2")</f>
        <v>43</v>
      </c>
      <c r="AC49" s="77">
        <f>+GETPIVOTDATA(" Tot # Undes. Old",'OLD Counts Pivot Table'!$A$3,"State","ga","Category",10,"Category2","Group2")</f>
        <v>3</v>
      </c>
      <c r="AD49" s="77">
        <f>+GETPIVOTDATA(" Tot # Undes. Old",'OLD Counts Pivot Table'!$A$3,"State","ga","Category",11,"Category2","Group2")</f>
        <v>0</v>
      </c>
      <c r="AE49" s="78">
        <f>+GETPIVOTDATA(" Tot # Undes. Old",'OLD Counts Pivot Table'!$A$3,"State","ga","Category2","Group2")</f>
        <v>91</v>
      </c>
      <c r="AF49" s="76">
        <f>+GETPIVOTDATA(" Tot # Undes. Old",'OLD Counts Pivot Table'!$A$3,"State","ga","Category",12,"Category2","Technical Institutes")</f>
        <v>0</v>
      </c>
      <c r="AG49" s="77">
        <f>+GETPIVOTDATA(" Tot # Undes. Old",'OLD Counts Pivot Table'!$A$3,"State","ga","Category",13,"Category2","Technical Institutes")</f>
        <v>0</v>
      </c>
      <c r="AH49" s="76">
        <f>+GETPIVOTDATA(" Tot # Undes. Old",'OLD Counts Pivot Table'!$A$3,"State","AR","Category2","Technical Institutes")</f>
        <v>0</v>
      </c>
    </row>
    <row r="50" spans="1:36" x14ac:dyDescent="0.2">
      <c r="A50" s="10"/>
      <c r="B50" s="18" t="s">
        <v>82</v>
      </c>
      <c r="C50" s="12">
        <f t="shared" si="21"/>
        <v>0</v>
      </c>
      <c r="D50" s="14">
        <f t="shared" si="21"/>
        <v>0</v>
      </c>
      <c r="E50" s="103">
        <f t="shared" si="21"/>
        <v>0</v>
      </c>
      <c r="F50" s="14">
        <f t="shared" si="21"/>
        <v>0</v>
      </c>
      <c r="G50" s="103">
        <f t="shared" si="21"/>
        <v>0</v>
      </c>
      <c r="H50" s="40">
        <f t="shared" si="21"/>
        <v>0</v>
      </c>
      <c r="I50" s="102">
        <f t="shared" si="21"/>
        <v>0</v>
      </c>
      <c r="J50" s="12">
        <f t="shared" si="21"/>
        <v>0</v>
      </c>
      <c r="K50" s="14">
        <f t="shared" si="21"/>
        <v>0</v>
      </c>
      <c r="L50" s="14">
        <f t="shared" si="21"/>
        <v>0</v>
      </c>
      <c r="M50" s="14">
        <f t="shared" si="24"/>
        <v>0</v>
      </c>
      <c r="N50" s="12">
        <f t="shared" si="22"/>
        <v>0</v>
      </c>
      <c r="O50" s="12">
        <f t="shared" si="22"/>
        <v>1</v>
      </c>
      <c r="P50" s="14">
        <f t="shared" si="22"/>
        <v>0</v>
      </c>
      <c r="Q50" s="12">
        <f t="shared" si="23"/>
        <v>0</v>
      </c>
      <c r="R50" s="56"/>
      <c r="S50" s="76">
        <f>+GETPIVOTDATA(" Tot # Single Rnk Old",'OLD Counts Pivot Table'!$A$3,"State","ga","Category",1,"Category2","Four-Year")</f>
        <v>0</v>
      </c>
      <c r="T50" s="77">
        <f>+GETPIVOTDATA(" Tot # Single Rnk Old",'OLD Counts Pivot Table'!$A$3,"State","ga","Category",2,"Category2","Four-Year")</f>
        <v>0</v>
      </c>
      <c r="U50" s="77">
        <f>+GETPIVOTDATA(" Tot # Single Rnk Old",'OLD Counts Pivot Table'!$A$3,"State","ga","Category",3,"Category2","Four-Year")</f>
        <v>0</v>
      </c>
      <c r="V50" s="77">
        <f>+GETPIVOTDATA(" Tot # Single Rnk Old",'OLD Counts Pivot Table'!$A$3,"State","ga","Category",4,"Category2","Four-Year")</f>
        <v>0</v>
      </c>
      <c r="W50" s="77">
        <f>+GETPIVOTDATA(" Tot # Single Rnk Old",'OLD Counts Pivot Table'!$A$3,"State","ga","Category",5,"Category2","Four-Year")</f>
        <v>0</v>
      </c>
      <c r="X50" s="77">
        <f>+GETPIVOTDATA(" Tot # Single Rnk Old",'OLD Counts Pivot Table'!$A$3,"State","ga","Category",6,"Category2","Four-Year")</f>
        <v>0</v>
      </c>
      <c r="Y50" s="78">
        <f>+GETPIVOTDATA(" Tot # Single Rnk Old",'OLD Counts Pivot Table'!$A$3,"State","ga","Category2","Four-Year")</f>
        <v>0</v>
      </c>
      <c r="Z50" s="76">
        <f>+GETPIVOTDATA(" Tot # Single Rnk Old",'OLD Counts Pivot Table'!$A$3,"State","ga","Category",7,"Category2","Group2")</f>
        <v>0</v>
      </c>
      <c r="AA50" s="77">
        <f>+GETPIVOTDATA(" Tot # Single Rnk Old",'OLD Counts Pivot Table'!$A$3,"State","ga","Category",8,"Category2","Group2")</f>
        <v>0</v>
      </c>
      <c r="AB50" s="77">
        <f>+GETPIVOTDATA(" Tot # Single Rnk Old",'OLD Counts Pivot Table'!$A$3,"State","ga","Category",9,"Category2","Group2")</f>
        <v>0</v>
      </c>
      <c r="AC50" s="77">
        <f>+GETPIVOTDATA(" Tot # Single Rnk Old",'OLD Counts Pivot Table'!$A$3,"State","ga","Category",10,"Category2","Group2")</f>
        <v>0</v>
      </c>
      <c r="AD50" s="77">
        <f>+GETPIVOTDATA(" Tot # Single Rnk Old",'OLD Counts Pivot Table'!$A$3,"State","ga","Category",11,"Category2","Group2")</f>
        <v>0</v>
      </c>
      <c r="AE50" s="78">
        <f>+GETPIVOTDATA(" Tot # Single Rnk Old",'OLD Counts Pivot Table'!$A$3,"State","ga","Category2","Group2")</f>
        <v>0</v>
      </c>
      <c r="AF50" s="76">
        <f>+GETPIVOTDATA(" Tot # Single Rnk Old",'OLD Counts Pivot Table'!$A$3,"State","ga","Category",12,"Category2","Technical Institutes")</f>
        <v>2278</v>
      </c>
      <c r="AG50" s="77">
        <f>+GETPIVOTDATA(" Tot # Single Rnk Old",'OLD Counts Pivot Table'!$A$3,"State","ga","Category",13,"Category2","Technical Institutes")</f>
        <v>0</v>
      </c>
      <c r="AH50" s="76">
        <f>+GETPIVOTDATA(" Tot # Single Rnk Old",'OLD Counts Pivot Table'!$A$3,"State","AR","Category2","Technical Institutes")</f>
        <v>0</v>
      </c>
    </row>
    <row r="51" spans="1:36" s="33" customFormat="1" x14ac:dyDescent="0.25">
      <c r="A51" s="109"/>
      <c r="B51" s="110" t="s">
        <v>84</v>
      </c>
      <c r="C51" s="13">
        <f t="shared" si="21"/>
        <v>1</v>
      </c>
      <c r="D51" s="11">
        <f t="shared" si="21"/>
        <v>1</v>
      </c>
      <c r="E51" s="11">
        <f t="shared" si="21"/>
        <v>1</v>
      </c>
      <c r="F51" s="11">
        <f t="shared" si="21"/>
        <v>1</v>
      </c>
      <c r="G51" s="11">
        <f t="shared" si="21"/>
        <v>1</v>
      </c>
      <c r="H51" s="41">
        <f t="shared" si="21"/>
        <v>1</v>
      </c>
      <c r="I51" s="13">
        <f t="shared" si="21"/>
        <v>1</v>
      </c>
      <c r="J51" s="13">
        <f t="shared" si="21"/>
        <v>1</v>
      </c>
      <c r="K51" s="11">
        <f t="shared" si="21"/>
        <v>1</v>
      </c>
      <c r="L51" s="11">
        <f t="shared" si="21"/>
        <v>1</v>
      </c>
      <c r="M51" s="11">
        <f t="shared" si="24"/>
        <v>1</v>
      </c>
      <c r="N51" s="13">
        <f t="shared" si="22"/>
        <v>1</v>
      </c>
      <c r="O51" s="13">
        <f t="shared" si="22"/>
        <v>1</v>
      </c>
      <c r="P51" s="11">
        <f t="shared" si="22"/>
        <v>0</v>
      </c>
      <c r="Q51" s="13">
        <f t="shared" si="23"/>
        <v>0</v>
      </c>
      <c r="R51" s="57"/>
      <c r="S51" s="79">
        <f>+GETPIVOTDATA(" All Ranks # Old",'OLD Counts Pivot Table'!$A$3,"State","ga","Category",1,"Category2","Four-Year")</f>
        <v>2808</v>
      </c>
      <c r="T51" s="80">
        <f>+GETPIVOTDATA(" All Ranks # Old",'OLD Counts Pivot Table'!$A$3,"State","ga","Category",2,"Category2","Four-Year")</f>
        <v>975</v>
      </c>
      <c r="U51" s="80">
        <f>+GETPIVOTDATA(" All Ranks # Old",'OLD Counts Pivot Table'!$A$3,"State","ga","Category",3,"Category2","Four-Year")</f>
        <v>1637</v>
      </c>
      <c r="V51" s="80">
        <f>+GETPIVOTDATA(" All Ranks # Old",'OLD Counts Pivot Table'!$A$3,"State","ga","Category",4,"Category2","Four-Year")</f>
        <v>1712</v>
      </c>
      <c r="W51" s="80">
        <f>+GETPIVOTDATA(" All Ranks # Old",'OLD Counts Pivot Table'!$A$3,"State","ga","Category",5,"Category2","Four-Year")</f>
        <v>1102</v>
      </c>
      <c r="X51" s="80">
        <f>+GETPIVOTDATA(" All Ranks # Old",'OLD Counts Pivot Table'!$A$3,"State","ga","Category",6,"Category2","Four-Year")</f>
        <v>370</v>
      </c>
      <c r="Y51" s="81">
        <f>+GETPIVOTDATA(" All Ranks # Old",'OLD Counts Pivot Table'!$A$3,"State","ga","Category2","Four-Year")</f>
        <v>8604</v>
      </c>
      <c r="Z51" s="79">
        <f>+GETPIVOTDATA(" All Ranks # Old",'OLD Counts Pivot Table'!$A$3,"State","ga","Category",7,"Category2","Group2")</f>
        <v>461</v>
      </c>
      <c r="AA51" s="80">
        <f>+GETPIVOTDATA(" All Ranks # Old",'OLD Counts Pivot Table'!$A$3,"State","ga","Category",8,"Category2","Group2")</f>
        <v>452</v>
      </c>
      <c r="AB51" s="80">
        <f>+GETPIVOTDATA(" All Ranks # Old",'OLD Counts Pivot Table'!$A$3,"State","ga","Category",9,"Category2","Group2")</f>
        <v>740</v>
      </c>
      <c r="AC51" s="80">
        <f>+GETPIVOTDATA(" All Ranks # Old",'OLD Counts Pivot Table'!$A$3,"State","ga","Category",10,"Category2","Group2")</f>
        <v>70</v>
      </c>
      <c r="AD51" s="80">
        <f>+GETPIVOTDATA(" All Ranks # Old",'OLD Counts Pivot Table'!$A$3,"State","ga","Category",11,"Category2","Group2")</f>
        <v>0</v>
      </c>
      <c r="AE51" s="81">
        <f>+GETPIVOTDATA(" All Ranks # Old",'OLD Counts Pivot Table'!$A$3,"State","ga","Category2","Group2")</f>
        <v>1723</v>
      </c>
      <c r="AF51" s="79">
        <f>+GETPIVOTDATA(" All Ranks # Old",'OLD Counts Pivot Table'!$A$3,"State","ga","Category",12,"Category2","Technical Institutes")</f>
        <v>2278</v>
      </c>
      <c r="AG51" s="80">
        <f>+GETPIVOTDATA(" All Ranks # Old",'OLD Counts Pivot Table'!$A$3,"State","ga","Category",13,"Category2","Technical Institutes")</f>
        <v>0</v>
      </c>
      <c r="AH51" s="79">
        <f>+GETPIVOTDATA(" All Ranks # Old",'OLD Counts Pivot Table'!$A$3,"State","AR","Category2","Technical Institutes")</f>
        <v>0</v>
      </c>
      <c r="AI51" s="82"/>
      <c r="AJ51" s="82"/>
    </row>
    <row r="52" spans="1:36" x14ac:dyDescent="0.2">
      <c r="A52" s="18" t="s">
        <v>115</v>
      </c>
      <c r="B52" s="15" t="s">
        <v>99</v>
      </c>
      <c r="C52" s="16">
        <f t="shared" ref="C52:M58" si="25">IF(S$58&gt;0,(S52/S$58),0)</f>
        <v>0.34345265065700048</v>
      </c>
      <c r="D52" s="17">
        <f t="shared" si="25"/>
        <v>0</v>
      </c>
      <c r="E52" s="17">
        <f t="shared" si="25"/>
        <v>0.2014821676702177</v>
      </c>
      <c r="F52" s="17">
        <f t="shared" si="25"/>
        <v>0.16972477064220184</v>
      </c>
      <c r="G52" s="17">
        <f t="shared" si="25"/>
        <v>0</v>
      </c>
      <c r="H52" s="39">
        <f t="shared" si="25"/>
        <v>0</v>
      </c>
      <c r="I52" s="16">
        <f t="shared" si="25"/>
        <v>0.25976095617529882</v>
      </c>
      <c r="J52" s="16">
        <f t="shared" si="25"/>
        <v>0</v>
      </c>
      <c r="K52" s="17">
        <f t="shared" si="25"/>
        <v>0.30078125</v>
      </c>
      <c r="L52" s="17">
        <f t="shared" si="25"/>
        <v>0.33725135623869801</v>
      </c>
      <c r="M52" s="17">
        <f t="shared" si="25"/>
        <v>0.50318471337579618</v>
      </c>
      <c r="N52" s="16">
        <f t="shared" ref="N52:P58" si="26">IF(AE$58&gt;0,(AE52/AE$58),0)</f>
        <v>0.34140845070422537</v>
      </c>
      <c r="O52" s="16">
        <f t="shared" si="26"/>
        <v>6.3291139240506333E-2</v>
      </c>
      <c r="P52" s="17">
        <f t="shared" si="26"/>
        <v>0</v>
      </c>
      <c r="Q52" s="16">
        <f t="shared" ref="Q52:Q58" si="27">IF(AH$58&gt;0,(AH52/AH$58),0)</f>
        <v>0</v>
      </c>
      <c r="R52" s="83"/>
      <c r="S52" s="73">
        <f>+GETPIVOTDATA(" Total # Prof Old",'OLD Counts Pivot Table'!$A$3,"State","ky","Category",1,"Category2","Four-Year")</f>
        <v>758</v>
      </c>
      <c r="T52" s="74">
        <f>+GETPIVOTDATA(" Total # Prof Old",'OLD Counts Pivot Table'!$A$3,"State","ky","Category",2,"Category2","Four-Year")</f>
        <v>0</v>
      </c>
      <c r="U52" s="74">
        <f>+GETPIVOTDATA(" Total # Prof Old",'OLD Counts Pivot Table'!$A$3,"State","ky","Category",3,"Category2","Four-Year")</f>
        <v>435</v>
      </c>
      <c r="V52" s="74">
        <f>+GETPIVOTDATA(" Total # Prof Old",'OLD Counts Pivot Table'!$A$3,"State","ky","Category",4,"Category2","Four-Year")</f>
        <v>111</v>
      </c>
      <c r="W52" s="74">
        <f>+GETPIVOTDATA(" Total # Prof Old",'OLD Counts Pivot Table'!$A$3,"State","ky","Category",5,"Category2","Four-Year")</f>
        <v>0</v>
      </c>
      <c r="X52" s="74">
        <f>+GETPIVOTDATA(" Total # Prof Old",'OLD Counts Pivot Table'!$A$3,"State","ky","Category",6,"Category2","Four-Year")</f>
        <v>0</v>
      </c>
      <c r="Y52" s="75">
        <f>+GETPIVOTDATA(" Total # Prof Old",'OLD Counts Pivot Table'!$A$3,"State","ky","Category2","Four-Year")</f>
        <v>1304</v>
      </c>
      <c r="Z52" s="73">
        <f>+GETPIVOTDATA(" Total # Prof Old",'OLD Counts Pivot Table'!$A$3,"State","ky","Category",7,"Category2","Group2")</f>
        <v>0</v>
      </c>
      <c r="AA52" s="74">
        <f>+GETPIVOTDATA(" Total # Prof Old",'OLD Counts Pivot Table'!$A$3,"State","ky","Category",8,"Category2","Group2")</f>
        <v>154</v>
      </c>
      <c r="AB52" s="74">
        <f>+GETPIVOTDATA(" Total # Prof Old",'OLD Counts Pivot Table'!$A$3,"State","ky","Category",9,"Category2","Group2")</f>
        <v>373</v>
      </c>
      <c r="AC52" s="74">
        <f>+GETPIVOTDATA(" Total # Prof Old",'OLD Counts Pivot Table'!$A$3,"State","ky","Category",10,"Category2","Group2")</f>
        <v>79</v>
      </c>
      <c r="AD52" s="74">
        <f>+GETPIVOTDATA(" Total # Prof Old",'OLD Counts Pivot Table'!$A$3,"State","ky","Category",11,"Category2","Group2")</f>
        <v>0</v>
      </c>
      <c r="AE52" s="75">
        <f>+GETPIVOTDATA(" Total # Prof Old",'OLD Counts Pivot Table'!$A$3,"State","ky","Category2","Group2")</f>
        <v>606</v>
      </c>
      <c r="AF52" s="73">
        <f>+GETPIVOTDATA(" Total # Prof Old",'OLD Counts Pivot Table'!$A$3,"State","ky","Category",12,"Category2","Technical Institutes")</f>
        <v>10</v>
      </c>
      <c r="AG52" s="74">
        <f>+GETPIVOTDATA(" Total # Prof Old",'OLD Counts Pivot Table'!$A$3,"State","ky","Category",13,"Category2","Technical Institutes")</f>
        <v>0</v>
      </c>
      <c r="AH52" s="73">
        <f>+GETPIVOTDATA(" Total # Prof Old",'OLD Counts Pivot Table'!$A$3,"State","AR","Category2","Technical Institutes")</f>
        <v>0</v>
      </c>
    </row>
    <row r="53" spans="1:36" x14ac:dyDescent="0.2">
      <c r="A53" s="10"/>
      <c r="B53" s="18" t="s">
        <v>100</v>
      </c>
      <c r="C53" s="12">
        <f t="shared" si="25"/>
        <v>0.28001812415043043</v>
      </c>
      <c r="D53" s="14">
        <f t="shared" si="25"/>
        <v>0</v>
      </c>
      <c r="E53" s="14">
        <f t="shared" si="25"/>
        <v>0.26030569708198242</v>
      </c>
      <c r="F53" s="14">
        <f t="shared" si="25"/>
        <v>0.29357798165137616</v>
      </c>
      <c r="G53" s="14">
        <f t="shared" si="25"/>
        <v>0</v>
      </c>
      <c r="H53" s="40">
        <f t="shared" si="25"/>
        <v>0</v>
      </c>
      <c r="I53" s="12">
        <f t="shared" si="25"/>
        <v>0.27330677290836652</v>
      </c>
      <c r="J53" s="12">
        <f t="shared" si="25"/>
        <v>0</v>
      </c>
      <c r="K53" s="14">
        <f t="shared" si="25"/>
        <v>0.42578125</v>
      </c>
      <c r="L53" s="14">
        <f t="shared" si="25"/>
        <v>0.30831826401446655</v>
      </c>
      <c r="M53" s="14">
        <f t="shared" ref="M53:M58" si="28">IF(AC$58&gt;0,(AC53/AC$58),0)</f>
        <v>0.2356687898089172</v>
      </c>
      <c r="N53" s="12">
        <f t="shared" si="26"/>
        <v>0.33577464788732392</v>
      </c>
      <c r="O53" s="12">
        <f t="shared" si="26"/>
        <v>0.25316455696202533</v>
      </c>
      <c r="P53" s="14">
        <f t="shared" si="26"/>
        <v>0</v>
      </c>
      <c r="Q53" s="12">
        <f t="shared" si="27"/>
        <v>0</v>
      </c>
      <c r="R53" s="56"/>
      <c r="S53" s="76">
        <f>+GETPIVOTDATA(" Tot # Asc. Prof Old",'OLD Counts Pivot Table'!$A$3,"State","ky","Category",1,"Category2","Four-Year")</f>
        <v>618</v>
      </c>
      <c r="T53" s="77">
        <f>+GETPIVOTDATA(" Tot # Asc. Prof Old",'OLD Counts Pivot Table'!$A$3,"State","ky","Category",2,"Category2","Four-Year")</f>
        <v>0</v>
      </c>
      <c r="U53" s="77">
        <f>+GETPIVOTDATA(" Tot # Asc. Prof Old",'OLD Counts Pivot Table'!$A$3,"State","ky","Category",3,"Category2","Four-Year")</f>
        <v>562</v>
      </c>
      <c r="V53" s="77">
        <f>+GETPIVOTDATA(" Tot # Asc. Prof Old",'OLD Counts Pivot Table'!$A$3,"State","ky","Category",4,"Category2","Four-Year")</f>
        <v>192</v>
      </c>
      <c r="W53" s="77">
        <f>+GETPIVOTDATA(" Tot # Asc. Prof Old",'OLD Counts Pivot Table'!$A$3,"State","ky","Category",5,"Category2","Four-Year")</f>
        <v>0</v>
      </c>
      <c r="X53" s="77">
        <f>+GETPIVOTDATA(" Tot # Asc. Prof Old",'OLD Counts Pivot Table'!$A$3,"State","ky","Category",6,"Category2","Four-Year")</f>
        <v>0</v>
      </c>
      <c r="Y53" s="78">
        <f>+GETPIVOTDATA(" Tot # Asc. Prof Old",'OLD Counts Pivot Table'!$A$3,"State","ky","Category2","Four-Year")</f>
        <v>1372</v>
      </c>
      <c r="Z53" s="76">
        <f>+GETPIVOTDATA(" Tot # Asc. Prof Old",'OLD Counts Pivot Table'!$A$3,"State","ky","Category",7,"Category2","Group2")</f>
        <v>0</v>
      </c>
      <c r="AA53" s="77">
        <f>+GETPIVOTDATA(" Tot # Asc. Prof Old",'OLD Counts Pivot Table'!$A$3,"State","ky","Category",8,"Category2","Group2")</f>
        <v>218</v>
      </c>
      <c r="AB53" s="77">
        <f>+GETPIVOTDATA(" Tot # Asc. Prof Old",'OLD Counts Pivot Table'!$A$3,"State","ky","Category",9,"Category2","Group2")</f>
        <v>341</v>
      </c>
      <c r="AC53" s="77">
        <f>+GETPIVOTDATA(" Tot # Asc. Prof Old",'OLD Counts Pivot Table'!$A$3,"State","ky","Category",10,"Category2","Group2")</f>
        <v>37</v>
      </c>
      <c r="AD53" s="77">
        <f>+GETPIVOTDATA(" Tot # Asc. Prof Old",'OLD Counts Pivot Table'!$A$3,"State","ky","Category",11,"Category2","Group2")</f>
        <v>0</v>
      </c>
      <c r="AE53" s="78">
        <f>+GETPIVOTDATA(" Tot # Asc. Prof Old",'OLD Counts Pivot Table'!$A$3,"State","ky","Category2","Group2")</f>
        <v>596</v>
      </c>
      <c r="AF53" s="76">
        <f>+GETPIVOTDATA(" Tot # Asc. Prof Old",'OLD Counts Pivot Table'!$A$3,"State","ky","Category",12,"Category2","Technical Institutes")</f>
        <v>40</v>
      </c>
      <c r="AG53" s="77">
        <f>+GETPIVOTDATA(" Tot # Asc. Prof Old",'OLD Counts Pivot Table'!$A$3,"State","ky","Category",13,"Category2","Technical Institutes")</f>
        <v>0</v>
      </c>
      <c r="AH53" s="76">
        <f>+GETPIVOTDATA(" Tot # Asc. Prof Old",'OLD Counts Pivot Table'!$A$3,"State","AR","Category2","Technical Institutes")</f>
        <v>0</v>
      </c>
    </row>
    <row r="54" spans="1:36" x14ac:dyDescent="0.2">
      <c r="A54" s="10"/>
      <c r="B54" s="18" t="s">
        <v>101</v>
      </c>
      <c r="C54" s="12">
        <f t="shared" si="25"/>
        <v>0.26506570004531038</v>
      </c>
      <c r="D54" s="14">
        <f t="shared" si="25"/>
        <v>0</v>
      </c>
      <c r="E54" s="14">
        <f t="shared" si="25"/>
        <v>0.28392774432607687</v>
      </c>
      <c r="F54" s="14">
        <f t="shared" si="25"/>
        <v>0.29051987767584098</v>
      </c>
      <c r="G54" s="14">
        <f t="shared" si="25"/>
        <v>0</v>
      </c>
      <c r="H54" s="40">
        <f t="shared" si="25"/>
        <v>0</v>
      </c>
      <c r="I54" s="12">
        <f t="shared" si="25"/>
        <v>0.27649402390438249</v>
      </c>
      <c r="J54" s="12">
        <f t="shared" si="25"/>
        <v>0</v>
      </c>
      <c r="K54" s="14">
        <f t="shared" si="25"/>
        <v>0.14453125</v>
      </c>
      <c r="L54" s="14">
        <f t="shared" si="25"/>
        <v>0.13471971066907776</v>
      </c>
      <c r="M54" s="14">
        <f t="shared" si="28"/>
        <v>0.10191082802547771</v>
      </c>
      <c r="N54" s="12">
        <f t="shared" si="26"/>
        <v>0.13464788732394367</v>
      </c>
      <c r="O54" s="12">
        <f t="shared" si="26"/>
        <v>0.23417721518987342</v>
      </c>
      <c r="P54" s="14">
        <f t="shared" si="26"/>
        <v>0</v>
      </c>
      <c r="Q54" s="12">
        <f t="shared" si="27"/>
        <v>0</v>
      </c>
      <c r="R54" s="56"/>
      <c r="S54" s="76">
        <f>+GETPIVOTDATA(" Tot # Ast. Prof Old",'OLD Counts Pivot Table'!$A$3,"State","ky","Category",1,"Category2","Four-Year")</f>
        <v>585</v>
      </c>
      <c r="T54" s="77">
        <f>+GETPIVOTDATA(" Tot # Ast. Prof Old",'OLD Counts Pivot Table'!$A$3,"State","ky","Category",2,"Category2","Four-Year")</f>
        <v>0</v>
      </c>
      <c r="U54" s="77">
        <f>+GETPIVOTDATA(" Tot # Ast. Prof Old",'OLD Counts Pivot Table'!$A$3,"State","ky","Category",3,"Category2","Four-Year")</f>
        <v>613</v>
      </c>
      <c r="V54" s="77">
        <f>+GETPIVOTDATA(" Tot # Ast. Prof Old",'OLD Counts Pivot Table'!$A$3,"State","ky","Category",4,"Category2","Four-Year")</f>
        <v>190</v>
      </c>
      <c r="W54" s="77">
        <f>+GETPIVOTDATA(" Tot # Ast. Prof Old",'OLD Counts Pivot Table'!$A$3,"State","ky","Category",5,"Category2","Four-Year")</f>
        <v>0</v>
      </c>
      <c r="X54" s="77">
        <f>+GETPIVOTDATA(" Tot # Ast. Prof Old",'OLD Counts Pivot Table'!$A$3,"State","ky","Category",6,"Category2","Four-Year")</f>
        <v>0</v>
      </c>
      <c r="Y54" s="78">
        <f>+GETPIVOTDATA(" Tot # Ast. Prof Old",'OLD Counts Pivot Table'!$A$3,"State","ky","Category2","Four-Year")</f>
        <v>1388</v>
      </c>
      <c r="Z54" s="76">
        <f>+GETPIVOTDATA(" Tot # Ast. Prof Old",'OLD Counts Pivot Table'!$A$3,"State","ky","Category",7,"Category2","Group2")</f>
        <v>0</v>
      </c>
      <c r="AA54" s="77">
        <f>+GETPIVOTDATA(" Tot # Ast. Prof Old",'OLD Counts Pivot Table'!$A$3,"State","ky","Category",8,"Category2","Group2")</f>
        <v>74</v>
      </c>
      <c r="AB54" s="77">
        <f>+GETPIVOTDATA(" Tot # Ast. Prof Old",'OLD Counts Pivot Table'!$A$3,"State","ky","Category",9,"Category2","Group2")</f>
        <v>149</v>
      </c>
      <c r="AC54" s="77">
        <f>+GETPIVOTDATA(" Tot # Ast. Prof Old",'OLD Counts Pivot Table'!$A$3,"State","ky","Category",10,"Category2","Group2")</f>
        <v>16</v>
      </c>
      <c r="AD54" s="77">
        <f>+GETPIVOTDATA(" Tot # Ast. Prof Old",'OLD Counts Pivot Table'!$A$3,"State","ky","Category",11,"Category2","Group2")</f>
        <v>0</v>
      </c>
      <c r="AE54" s="78">
        <f>+GETPIVOTDATA(" Tot # Ast. Prof Old",'OLD Counts Pivot Table'!$A$3,"State","ky","Category2","Group2")</f>
        <v>239</v>
      </c>
      <c r="AF54" s="76">
        <f>+GETPIVOTDATA(" Tot # Ast. Prof Old",'OLD Counts Pivot Table'!$A$3,"State","ky","Category",12,"Category2","Technical Institutes")</f>
        <v>37</v>
      </c>
      <c r="AG54" s="77">
        <f>+GETPIVOTDATA(" Tot # Ast. Prof Old",'OLD Counts Pivot Table'!$A$3,"State","ky","Category",13,"Category2","Technical Institutes")</f>
        <v>0</v>
      </c>
      <c r="AH54" s="76">
        <f>+GETPIVOTDATA(" Tot # Ast. Prof Old",'OLD Counts Pivot Table'!$A$3,"State","AR","Category2","Technical Institutes")</f>
        <v>0</v>
      </c>
    </row>
    <row r="55" spans="1:36" x14ac:dyDescent="0.2">
      <c r="A55" s="10"/>
      <c r="B55" s="18" t="s">
        <v>102</v>
      </c>
      <c r="C55" s="154">
        <f t="shared" si="25"/>
        <v>4.2591753511554149E-2</v>
      </c>
      <c r="D55" s="14">
        <f t="shared" si="25"/>
        <v>0</v>
      </c>
      <c r="E55" s="14">
        <f t="shared" si="25"/>
        <v>0.12366836498378879</v>
      </c>
      <c r="F55" s="14">
        <f t="shared" si="25"/>
        <v>2.7522935779816515E-2</v>
      </c>
      <c r="G55" s="14">
        <f t="shared" si="25"/>
        <v>0</v>
      </c>
      <c r="H55" s="40">
        <f t="shared" si="25"/>
        <v>0</v>
      </c>
      <c r="I55" s="12">
        <f t="shared" si="25"/>
        <v>7.5498007968127487E-2</v>
      </c>
      <c r="J55" s="12">
        <f t="shared" si="25"/>
        <v>0</v>
      </c>
      <c r="K55" s="14">
        <f t="shared" si="25"/>
        <v>0.12890625</v>
      </c>
      <c r="L55" s="14">
        <f t="shared" si="25"/>
        <v>0.21971066907775769</v>
      </c>
      <c r="M55" s="14">
        <f t="shared" si="28"/>
        <v>0.15923566878980891</v>
      </c>
      <c r="N55" s="12">
        <f t="shared" si="26"/>
        <v>0.18816901408450704</v>
      </c>
      <c r="O55" s="12">
        <f t="shared" si="26"/>
        <v>0.44936708860759494</v>
      </c>
      <c r="P55" s="14">
        <f t="shared" si="26"/>
        <v>0</v>
      </c>
      <c r="Q55" s="12">
        <f t="shared" si="27"/>
        <v>0</v>
      </c>
      <c r="R55" s="56"/>
      <c r="S55" s="76">
        <f>+GETPIVOTDATA(" Tot # Instr. Old",'OLD Counts Pivot Table'!$A$3,"State","ky","Category",1,"Category2","Four-Year")</f>
        <v>94</v>
      </c>
      <c r="T55" s="77">
        <f>+GETPIVOTDATA(" Tot # Instr. Old",'OLD Counts Pivot Table'!$A$3,"State","ky","Category",2,"Category2","Four-Year")</f>
        <v>0</v>
      </c>
      <c r="U55" s="77">
        <f>+GETPIVOTDATA(" Tot # Instr. Old",'OLD Counts Pivot Table'!$A$3,"State","ky","Category",3,"Category2","Four-Year")</f>
        <v>267</v>
      </c>
      <c r="V55" s="77">
        <f>+GETPIVOTDATA(" Tot # Instr. Old",'OLD Counts Pivot Table'!$A$3,"State","ky","Category",4,"Category2","Four-Year")</f>
        <v>18</v>
      </c>
      <c r="W55" s="77">
        <f>+GETPIVOTDATA(" Tot # Instr. Old",'OLD Counts Pivot Table'!$A$3,"State","ky","Category",5,"Category2","Four-Year")</f>
        <v>0</v>
      </c>
      <c r="X55" s="77">
        <f>+GETPIVOTDATA(" Tot # Instr. Old",'OLD Counts Pivot Table'!$A$3,"State","ky","Category",6,"Category2","Four-Year")</f>
        <v>0</v>
      </c>
      <c r="Y55" s="78">
        <f>+GETPIVOTDATA(" Tot # Instr. Old",'OLD Counts Pivot Table'!$A$3,"State","ky","Category2","Four-Year")</f>
        <v>379</v>
      </c>
      <c r="Z55" s="76">
        <f>+GETPIVOTDATA(" Tot # Instr. Old",'OLD Counts Pivot Table'!$A$3,"State","ky","Category",7,"Category2","Group2")</f>
        <v>0</v>
      </c>
      <c r="AA55" s="77">
        <f>+GETPIVOTDATA(" Tot # Instr. Old",'OLD Counts Pivot Table'!$A$3,"State","ky","Category",8,"Category2","Group2")</f>
        <v>66</v>
      </c>
      <c r="AB55" s="77">
        <f>+GETPIVOTDATA(" Tot # Instr. Old",'OLD Counts Pivot Table'!$A$3,"State","ky","Category",9,"Category2","Group2")</f>
        <v>243</v>
      </c>
      <c r="AC55" s="77">
        <f>+GETPIVOTDATA(" Tot # Instr. Old",'OLD Counts Pivot Table'!$A$3,"State","ky","Category",10,"Category2","Group2")</f>
        <v>25</v>
      </c>
      <c r="AD55" s="77">
        <f>+GETPIVOTDATA(" Tot # Instr. Old",'OLD Counts Pivot Table'!$A$3,"State","ky","Category",11,"Category2","Group2")</f>
        <v>0</v>
      </c>
      <c r="AE55" s="78">
        <f>+GETPIVOTDATA(" Tot # Instr. Old",'OLD Counts Pivot Table'!$A$3,"State","ky","Category2","Group2")</f>
        <v>334</v>
      </c>
      <c r="AF55" s="76">
        <f>+GETPIVOTDATA(" Tot # Instr. Old",'OLD Counts Pivot Table'!$A$3,"State","ky","Category",12,"Category2","Technical Institutes")</f>
        <v>71</v>
      </c>
      <c r="AG55" s="77">
        <f>+GETPIVOTDATA(" Tot # Instr. Old",'OLD Counts Pivot Table'!$A$3,"State","ky","Category",13,"Category2","Technical Institutes")</f>
        <v>0</v>
      </c>
      <c r="AH55" s="76">
        <f>+GETPIVOTDATA(" Tot # Instr. Old",'OLD Counts Pivot Table'!$A$3,"State","AR","Category2","Technical Institutes")</f>
        <v>0</v>
      </c>
    </row>
    <row r="56" spans="1:36" x14ac:dyDescent="0.2">
      <c r="A56" s="10"/>
      <c r="B56" s="18" t="s">
        <v>83</v>
      </c>
      <c r="C56" s="12">
        <f t="shared" si="25"/>
        <v>6.8871771635704571E-2</v>
      </c>
      <c r="D56" s="153">
        <f t="shared" si="25"/>
        <v>0</v>
      </c>
      <c r="E56" s="14">
        <f t="shared" si="25"/>
        <v>0.13061602593793423</v>
      </c>
      <c r="F56" s="14">
        <f t="shared" si="25"/>
        <v>0.21865443425076453</v>
      </c>
      <c r="G56" s="14">
        <f t="shared" si="25"/>
        <v>0</v>
      </c>
      <c r="H56" s="40">
        <f t="shared" si="25"/>
        <v>0</v>
      </c>
      <c r="I56" s="12">
        <f t="shared" si="25"/>
        <v>0.11494023904382471</v>
      </c>
      <c r="J56" s="12">
        <f t="shared" si="25"/>
        <v>0</v>
      </c>
      <c r="K56" s="14">
        <f t="shared" si="25"/>
        <v>0</v>
      </c>
      <c r="L56" s="14">
        <f t="shared" si="25"/>
        <v>0</v>
      </c>
      <c r="M56" s="14">
        <f t="shared" si="28"/>
        <v>0</v>
      </c>
      <c r="N56" s="12">
        <f t="shared" si="26"/>
        <v>0</v>
      </c>
      <c r="O56" s="12">
        <f t="shared" si="26"/>
        <v>0</v>
      </c>
      <c r="P56" s="14">
        <f t="shared" si="26"/>
        <v>0</v>
      </c>
      <c r="Q56" s="12">
        <f t="shared" si="27"/>
        <v>0</v>
      </c>
      <c r="R56" s="56"/>
      <c r="S56" s="76">
        <f>++GETPIVOTDATA(" Tot # Undes. Old",'OLD Counts Pivot Table'!$A$3,"State","ky","Category",1,"Category2","Four-Year")</f>
        <v>152</v>
      </c>
      <c r="T56" s="77">
        <f>+GETPIVOTDATA(" Tot # Undes. Old",'OLD Counts Pivot Table'!$A$3,"State","ky","Category",2,"Category2","Four-Year")</f>
        <v>0</v>
      </c>
      <c r="U56" s="77">
        <f>+GETPIVOTDATA(" Tot # Undes. Old",'OLD Counts Pivot Table'!$A$3,"State","ky","Category",3,"Category2","Four-Year")</f>
        <v>282</v>
      </c>
      <c r="V56" s="77">
        <f>+GETPIVOTDATA(" Tot # Undes. Old",'OLD Counts Pivot Table'!$A$3,"State","ky","Category",4,"Category2","Four-Year")</f>
        <v>143</v>
      </c>
      <c r="W56" s="77">
        <f>+GETPIVOTDATA(" Tot # Undes. Old",'OLD Counts Pivot Table'!$A$3,"State","ky","Category",5,"Category2","Four-Year")</f>
        <v>0</v>
      </c>
      <c r="X56" s="77">
        <f>+GETPIVOTDATA(" Tot # Undes. Old",'OLD Counts Pivot Table'!$A$3,"State","ky","Category",6,"Category2","Four-Year")</f>
        <v>0</v>
      </c>
      <c r="Y56" s="78">
        <f>+GETPIVOTDATA(" Tot # Undes. Old",'OLD Counts Pivot Table'!$A$3,"State","ky","Category2","Four-Year")</f>
        <v>577</v>
      </c>
      <c r="Z56" s="76">
        <f>+GETPIVOTDATA(" Tot # Undes. Old",'OLD Counts Pivot Table'!$A$3,"State","ky","Category",7,"Category2","Group2")</f>
        <v>0</v>
      </c>
      <c r="AA56" s="77">
        <f>+GETPIVOTDATA(" Tot # Undes. Old",'OLD Counts Pivot Table'!$A$3,"State","ky","Category",8,"Category2","Group2")</f>
        <v>0</v>
      </c>
      <c r="AB56" s="77">
        <f>+GETPIVOTDATA(" Tot # Undes. Old",'OLD Counts Pivot Table'!$A$3,"State","ky","Category",9,"Category2","Group2")</f>
        <v>0</v>
      </c>
      <c r="AC56" s="77">
        <f>+GETPIVOTDATA(" Tot # Undes. Old",'OLD Counts Pivot Table'!$A$3,"State","ky","Category",10,"Category2","Group2")</f>
        <v>0</v>
      </c>
      <c r="AD56" s="77">
        <f>+GETPIVOTDATA(" Tot # Undes. Old",'OLD Counts Pivot Table'!$A$3,"State","ky","Category",11,"Category2","Group2")</f>
        <v>0</v>
      </c>
      <c r="AE56" s="78">
        <f>+GETPIVOTDATA(" Tot # Undes. Old",'OLD Counts Pivot Table'!$A$3,"State","ky","Category2","Group2")</f>
        <v>0</v>
      </c>
      <c r="AF56" s="76">
        <f>+GETPIVOTDATA(" Tot # Undes. Old",'OLD Counts Pivot Table'!$A$3,"State","ky","Category",12,"Category2","Technical Institutes")</f>
        <v>0</v>
      </c>
      <c r="AG56" s="77">
        <f>+GETPIVOTDATA(" Tot # Undes. Old",'OLD Counts Pivot Table'!$A$3,"State","ky","Category",13,"Category2","Technical Institutes")</f>
        <v>0</v>
      </c>
      <c r="AH56" s="76">
        <f>+GETPIVOTDATA(" Tot # Undes. Old",'OLD Counts Pivot Table'!$A$3,"State","AR","Category2","Technical Institutes")</f>
        <v>0</v>
      </c>
    </row>
    <row r="57" spans="1:36" x14ac:dyDescent="0.2">
      <c r="A57" s="10"/>
      <c r="B57" s="18" t="s">
        <v>82</v>
      </c>
      <c r="C57" s="12">
        <f t="shared" si="25"/>
        <v>0</v>
      </c>
      <c r="D57" s="14">
        <f t="shared" si="25"/>
        <v>0</v>
      </c>
      <c r="E57" s="103">
        <f t="shared" si="25"/>
        <v>0</v>
      </c>
      <c r="F57" s="14">
        <f t="shared" si="25"/>
        <v>0</v>
      </c>
      <c r="G57" s="103">
        <f t="shared" si="25"/>
        <v>0</v>
      </c>
      <c r="H57" s="40">
        <f t="shared" si="25"/>
        <v>0</v>
      </c>
      <c r="I57" s="102">
        <f t="shared" si="25"/>
        <v>0</v>
      </c>
      <c r="J57" s="12">
        <f t="shared" si="25"/>
        <v>0</v>
      </c>
      <c r="K57" s="14">
        <f t="shared" si="25"/>
        <v>0</v>
      </c>
      <c r="L57" s="14">
        <f t="shared" si="25"/>
        <v>0</v>
      </c>
      <c r="M57" s="14">
        <f t="shared" si="28"/>
        <v>0</v>
      </c>
      <c r="N57" s="12">
        <f t="shared" si="26"/>
        <v>0</v>
      </c>
      <c r="O57" s="12">
        <f t="shared" si="26"/>
        <v>0</v>
      </c>
      <c r="P57" s="14">
        <f t="shared" si="26"/>
        <v>0</v>
      </c>
      <c r="Q57" s="12">
        <f t="shared" si="27"/>
        <v>0</v>
      </c>
      <c r="R57" s="56"/>
      <c r="S57" s="76">
        <f>+GETPIVOTDATA(" Tot # Single Rnk Old",'OLD Counts Pivot Table'!$A$3,"State","ky","Category",1,"Category2","Four-Year")</f>
        <v>0</v>
      </c>
      <c r="T57" s="77">
        <f>+GETPIVOTDATA(" Tot # Single Rnk Old",'OLD Counts Pivot Table'!$A$3,"State","ky","Category",2,"Category2","Four-Year")</f>
        <v>0</v>
      </c>
      <c r="U57" s="77">
        <f>+GETPIVOTDATA(" Tot # Single Rnk Old",'OLD Counts Pivot Table'!$A$3,"State","ky","Category",3,"Category2","Four-Year")</f>
        <v>0</v>
      </c>
      <c r="V57" s="77">
        <f>+GETPIVOTDATA(" Tot # Single Rnk Old",'OLD Counts Pivot Table'!$A$3,"State","ky","Category",4,"Category2","Four-Year")</f>
        <v>0</v>
      </c>
      <c r="W57" s="77">
        <f>+GETPIVOTDATA(" Tot # Single Rnk Old",'OLD Counts Pivot Table'!$A$3,"State","ky","Category",5,"Category2","Four-Year")</f>
        <v>0</v>
      </c>
      <c r="X57" s="77">
        <f>+GETPIVOTDATA(" Tot # Single Rnk Old",'OLD Counts Pivot Table'!$A$3,"State","ky","Category",6,"Category2","Four-Year")</f>
        <v>0</v>
      </c>
      <c r="Y57" s="78">
        <f>+GETPIVOTDATA(" Tot # Single Rnk Old",'OLD Counts Pivot Table'!$A$3,"State","ky","Category2","Four-Year")</f>
        <v>0</v>
      </c>
      <c r="Z57" s="76">
        <f>+GETPIVOTDATA(" Tot # Single Rnk Old",'OLD Counts Pivot Table'!$A$3,"State","ky","Category",7,"Category2","Group2")</f>
        <v>0</v>
      </c>
      <c r="AA57" s="77">
        <f>+GETPIVOTDATA(" Tot # Single Rnk Old",'OLD Counts Pivot Table'!$A$3,"State","ky","Category",8,"Category2","Group2")</f>
        <v>0</v>
      </c>
      <c r="AB57" s="77">
        <f>+GETPIVOTDATA(" Tot # Single Rnk Old",'OLD Counts Pivot Table'!$A$3,"State","ky","Category",9,"Category2","Group2")</f>
        <v>0</v>
      </c>
      <c r="AC57" s="77">
        <f>+GETPIVOTDATA(" Tot # Single Rnk Old",'OLD Counts Pivot Table'!$A$3,"State","ky","Category",10,"Category2","Group2")</f>
        <v>0</v>
      </c>
      <c r="AD57" s="77">
        <f>+GETPIVOTDATA(" Tot # Single Rnk Old",'OLD Counts Pivot Table'!$A$3,"State","ky","Category",11,"Category2","Group2")</f>
        <v>0</v>
      </c>
      <c r="AE57" s="78">
        <f>+GETPIVOTDATA(" Tot # Single Rnk Old",'OLD Counts Pivot Table'!$A$3,"State","ky","Category2","Group2")</f>
        <v>0</v>
      </c>
      <c r="AF57" s="76">
        <f>+GETPIVOTDATA(" Tot # Single Rnk Old",'OLD Counts Pivot Table'!$A$3,"State","ky","Category",12,"Category2","Technical Institutes")</f>
        <v>0</v>
      </c>
      <c r="AG57" s="77">
        <f>+GETPIVOTDATA(" Tot # Single Rnk Old",'OLD Counts Pivot Table'!$A$3,"State","ky","Category",13,"Category2","Technical Institutes")</f>
        <v>0</v>
      </c>
      <c r="AH57" s="76">
        <f>+GETPIVOTDATA(" Tot # Single Rnk Old",'OLD Counts Pivot Table'!$A$3,"State","AR","Category2","Technical Institutes")</f>
        <v>0</v>
      </c>
    </row>
    <row r="58" spans="1:36" s="33" customFormat="1" x14ac:dyDescent="0.25">
      <c r="A58" s="109"/>
      <c r="B58" s="110" t="s">
        <v>84</v>
      </c>
      <c r="C58" s="13">
        <f t="shared" si="25"/>
        <v>1</v>
      </c>
      <c r="D58" s="11">
        <f t="shared" si="25"/>
        <v>0</v>
      </c>
      <c r="E58" s="11">
        <f t="shared" si="25"/>
        <v>1</v>
      </c>
      <c r="F58" s="11">
        <f t="shared" si="25"/>
        <v>1</v>
      </c>
      <c r="G58" s="11">
        <f t="shared" si="25"/>
        <v>0</v>
      </c>
      <c r="H58" s="41">
        <f t="shared" si="25"/>
        <v>0</v>
      </c>
      <c r="I58" s="13">
        <f t="shared" si="25"/>
        <v>1</v>
      </c>
      <c r="J58" s="13">
        <f t="shared" si="25"/>
        <v>0</v>
      </c>
      <c r="K58" s="11">
        <f t="shared" si="25"/>
        <v>1</v>
      </c>
      <c r="L58" s="11">
        <f t="shared" si="25"/>
        <v>1</v>
      </c>
      <c r="M58" s="11">
        <f t="shared" si="28"/>
        <v>1</v>
      </c>
      <c r="N58" s="13">
        <f t="shared" si="26"/>
        <v>1</v>
      </c>
      <c r="O58" s="13">
        <f t="shared" si="26"/>
        <v>1</v>
      </c>
      <c r="P58" s="11">
        <f t="shared" si="26"/>
        <v>0</v>
      </c>
      <c r="Q58" s="13">
        <f t="shared" si="27"/>
        <v>0</v>
      </c>
      <c r="R58" s="57"/>
      <c r="S58" s="79">
        <f>+GETPIVOTDATA(" All Ranks # Old",'OLD Counts Pivot Table'!$A$3,"State","ky","Category",1,"Category2","Four-Year")</f>
        <v>2207</v>
      </c>
      <c r="T58" s="80">
        <f>+GETPIVOTDATA(" All Ranks # Old",'OLD Counts Pivot Table'!$A$3,"State","ky","Category",2,"Category2","Four-Year")</f>
        <v>0</v>
      </c>
      <c r="U58" s="80">
        <f>+GETPIVOTDATA(" All Ranks # Old",'OLD Counts Pivot Table'!$A$3,"State","ky","Category",3,"Category2","Four-Year")</f>
        <v>2159</v>
      </c>
      <c r="V58" s="80">
        <f>+GETPIVOTDATA(" All Ranks # Old",'OLD Counts Pivot Table'!$A$3,"State","ky","Category",4,"Category2","Four-Year")</f>
        <v>654</v>
      </c>
      <c r="W58" s="80">
        <f>+GETPIVOTDATA(" All Ranks # Old",'OLD Counts Pivot Table'!$A$3,"State","ky","Category",5,"Category2","Four-Year")</f>
        <v>0</v>
      </c>
      <c r="X58" s="80">
        <f>+GETPIVOTDATA(" All Ranks # Old",'OLD Counts Pivot Table'!$A$3,"State","ky","Category",6,"Category2","Four-Year")</f>
        <v>0</v>
      </c>
      <c r="Y58" s="81">
        <f>+GETPIVOTDATA(" All Ranks # Old",'OLD Counts Pivot Table'!$A$3,"State","ky","Category2","Four-Year")</f>
        <v>5020</v>
      </c>
      <c r="Z58" s="79">
        <f>+GETPIVOTDATA(" All Ranks # Old",'OLD Counts Pivot Table'!$A$3,"State","ky","Category",7,"Category2","Group2")</f>
        <v>0</v>
      </c>
      <c r="AA58" s="80">
        <f>+GETPIVOTDATA(" All Ranks # Old",'OLD Counts Pivot Table'!$A$3,"State","ky","Category",8,"Category2","Group2")</f>
        <v>512</v>
      </c>
      <c r="AB58" s="80">
        <f>+GETPIVOTDATA(" All Ranks # Old",'OLD Counts Pivot Table'!$A$3,"State","ky","Category",9,"Category2","Group2")</f>
        <v>1106</v>
      </c>
      <c r="AC58" s="80">
        <f>+GETPIVOTDATA(" All Ranks # Old",'OLD Counts Pivot Table'!$A$3,"State","ky","Category",10,"Category2","Group2")</f>
        <v>157</v>
      </c>
      <c r="AD58" s="80">
        <f>+GETPIVOTDATA(" All Ranks # Old",'OLD Counts Pivot Table'!$A$3,"State","ky","Category",11,"Category2","Group2")</f>
        <v>0</v>
      </c>
      <c r="AE58" s="81">
        <f>+GETPIVOTDATA(" All Ranks # Old",'OLD Counts Pivot Table'!$A$3,"State","ky","Category2","Group2")</f>
        <v>1775</v>
      </c>
      <c r="AF58" s="79">
        <f>+GETPIVOTDATA(" All Ranks # Old",'OLD Counts Pivot Table'!$A$3,"State","ky","Category",12,"Category2","Technical Institutes")</f>
        <v>158</v>
      </c>
      <c r="AG58" s="80">
        <f>+GETPIVOTDATA(" All Ranks # Old",'OLD Counts Pivot Table'!$A$3,"State","ky","Category",13,"Category2","Technical Institutes")</f>
        <v>0</v>
      </c>
      <c r="AH58" s="79">
        <f>+GETPIVOTDATA(" All Ranks # Old",'OLD Counts Pivot Table'!$A$3,"State","AR","Category2","Technical Institutes")</f>
        <v>0</v>
      </c>
      <c r="AI58" s="82"/>
      <c r="AJ58" s="82"/>
    </row>
    <row r="59" spans="1:36" x14ac:dyDescent="0.2">
      <c r="A59" s="18" t="s">
        <v>76</v>
      </c>
      <c r="B59" s="15" t="s">
        <v>99</v>
      </c>
      <c r="C59" s="16">
        <f t="shared" ref="C59:M65" si="29">IF(S$65&gt;0,(S59/S$65),0)</f>
        <v>0.34652665589660742</v>
      </c>
      <c r="D59" s="17">
        <f t="shared" si="29"/>
        <v>0.25778421433743665</v>
      </c>
      <c r="E59" s="17">
        <f t="shared" si="29"/>
        <v>0.23867313915857605</v>
      </c>
      <c r="F59" s="17">
        <f t="shared" si="29"/>
        <v>0.18859315589353612</v>
      </c>
      <c r="G59" s="17">
        <f t="shared" si="29"/>
        <v>0</v>
      </c>
      <c r="H59" s="39">
        <f t="shared" si="29"/>
        <v>0.20618556701030927</v>
      </c>
      <c r="I59" s="16">
        <f t="shared" si="29"/>
        <v>0.25593316878678563</v>
      </c>
      <c r="J59" s="16">
        <f t="shared" si="29"/>
        <v>0</v>
      </c>
      <c r="K59" s="17">
        <f t="shared" si="29"/>
        <v>0.12025316455696203</v>
      </c>
      <c r="L59" s="17">
        <f t="shared" si="29"/>
        <v>0.14912280701754385</v>
      </c>
      <c r="M59" s="17">
        <f t="shared" si="29"/>
        <v>6.1904761904761907E-2</v>
      </c>
      <c r="N59" s="16">
        <f t="shared" ref="N59:P65" si="30">IF(AE$65&gt;0,(AE59/AE$65),0)</f>
        <v>0.11495327102803739</v>
      </c>
      <c r="O59" s="91">
        <f t="shared" si="30"/>
        <v>0</v>
      </c>
      <c r="P59" s="17">
        <f t="shared" si="30"/>
        <v>0</v>
      </c>
      <c r="Q59" s="91">
        <f t="shared" ref="Q59:Q65" si="31">IF(AH$65&gt;0,(AH59/AH$65),0)</f>
        <v>0</v>
      </c>
      <c r="R59" s="83"/>
      <c r="S59" s="73">
        <f>+GETPIVOTDATA(" Total # Prof Old",'OLD Counts Pivot Table'!$A$3,"State","LA","Category",1,"Category2","Four-Year")</f>
        <v>429</v>
      </c>
      <c r="T59" s="74">
        <f>+GETPIVOTDATA(" Total # Prof Old",'OLD Counts Pivot Table'!$A$3,"State","LA","Category",2,"Category2","Four-Year")</f>
        <v>356</v>
      </c>
      <c r="U59" s="74">
        <f>+GETPIVOTDATA(" Total # Prof Old",'OLD Counts Pivot Table'!$A$3,"State","LA","Category",3,"Category2","Four-Year")</f>
        <v>295</v>
      </c>
      <c r="V59" s="74">
        <f>+GETPIVOTDATA(" Total # Prof Old",'OLD Counts Pivot Table'!$A$3,"State","LA","Category",4,"Category2","Four-Year")</f>
        <v>248</v>
      </c>
      <c r="W59" s="74">
        <f>+GETPIVOTDATA(" Total # Prof Old",'OLD Counts Pivot Table'!$A$3,"State","LA","Category",5,"Category2","Four-Year")</f>
        <v>0</v>
      </c>
      <c r="X59" s="74">
        <f>+GETPIVOTDATA(" Total # Prof Old",'OLD Counts Pivot Table'!$A$3,"State","LA","Category",6,"Category2","Four-Year")</f>
        <v>20</v>
      </c>
      <c r="Y59" s="75">
        <f>+GETPIVOTDATA(" Total # Prof Old",'OLD Counts Pivot Table'!$A$3,"State","LA","Category2","Four-Year")</f>
        <v>1348</v>
      </c>
      <c r="Z59" s="73">
        <f>+GETPIVOTDATA(" Total # Prof Old",'OLD Counts Pivot Table'!$A$3,"State","LA","Category",7,"Category2","Group2")</f>
        <v>0</v>
      </c>
      <c r="AA59" s="74">
        <f>+GETPIVOTDATA(" Total # Prof Old",'OLD Counts Pivot Table'!$A$3,"State","LA","Category",8,"Category2","Group2")</f>
        <v>76</v>
      </c>
      <c r="AB59" s="74">
        <f>+GETPIVOTDATA(" Total # Prof Old",'OLD Counts Pivot Table'!$A$3,"State","LA","Category",9,"Category2","Group2")</f>
        <v>34</v>
      </c>
      <c r="AC59" s="74">
        <f>+GETPIVOTDATA(" Total # Prof Old",'OLD Counts Pivot Table'!$A$3,"State","LA","Category",10,"Category2","Group2")</f>
        <v>13</v>
      </c>
      <c r="AD59" s="74">
        <f>+GETPIVOTDATA(" Total # Prof Old",'OLD Counts Pivot Table'!$A$3,"State","LA","Category",11,"Category2","Group2")</f>
        <v>0</v>
      </c>
      <c r="AE59" s="75">
        <f>+GETPIVOTDATA(" Total # Prof Old",'OLD Counts Pivot Table'!$A$3,"State","LA","Category2","Group2")</f>
        <v>123</v>
      </c>
      <c r="AF59" s="73">
        <f>+GETPIVOTDATA(" Total # Prof Old",'OLD Counts Pivot Table'!$A$3,"State","LA","Category",12,"Category2","Technical Institutes")</f>
        <v>0</v>
      </c>
      <c r="AG59" s="74">
        <f>+GETPIVOTDATA(" Total # Prof Old",'OLD Counts Pivot Table'!$A$3,"State","LA","Category",13,"Category2","Technical Institutes")</f>
        <v>0</v>
      </c>
      <c r="AH59" s="73">
        <f>+GETPIVOTDATA(" Total # Prof Old",'OLD Counts Pivot Table'!$A$3,"State","AR","Category2","Technical Institutes")</f>
        <v>0</v>
      </c>
    </row>
    <row r="60" spans="1:36" x14ac:dyDescent="0.2">
      <c r="A60" s="10"/>
      <c r="B60" s="18" t="s">
        <v>100</v>
      </c>
      <c r="C60" s="12">
        <f t="shared" si="29"/>
        <v>0.23990306946688206</v>
      </c>
      <c r="D60" s="14">
        <f t="shared" si="29"/>
        <v>0.24764663287472846</v>
      </c>
      <c r="E60" s="14">
        <f t="shared" si="29"/>
        <v>0.2313915857605178</v>
      </c>
      <c r="F60" s="14">
        <f t="shared" si="29"/>
        <v>0.21825095057034222</v>
      </c>
      <c r="G60" s="14">
        <f t="shared" si="29"/>
        <v>0</v>
      </c>
      <c r="H60" s="40">
        <f t="shared" si="29"/>
        <v>0.28865979381443296</v>
      </c>
      <c r="I60" s="12">
        <f t="shared" si="29"/>
        <v>0.23542813745965446</v>
      </c>
      <c r="J60" s="12">
        <f t="shared" si="29"/>
        <v>0</v>
      </c>
      <c r="K60" s="14">
        <f t="shared" si="29"/>
        <v>0.15031645569620253</v>
      </c>
      <c r="L60" s="14">
        <f t="shared" si="29"/>
        <v>0.15789473684210525</v>
      </c>
      <c r="M60" s="14">
        <f t="shared" ref="M60:M65" si="32">IF(AC$65&gt;0,(AC60/AC$65),0)</f>
        <v>0.20476190476190476</v>
      </c>
      <c r="N60" s="12">
        <f t="shared" si="30"/>
        <v>0.16261682242990655</v>
      </c>
      <c r="O60" s="12">
        <f t="shared" si="30"/>
        <v>0</v>
      </c>
      <c r="P60" s="14">
        <f t="shared" si="30"/>
        <v>0</v>
      </c>
      <c r="Q60" s="12">
        <f t="shared" si="31"/>
        <v>0</v>
      </c>
      <c r="R60" s="56"/>
      <c r="S60" s="76">
        <f>+GETPIVOTDATA(" Tot # Asc. Prof Old",'OLD Counts Pivot Table'!$A$3,"State","LA","Category",1,"Category2","Four-Year")</f>
        <v>297</v>
      </c>
      <c r="T60" s="77">
        <f>+GETPIVOTDATA(" Tot # Asc. Prof Old",'OLD Counts Pivot Table'!$A$3,"State","LA","Category",2,"Category2","Four-Year")</f>
        <v>342</v>
      </c>
      <c r="U60" s="77">
        <f>+GETPIVOTDATA(" Tot # Asc. Prof Old",'OLD Counts Pivot Table'!$A$3,"State","LA","Category",3,"Category2","Four-Year")</f>
        <v>286</v>
      </c>
      <c r="V60" s="77">
        <f>+GETPIVOTDATA(" Tot # Asc. Prof Old",'OLD Counts Pivot Table'!$A$3,"State","LA","Category",4,"Category2","Four-Year")</f>
        <v>287</v>
      </c>
      <c r="W60" s="77">
        <f>+GETPIVOTDATA(" Tot # Asc. Prof Old",'OLD Counts Pivot Table'!$A$3,"State","LA","Category",5,"Category2","Four-Year")</f>
        <v>0</v>
      </c>
      <c r="X60" s="77">
        <f>+GETPIVOTDATA(" Tot # Asc. Prof Old",'OLD Counts Pivot Table'!$A$3,"State","LA","Category",6,"Category2","Four-Year")</f>
        <v>28</v>
      </c>
      <c r="Y60" s="78">
        <f>+GETPIVOTDATA(" Tot # Asc. Prof Old",'OLD Counts Pivot Table'!$A$3,"State","LA","Category2","Four-Year")</f>
        <v>1240</v>
      </c>
      <c r="Z60" s="76">
        <f>+GETPIVOTDATA(" Tot # Asc. Prof Old",'OLD Counts Pivot Table'!$A$3,"State","LA","Category",7,"Category2","Group2")</f>
        <v>0</v>
      </c>
      <c r="AA60" s="77">
        <f>+GETPIVOTDATA(" Tot # Asc. Prof Old",'OLD Counts Pivot Table'!$A$3,"State","LA","Category",8,"Category2","Group2")</f>
        <v>95</v>
      </c>
      <c r="AB60" s="77">
        <f>+GETPIVOTDATA(" Tot # Asc. Prof Old",'OLD Counts Pivot Table'!$A$3,"State","LA","Category",9,"Category2","Group2")</f>
        <v>36</v>
      </c>
      <c r="AC60" s="77">
        <f>+GETPIVOTDATA(" Tot # Asc. Prof Old",'OLD Counts Pivot Table'!$A$3,"State","LA","Category",10,"Category2","Group2")</f>
        <v>43</v>
      </c>
      <c r="AD60" s="77">
        <f>+GETPIVOTDATA(" Tot # Asc. Prof Old",'OLD Counts Pivot Table'!$A$3,"State","LA","Category",11,"Category2","Group2")</f>
        <v>0</v>
      </c>
      <c r="AE60" s="78">
        <f>+GETPIVOTDATA(" Tot # Asc. Prof Old",'OLD Counts Pivot Table'!$A$3,"State","LA","Category2","Group2")</f>
        <v>174</v>
      </c>
      <c r="AF60" s="76">
        <f>+GETPIVOTDATA(" Tot # Asc. Prof Old",'OLD Counts Pivot Table'!$A$3,"State","LA","Category",12,"Category2","Technical Institutes")</f>
        <v>0</v>
      </c>
      <c r="AG60" s="77">
        <f>+GETPIVOTDATA(" Tot # Asc. Prof Old",'OLD Counts Pivot Table'!$A$3,"State","LA","Category",13,"Category2","Technical Institutes")</f>
        <v>0</v>
      </c>
      <c r="AH60" s="76">
        <f>+GETPIVOTDATA(" Tot # Asc. Prof Old",'OLD Counts Pivot Table'!$A$3,"State","AR","Category2","Technical Institutes")</f>
        <v>0</v>
      </c>
    </row>
    <row r="61" spans="1:36" x14ac:dyDescent="0.2">
      <c r="A61" s="10"/>
      <c r="B61" s="18" t="s">
        <v>101</v>
      </c>
      <c r="C61" s="12">
        <f t="shared" si="29"/>
        <v>0.2245557350565428</v>
      </c>
      <c r="D61" s="14">
        <f t="shared" si="29"/>
        <v>0.26574945691527879</v>
      </c>
      <c r="E61" s="14">
        <f t="shared" si="29"/>
        <v>0.2726537216828479</v>
      </c>
      <c r="F61" s="14">
        <f t="shared" si="29"/>
        <v>0.40228136882129278</v>
      </c>
      <c r="G61" s="14">
        <f t="shared" si="29"/>
        <v>0</v>
      </c>
      <c r="H61" s="40">
        <f t="shared" si="29"/>
        <v>0.37113402061855671</v>
      </c>
      <c r="I61" s="12">
        <f t="shared" si="29"/>
        <v>0.29371558762103667</v>
      </c>
      <c r="J61" s="12">
        <f t="shared" si="29"/>
        <v>0</v>
      </c>
      <c r="K61" s="14">
        <f t="shared" si="29"/>
        <v>0.22468354430379747</v>
      </c>
      <c r="L61" s="14">
        <f t="shared" si="29"/>
        <v>0.19298245614035087</v>
      </c>
      <c r="M61" s="14">
        <f t="shared" si="32"/>
        <v>0.31904761904761902</v>
      </c>
      <c r="N61" s="12">
        <f t="shared" si="30"/>
        <v>0.23644859813084113</v>
      </c>
      <c r="O61" s="12">
        <f t="shared" si="30"/>
        <v>8.4033613445378148E-3</v>
      </c>
      <c r="P61" s="14">
        <f t="shared" si="30"/>
        <v>0</v>
      </c>
      <c r="Q61" s="12">
        <f t="shared" si="31"/>
        <v>0</v>
      </c>
      <c r="R61" s="56"/>
      <c r="S61" s="76">
        <f>+GETPIVOTDATA(" Tot # Ast. Prof Old",'OLD Counts Pivot Table'!$A$3,"State","LA","Category",1,"Category2","Four-Year")</f>
        <v>278</v>
      </c>
      <c r="T61" s="77">
        <f>+GETPIVOTDATA(" Tot # Ast. Prof Old",'OLD Counts Pivot Table'!$A$3,"State","LA","Category",2,"Category2","Four-Year")</f>
        <v>367</v>
      </c>
      <c r="U61" s="77">
        <f>+GETPIVOTDATA(" Tot # Ast. Prof Old",'OLD Counts Pivot Table'!$A$3,"State","LA","Category",3,"Category2","Four-Year")</f>
        <v>337</v>
      </c>
      <c r="V61" s="77">
        <f>+GETPIVOTDATA(" Tot # Ast. Prof Old",'OLD Counts Pivot Table'!$A$3,"State","LA","Category",4,"Category2","Four-Year")</f>
        <v>529</v>
      </c>
      <c r="W61" s="77">
        <f>+GETPIVOTDATA(" Tot # Ast. Prof Old",'OLD Counts Pivot Table'!$A$3,"State","LA","Category",5,"Category2","Four-Year")</f>
        <v>0</v>
      </c>
      <c r="X61" s="77">
        <f>+GETPIVOTDATA(" Tot # Ast. Prof Old",'OLD Counts Pivot Table'!$A$3,"State","LA","Category",6,"Category2","Four-Year")</f>
        <v>36</v>
      </c>
      <c r="Y61" s="78">
        <f>+GETPIVOTDATA(" Tot # Ast. Prof Old",'OLD Counts Pivot Table'!$A$3,"State","LA","Category2","Four-Year")</f>
        <v>1547</v>
      </c>
      <c r="Z61" s="76">
        <f>+GETPIVOTDATA(" Tot # Ast. Prof Old",'OLD Counts Pivot Table'!$A$3,"State","LA","Category",7,"Category2","Group2")</f>
        <v>0</v>
      </c>
      <c r="AA61" s="77">
        <f>+GETPIVOTDATA(" Tot # Ast. Prof Old",'OLD Counts Pivot Table'!$A$3,"State","LA","Category",8,"Category2","Group2")</f>
        <v>142</v>
      </c>
      <c r="AB61" s="77">
        <f>+GETPIVOTDATA(" Tot # Ast. Prof Old",'OLD Counts Pivot Table'!$A$3,"State","LA","Category",9,"Category2","Group2")</f>
        <v>44</v>
      </c>
      <c r="AC61" s="77">
        <f>+GETPIVOTDATA(" Tot # Ast. Prof Old",'OLD Counts Pivot Table'!$A$3,"State","LA","Category",10,"Category2","Group2")</f>
        <v>67</v>
      </c>
      <c r="AD61" s="77">
        <f>+GETPIVOTDATA(" Tot # Ast. Prof Old",'OLD Counts Pivot Table'!$A$3,"State","LA","Category",11,"Category2","Group2")</f>
        <v>0</v>
      </c>
      <c r="AE61" s="78">
        <f>+GETPIVOTDATA(" Tot # Ast. Prof Old",'OLD Counts Pivot Table'!$A$3,"State","LA","Category2","Group2")</f>
        <v>253</v>
      </c>
      <c r="AF61" s="76">
        <f>+GETPIVOTDATA(" Tot # Ast. Prof Old",'OLD Counts Pivot Table'!$A$3,"State","LA","Category",12,"Category2","Technical Institutes")</f>
        <v>1</v>
      </c>
      <c r="AG61" s="77">
        <f>+GETPIVOTDATA(" Tot # Ast. Prof Old",'OLD Counts Pivot Table'!$A$3,"State","LA","Category",13,"Category2","Technical Institutes")</f>
        <v>0</v>
      </c>
      <c r="AH61" s="76">
        <f>+GETPIVOTDATA(" Tot # Ast. Prof Old",'OLD Counts Pivot Table'!$A$3,"State","AR","Category2","Technical Institutes")</f>
        <v>0</v>
      </c>
    </row>
    <row r="62" spans="1:36" x14ac:dyDescent="0.2">
      <c r="A62" s="10"/>
      <c r="B62" s="18" t="s">
        <v>102</v>
      </c>
      <c r="C62" s="12">
        <f t="shared" si="29"/>
        <v>0.17205169628432956</v>
      </c>
      <c r="D62" s="14">
        <f t="shared" si="29"/>
        <v>0.21723388848660391</v>
      </c>
      <c r="E62" s="14">
        <f t="shared" si="29"/>
        <v>0.24919093851132687</v>
      </c>
      <c r="F62" s="14">
        <f t="shared" si="29"/>
        <v>0.17034220532319391</v>
      </c>
      <c r="G62" s="14">
        <f t="shared" si="29"/>
        <v>0</v>
      </c>
      <c r="H62" s="40">
        <f t="shared" si="29"/>
        <v>0.13402061855670103</v>
      </c>
      <c r="I62" s="12">
        <f t="shared" si="29"/>
        <v>0.20087336244541484</v>
      </c>
      <c r="J62" s="12">
        <f t="shared" si="29"/>
        <v>0</v>
      </c>
      <c r="K62" s="14">
        <f t="shared" si="29"/>
        <v>0.29430379746835444</v>
      </c>
      <c r="L62" s="14">
        <f t="shared" si="29"/>
        <v>0.5</v>
      </c>
      <c r="M62" s="14">
        <f t="shared" si="32"/>
        <v>0.41428571428571431</v>
      </c>
      <c r="N62" s="12">
        <f t="shared" si="30"/>
        <v>0.36168224299065421</v>
      </c>
      <c r="O62" s="12">
        <f t="shared" si="30"/>
        <v>0.3949579831932773</v>
      </c>
      <c r="P62" s="14">
        <f t="shared" si="30"/>
        <v>0</v>
      </c>
      <c r="Q62" s="12">
        <f t="shared" si="31"/>
        <v>0</v>
      </c>
      <c r="R62" s="56"/>
      <c r="S62" s="76">
        <f>+GETPIVOTDATA(" Tot # Instr. Old",'OLD Counts Pivot Table'!$A$3,"State","LA","Category",1,"Category2","Four-Year")</f>
        <v>213</v>
      </c>
      <c r="T62" s="77">
        <f>+GETPIVOTDATA(" Tot # Instr. Old",'OLD Counts Pivot Table'!$A$3,"State","LA","Category",2,"Category2","Four-Year")</f>
        <v>300</v>
      </c>
      <c r="U62" s="77">
        <f>+GETPIVOTDATA(" Tot # Instr. Old",'OLD Counts Pivot Table'!$A$3,"State","LA","Category",3,"Category2","Four-Year")</f>
        <v>308</v>
      </c>
      <c r="V62" s="77">
        <f>+GETPIVOTDATA(" Tot # Instr. Old",'OLD Counts Pivot Table'!$A$3,"State","LA","Category",4,"Category2","Four-Year")</f>
        <v>224</v>
      </c>
      <c r="W62" s="77">
        <f>+GETPIVOTDATA(" Tot # Instr. Old",'OLD Counts Pivot Table'!$A$3,"State","LA","Category",5,"Category2","Four-Year")</f>
        <v>0</v>
      </c>
      <c r="X62" s="77">
        <f>+GETPIVOTDATA(" Tot # Instr. Old",'OLD Counts Pivot Table'!$A$3,"State","LA","Category",6,"Category2","Four-Year")</f>
        <v>13</v>
      </c>
      <c r="Y62" s="78">
        <f>+GETPIVOTDATA(" Tot # Instr. Old",'OLD Counts Pivot Table'!$A$3,"State","LA","Category2","Four-Year")</f>
        <v>1058</v>
      </c>
      <c r="Z62" s="76">
        <f>+GETPIVOTDATA(" Tot # Instr. Old",'OLD Counts Pivot Table'!$A$3,"State","LA","Category",7,"Category2","Group2")</f>
        <v>0</v>
      </c>
      <c r="AA62" s="77">
        <f>+GETPIVOTDATA(" Tot # Instr. Old",'OLD Counts Pivot Table'!$A$3,"State","LA","Category",8,"Category2","Group2")</f>
        <v>186</v>
      </c>
      <c r="AB62" s="77">
        <f>+GETPIVOTDATA(" Tot # Instr. Old",'OLD Counts Pivot Table'!$A$3,"State","LA","Category",9,"Category2","Group2")</f>
        <v>114</v>
      </c>
      <c r="AC62" s="77">
        <f>+GETPIVOTDATA(" Tot # Instr. Old",'OLD Counts Pivot Table'!$A$3,"State","LA","Category",10,"Category2","Group2")</f>
        <v>87</v>
      </c>
      <c r="AD62" s="77">
        <f>+GETPIVOTDATA(" Tot # Instr. Old",'OLD Counts Pivot Table'!$A$3,"State","LA","Category",11,"Category2","Group2")</f>
        <v>0</v>
      </c>
      <c r="AE62" s="78">
        <f>+GETPIVOTDATA(" Tot # Instr. Old",'OLD Counts Pivot Table'!$A$3,"State","LA","Category2","Group2")</f>
        <v>387</v>
      </c>
      <c r="AF62" s="76">
        <f>+GETPIVOTDATA(" Tot # Instr. Old",'OLD Counts Pivot Table'!$A$3,"State","LA","Category",12,"Category2","Technical Institutes")</f>
        <v>47</v>
      </c>
      <c r="AG62" s="77">
        <f>+GETPIVOTDATA(" Tot # Instr. Old",'OLD Counts Pivot Table'!$A$3,"State","LA","Category",13,"Category2","Technical Institutes")</f>
        <v>0</v>
      </c>
      <c r="AH62" s="76">
        <f>+GETPIVOTDATA(" Tot # Instr. Old",'OLD Counts Pivot Table'!$A$3,"State","AR","Category2","Technical Institutes")</f>
        <v>0</v>
      </c>
    </row>
    <row r="63" spans="1:36" x14ac:dyDescent="0.2">
      <c r="A63" s="10"/>
      <c r="B63" s="18" t="s">
        <v>83</v>
      </c>
      <c r="C63" s="12">
        <f t="shared" si="29"/>
        <v>1.6962843295638127E-2</v>
      </c>
      <c r="D63" s="14">
        <f t="shared" si="29"/>
        <v>1.1585807385952208E-2</v>
      </c>
      <c r="E63" s="14">
        <f t="shared" si="29"/>
        <v>8.0906148867313909E-3</v>
      </c>
      <c r="F63" s="153">
        <f t="shared" si="29"/>
        <v>2.0532319391634982E-2</v>
      </c>
      <c r="G63" s="14">
        <f t="shared" si="29"/>
        <v>0</v>
      </c>
      <c r="H63" s="40">
        <f t="shared" si="29"/>
        <v>0</v>
      </c>
      <c r="I63" s="12">
        <f t="shared" si="29"/>
        <v>1.404974368710841E-2</v>
      </c>
      <c r="J63" s="12">
        <f t="shared" si="29"/>
        <v>0</v>
      </c>
      <c r="K63" s="14">
        <f t="shared" si="29"/>
        <v>0.19778481012658228</v>
      </c>
      <c r="L63" s="14">
        <f t="shared" si="29"/>
        <v>0</v>
      </c>
      <c r="M63" s="14">
        <f t="shared" si="32"/>
        <v>0</v>
      </c>
      <c r="N63" s="12">
        <f t="shared" si="30"/>
        <v>0.11682242990654206</v>
      </c>
      <c r="O63" s="12">
        <f t="shared" si="30"/>
        <v>4.2016806722689079E-2</v>
      </c>
      <c r="P63" s="14">
        <f t="shared" si="30"/>
        <v>0</v>
      </c>
      <c r="Q63" s="154">
        <f t="shared" si="31"/>
        <v>0</v>
      </c>
      <c r="R63" s="56"/>
      <c r="S63" s="76">
        <f>++GETPIVOTDATA(" Tot # Undes. Old",'OLD Counts Pivot Table'!$A$3,"State","LA","Category",1,"Category2","Four-Year")</f>
        <v>21</v>
      </c>
      <c r="T63" s="77">
        <f>+GETPIVOTDATA(" Tot # Undes. Old",'OLD Counts Pivot Table'!$A$3,"State","LA","Category",2,"Category2","Four-Year")</f>
        <v>16</v>
      </c>
      <c r="U63" s="77">
        <f>+GETPIVOTDATA(" Tot # Undes. Old",'OLD Counts Pivot Table'!$A$3,"State","LA","Category",3,"Category2","Four-Year")</f>
        <v>10</v>
      </c>
      <c r="V63" s="77">
        <f>+GETPIVOTDATA(" Tot # Undes. Old",'OLD Counts Pivot Table'!$A$3,"State","LA","Category",4,"Category2","Four-Year")</f>
        <v>27</v>
      </c>
      <c r="W63" s="77">
        <f>+GETPIVOTDATA(" Tot # Undes. Old",'OLD Counts Pivot Table'!$A$3,"State","LA","Category",5,"Category2","Four-Year")</f>
        <v>0</v>
      </c>
      <c r="X63" s="77">
        <f>+GETPIVOTDATA(" Tot # Undes. Old",'OLD Counts Pivot Table'!$A$3,"State","LA","Category",6,"Category2","Four-Year")</f>
        <v>0</v>
      </c>
      <c r="Y63" s="78">
        <f>+GETPIVOTDATA(" Tot # Undes. Old",'OLD Counts Pivot Table'!$A$3,"State","LA","Category2","Four-Year")</f>
        <v>74</v>
      </c>
      <c r="Z63" s="76">
        <f>+GETPIVOTDATA(" Tot # Undes. Old",'OLD Counts Pivot Table'!$A$3,"State","LA","Category",7,"Category2","Group2")</f>
        <v>0</v>
      </c>
      <c r="AA63" s="77">
        <f>+GETPIVOTDATA(" Tot # Undes. Old",'OLD Counts Pivot Table'!$A$3,"State","LA","Category",8,"Category2","Group2")</f>
        <v>125</v>
      </c>
      <c r="AB63" s="77">
        <f>+GETPIVOTDATA(" Tot # Undes. Old",'OLD Counts Pivot Table'!$A$3,"State","LA","Category",9,"Category2","Group2")</f>
        <v>0</v>
      </c>
      <c r="AC63" s="77">
        <f>+GETPIVOTDATA(" Tot # Undes. Old",'OLD Counts Pivot Table'!$A$3,"State","LA","Category",10,"Category2","Group2")</f>
        <v>0</v>
      </c>
      <c r="AD63" s="77">
        <f>+GETPIVOTDATA(" Tot # Undes. Old",'OLD Counts Pivot Table'!$A$3,"State","LA","Category",11,"Category2","Group2")</f>
        <v>0</v>
      </c>
      <c r="AE63" s="78">
        <f>+GETPIVOTDATA(" Tot # Undes. Old",'OLD Counts Pivot Table'!$A$3,"State","LA","Category2","Group2")</f>
        <v>125</v>
      </c>
      <c r="AF63" s="76">
        <f>+GETPIVOTDATA(" Tot # Undes. Old",'OLD Counts Pivot Table'!$A$3,"State","LA","Category",12,"Category2","Technical Institutes")</f>
        <v>5</v>
      </c>
      <c r="AG63" s="77">
        <f>+GETPIVOTDATA(" Tot # Undes. Old",'OLD Counts Pivot Table'!$A$3,"State","LA","Category",13,"Category2","Technical Institutes")</f>
        <v>0</v>
      </c>
      <c r="AH63" s="76">
        <f>+GETPIVOTDATA(" Tot # Undes. Old",'OLD Counts Pivot Table'!$A$3,"State","AR","Category2","Technical Institutes")</f>
        <v>0</v>
      </c>
    </row>
    <row r="64" spans="1:36" x14ac:dyDescent="0.2">
      <c r="A64" s="10"/>
      <c r="B64" s="18" t="s">
        <v>82</v>
      </c>
      <c r="C64" s="12">
        <f t="shared" si="29"/>
        <v>0</v>
      </c>
      <c r="D64" s="14">
        <f t="shared" si="29"/>
        <v>0</v>
      </c>
      <c r="E64" s="14">
        <f t="shared" si="29"/>
        <v>0</v>
      </c>
      <c r="F64" s="153">
        <f t="shared" si="29"/>
        <v>0</v>
      </c>
      <c r="G64" s="103">
        <f t="shared" si="29"/>
        <v>0</v>
      </c>
      <c r="H64" s="40">
        <f t="shared" si="29"/>
        <v>0</v>
      </c>
      <c r="I64" s="12">
        <f t="shared" si="29"/>
        <v>0</v>
      </c>
      <c r="J64" s="12">
        <f t="shared" si="29"/>
        <v>0</v>
      </c>
      <c r="K64" s="14">
        <f t="shared" si="29"/>
        <v>1.2658227848101266E-2</v>
      </c>
      <c r="L64" s="14">
        <f t="shared" si="29"/>
        <v>0</v>
      </c>
      <c r="M64" s="14">
        <f t="shared" si="32"/>
        <v>0</v>
      </c>
      <c r="N64" s="12">
        <f t="shared" si="30"/>
        <v>7.4766355140186919E-3</v>
      </c>
      <c r="O64" s="12">
        <f t="shared" si="30"/>
        <v>0.55462184873949583</v>
      </c>
      <c r="P64" s="14">
        <f t="shared" si="30"/>
        <v>0</v>
      </c>
      <c r="Q64" s="12">
        <f t="shared" si="31"/>
        <v>0</v>
      </c>
      <c r="R64" s="56"/>
      <c r="S64" s="76">
        <f>+GETPIVOTDATA(" Tot # Single Rnk Old",'OLD Counts Pivot Table'!$A$3,"State","LA","Category",1,"Category2","Four-Year")</f>
        <v>0</v>
      </c>
      <c r="T64" s="77">
        <f>+GETPIVOTDATA(" Tot # Single Rnk Old",'OLD Counts Pivot Table'!$A$3,"State","LA","Category",2,"Category2","Four-Year")</f>
        <v>0</v>
      </c>
      <c r="U64" s="77">
        <f>+GETPIVOTDATA(" Tot # Single Rnk Old",'OLD Counts Pivot Table'!$A$3,"State","LA","Category",3,"Category2","Four-Year")</f>
        <v>0</v>
      </c>
      <c r="V64" s="77">
        <f>+GETPIVOTDATA(" Tot # Single Rnk Old",'OLD Counts Pivot Table'!$A$3,"State","LA","Category",4,"Category2","Four-Year")</f>
        <v>0</v>
      </c>
      <c r="W64" s="77">
        <f>+GETPIVOTDATA(" Tot # Single Rnk Old",'OLD Counts Pivot Table'!$A$3,"State","LA","Category",5,"Category2","Four-Year")</f>
        <v>0</v>
      </c>
      <c r="X64" s="77">
        <f>+GETPIVOTDATA(" Tot # Single Rnk Old",'OLD Counts Pivot Table'!$A$3,"State","LA","Category",6,"Category2","Four-Year")</f>
        <v>0</v>
      </c>
      <c r="Y64" s="78">
        <f>+GETPIVOTDATA(" Tot # Single Rnk Old",'OLD Counts Pivot Table'!$A$3,"State","LA","Category2","Four-Year")</f>
        <v>0</v>
      </c>
      <c r="Z64" s="76">
        <f>+GETPIVOTDATA(" Tot # Single Rnk Old",'OLD Counts Pivot Table'!$A$3,"State","LA","Category",7,"Category2","Group2")</f>
        <v>0</v>
      </c>
      <c r="AA64" s="77">
        <f>+GETPIVOTDATA(" Tot # Single Rnk Old",'OLD Counts Pivot Table'!$A$3,"State","LA","Category",8,"Category2","Group2")</f>
        <v>8</v>
      </c>
      <c r="AB64" s="77">
        <f>+GETPIVOTDATA(" Tot # Single Rnk Old",'OLD Counts Pivot Table'!$A$3,"State","LA","Category",9,"Category2","Group2")</f>
        <v>0</v>
      </c>
      <c r="AC64" s="77">
        <f>+GETPIVOTDATA(" Tot # Single Rnk Old",'OLD Counts Pivot Table'!$A$3,"State","LA","Category",10,"Category2","Group2")</f>
        <v>0</v>
      </c>
      <c r="AD64" s="77">
        <f>+GETPIVOTDATA(" Tot # Single Rnk Old",'OLD Counts Pivot Table'!$A$3,"State","LA","Category",11,"Category2","Group2")</f>
        <v>0</v>
      </c>
      <c r="AE64" s="78">
        <f>+GETPIVOTDATA(" Tot # Single Rnk Old",'OLD Counts Pivot Table'!$A$3,"State","LA","Category2","Group2")</f>
        <v>8</v>
      </c>
      <c r="AF64" s="76">
        <f>+GETPIVOTDATA(" Tot # Single Rnk Old",'OLD Counts Pivot Table'!$A$3,"State","LA","Category",12,"Category2","Technical Institutes")</f>
        <v>66</v>
      </c>
      <c r="AG64" s="77">
        <f>+GETPIVOTDATA(" Tot # Single Rnk Old",'OLD Counts Pivot Table'!$A$3,"State","LA","Category",13,"Category2","Technical Institutes")</f>
        <v>0</v>
      </c>
      <c r="AH64" s="76">
        <f>+GETPIVOTDATA(" Tot # Single Rnk Old",'OLD Counts Pivot Table'!$A$3,"State","AR","Category2","Technical Institutes")</f>
        <v>0</v>
      </c>
    </row>
    <row r="65" spans="1:36" s="33" customFormat="1" x14ac:dyDescent="0.25">
      <c r="A65" s="109"/>
      <c r="B65" s="110" t="s">
        <v>84</v>
      </c>
      <c r="C65" s="13">
        <f t="shared" si="29"/>
        <v>1</v>
      </c>
      <c r="D65" s="11">
        <f t="shared" si="29"/>
        <v>1</v>
      </c>
      <c r="E65" s="11">
        <f t="shared" si="29"/>
        <v>1</v>
      </c>
      <c r="F65" s="11">
        <f t="shared" si="29"/>
        <v>1</v>
      </c>
      <c r="G65" s="11">
        <f t="shared" si="29"/>
        <v>0</v>
      </c>
      <c r="H65" s="41">
        <f t="shared" si="29"/>
        <v>1</v>
      </c>
      <c r="I65" s="13">
        <f t="shared" si="29"/>
        <v>1</v>
      </c>
      <c r="J65" s="13">
        <f t="shared" si="29"/>
        <v>0</v>
      </c>
      <c r="K65" s="11">
        <f t="shared" si="29"/>
        <v>1</v>
      </c>
      <c r="L65" s="11">
        <f t="shared" si="29"/>
        <v>1</v>
      </c>
      <c r="M65" s="11">
        <f t="shared" si="32"/>
        <v>1</v>
      </c>
      <c r="N65" s="13">
        <f t="shared" si="30"/>
        <v>1</v>
      </c>
      <c r="O65" s="13">
        <f t="shared" si="30"/>
        <v>1</v>
      </c>
      <c r="P65" s="11">
        <f t="shared" si="30"/>
        <v>0</v>
      </c>
      <c r="Q65" s="13">
        <f t="shared" si="31"/>
        <v>0</v>
      </c>
      <c r="R65" s="57"/>
      <c r="S65" s="79">
        <f>+GETPIVOTDATA(" All Ranks # Old",'OLD Counts Pivot Table'!$A$3,"State","LA","Category",1,"Category2","Four-Year")</f>
        <v>1238</v>
      </c>
      <c r="T65" s="80">
        <f>+GETPIVOTDATA(" All Ranks # Old",'OLD Counts Pivot Table'!$A$3,"State","LA","Category",2,"Category2","Four-Year")</f>
        <v>1381</v>
      </c>
      <c r="U65" s="80">
        <f>+GETPIVOTDATA(" All Ranks # Old",'OLD Counts Pivot Table'!$A$3,"State","LA","Category",3,"Category2","Four-Year")</f>
        <v>1236</v>
      </c>
      <c r="V65" s="80">
        <f>+GETPIVOTDATA(" All Ranks # Old",'OLD Counts Pivot Table'!$A$3,"State","LA","Category",4,"Category2","Four-Year")</f>
        <v>1315</v>
      </c>
      <c r="W65" s="80">
        <f>+GETPIVOTDATA(" All Ranks # Old",'OLD Counts Pivot Table'!$A$3,"State","LA","Category",5,"Category2","Four-Year")</f>
        <v>0</v>
      </c>
      <c r="X65" s="80">
        <f>+GETPIVOTDATA(" All Ranks # Old",'OLD Counts Pivot Table'!$A$3,"State","LA","Category",6,"Category2","Four-Year")</f>
        <v>97</v>
      </c>
      <c r="Y65" s="81">
        <f>+GETPIVOTDATA(" All Ranks # Old",'OLD Counts Pivot Table'!$A$3,"State","LA","Category2","Four-Year")</f>
        <v>5267</v>
      </c>
      <c r="Z65" s="79">
        <f>+GETPIVOTDATA(" All Ranks # Old",'OLD Counts Pivot Table'!$A$3,"State","LA","Category",7,"Category2","Group2")</f>
        <v>0</v>
      </c>
      <c r="AA65" s="80">
        <f>+GETPIVOTDATA(" All Ranks # Old",'OLD Counts Pivot Table'!$A$3,"State","LA","Category",8,"Category2","Group2")</f>
        <v>632</v>
      </c>
      <c r="AB65" s="80">
        <f>+GETPIVOTDATA(" All Ranks # Old",'OLD Counts Pivot Table'!$A$3,"State","LA","Category",9,"Category2","Group2")</f>
        <v>228</v>
      </c>
      <c r="AC65" s="80">
        <f>+GETPIVOTDATA(" All Ranks # Old",'OLD Counts Pivot Table'!$A$3,"State","LA","Category",10,"Category2","Group2")</f>
        <v>210</v>
      </c>
      <c r="AD65" s="80">
        <f>+GETPIVOTDATA(" All Ranks # Old",'OLD Counts Pivot Table'!$A$3,"State","LA","Category",11,"Category2","Group2")</f>
        <v>0</v>
      </c>
      <c r="AE65" s="81">
        <f>+GETPIVOTDATA(" All Ranks # Old",'OLD Counts Pivot Table'!$A$3,"State","LA","Category2","Group2")</f>
        <v>1070</v>
      </c>
      <c r="AF65" s="79">
        <f>+GETPIVOTDATA(" All Ranks # Old",'OLD Counts Pivot Table'!$A$3,"State","LA","Category",12,"Category2","Technical Institutes")</f>
        <v>119</v>
      </c>
      <c r="AG65" s="80">
        <f>+GETPIVOTDATA(" All Ranks # Old",'OLD Counts Pivot Table'!$A$3,"State","LA","Category",13,"Category2","Technical Institutes")</f>
        <v>0</v>
      </c>
      <c r="AH65" s="79">
        <f>+GETPIVOTDATA(" All Ranks # Old",'OLD Counts Pivot Table'!$A$3,"State","AR","Category2","Technical Institutes")</f>
        <v>0</v>
      </c>
      <c r="AI65" s="82"/>
      <c r="AJ65" s="82"/>
    </row>
    <row r="66" spans="1:36" x14ac:dyDescent="0.2">
      <c r="A66" s="18" t="s">
        <v>107</v>
      </c>
      <c r="B66" s="15" t="s">
        <v>99</v>
      </c>
      <c r="C66" s="16">
        <f t="shared" ref="C66:M72" si="33">IF(S$72&gt;0,(S66/S$72),0)</f>
        <v>0.40483570985740858</v>
      </c>
      <c r="D66" s="17">
        <f t="shared" si="33"/>
        <v>0.2052910052910053</v>
      </c>
      <c r="E66" s="17">
        <f t="shared" si="33"/>
        <v>0.22771084337349398</v>
      </c>
      <c r="F66" s="17">
        <f t="shared" si="33"/>
        <v>0.22417582417582418</v>
      </c>
      <c r="G66" s="17">
        <f t="shared" si="33"/>
        <v>0</v>
      </c>
      <c r="H66" s="39">
        <f t="shared" si="33"/>
        <v>0.2986111111111111</v>
      </c>
      <c r="I66" s="16">
        <f t="shared" si="33"/>
        <v>0.28282622013477637</v>
      </c>
      <c r="J66" s="16">
        <f t="shared" si="33"/>
        <v>0</v>
      </c>
      <c r="K66" s="17">
        <f t="shared" si="33"/>
        <v>0.38613861386138615</v>
      </c>
      <c r="L66" s="17">
        <f t="shared" si="33"/>
        <v>0.20552147239263804</v>
      </c>
      <c r="M66" s="17">
        <f t="shared" si="33"/>
        <v>0.30952380952380953</v>
      </c>
      <c r="N66" s="16">
        <f t="shared" ref="N66:P72" si="34">IF(AE$72&gt;0,(AE66/AE$72),0)</f>
        <v>0.33507014028056115</v>
      </c>
      <c r="O66" s="91">
        <f t="shared" si="34"/>
        <v>0</v>
      </c>
      <c r="P66" s="17">
        <f t="shared" si="34"/>
        <v>0</v>
      </c>
      <c r="Q66" s="91">
        <f t="shared" ref="Q66:Q72" si="35">IF(AH$72&gt;0,(AH66/AH$72),0)</f>
        <v>0</v>
      </c>
      <c r="R66" s="83"/>
      <c r="S66" s="73">
        <f>+GETPIVOTDATA(" Total # Prof Old",'OLD Counts Pivot Table'!$A$3,"State","MD","Category",1,"Category2","Four-Year")</f>
        <v>653</v>
      </c>
      <c r="T66" s="74">
        <f>+GETPIVOTDATA(" Total # Prof Old",'OLD Counts Pivot Table'!$A$3,"State","MD","Category",2,"Category2","Four-Year")</f>
        <v>194</v>
      </c>
      <c r="U66" s="74">
        <f>+GETPIVOTDATA(" Total # Prof Old",'OLD Counts Pivot Table'!$A$3,"State","MD","Category",3,"Category2","Four-Year")</f>
        <v>189</v>
      </c>
      <c r="V66" s="74">
        <f>+GETPIVOTDATA(" Total # Prof Old",'OLD Counts Pivot Table'!$A$3,"State","MD","Category",4,"Category2","Four-Year")</f>
        <v>306</v>
      </c>
      <c r="W66" s="74">
        <f>+GETPIVOTDATA(" Total # Prof Old",'OLD Counts Pivot Table'!$A$3,"State","MD","Category",5,"Category2","Four-Year")</f>
        <v>0</v>
      </c>
      <c r="X66" s="74">
        <f>+GETPIVOTDATA(" Total # Prof Old",'OLD Counts Pivot Table'!$A$3,"State","MD","Category",6,"Category2","Four-Year")</f>
        <v>43</v>
      </c>
      <c r="Y66" s="75">
        <f>+GETPIVOTDATA(" Total # Prof Old",'OLD Counts Pivot Table'!$A$3,"State","MD","Category2","Four-Year")</f>
        <v>1385</v>
      </c>
      <c r="Z66" s="73">
        <f>+GETPIVOTDATA(" Total # Prof Old",'OLD Counts Pivot Table'!$A$3,"State","MD","Category",7,"Category2","Group2")</f>
        <v>0</v>
      </c>
      <c r="AA66" s="74">
        <f>+GETPIVOTDATA(" Total # Prof Old",'OLD Counts Pivot Table'!$A$3,"State","MD","Category",8,"Category2","Group2")</f>
        <v>663</v>
      </c>
      <c r="AB66" s="74">
        <f>+GETPIVOTDATA(" Total # Prof Old",'OLD Counts Pivot Table'!$A$3,"State","MD","Category",9,"Category2","Group2")</f>
        <v>134</v>
      </c>
      <c r="AC66" s="74">
        <f>+GETPIVOTDATA(" Total # Prof Old",'OLD Counts Pivot Table'!$A$3,"State","MD","Category",10,"Category2","Group2")</f>
        <v>39</v>
      </c>
      <c r="AD66" s="74">
        <f>+GETPIVOTDATA(" Total # Prof Old",'OLD Counts Pivot Table'!$A$3,"State","MD","Category",11,"Category2","Group2")</f>
        <v>0</v>
      </c>
      <c r="AE66" s="75">
        <f>+GETPIVOTDATA(" Total # Prof Old",'OLD Counts Pivot Table'!$A$3,"State","MD","Category2","Group2")</f>
        <v>836</v>
      </c>
      <c r="AF66" s="73">
        <f>+GETPIVOTDATA(" Total # Prof Old",'OLD Counts Pivot Table'!$A$3,"State","MD","Category",12,"Category2","Technical Institutes")</f>
        <v>0</v>
      </c>
      <c r="AG66" s="74">
        <f>+GETPIVOTDATA(" Total # Prof Old",'OLD Counts Pivot Table'!$A$3,"State","MD","Category",13,"Category2","Technical Institutes")</f>
        <v>0</v>
      </c>
      <c r="AH66" s="73">
        <f>+GETPIVOTDATA(" Total # Prof Old",'OLD Counts Pivot Table'!$A$3,"State","AR","Category2","Technical Institutes")</f>
        <v>0</v>
      </c>
    </row>
    <row r="67" spans="1:36" x14ac:dyDescent="0.2">
      <c r="A67" s="10"/>
      <c r="B67" s="18" t="s">
        <v>100</v>
      </c>
      <c r="C67" s="12">
        <f t="shared" si="33"/>
        <v>0.2504649721016739</v>
      </c>
      <c r="D67" s="14">
        <f t="shared" si="33"/>
        <v>0.28888888888888886</v>
      </c>
      <c r="E67" s="14">
        <f t="shared" si="33"/>
        <v>0.19277108433734941</v>
      </c>
      <c r="F67" s="14">
        <f t="shared" si="33"/>
        <v>0.24175824175824176</v>
      </c>
      <c r="G67" s="14">
        <f t="shared" si="33"/>
        <v>0</v>
      </c>
      <c r="H67" s="40">
        <f t="shared" si="33"/>
        <v>0.33333333333333331</v>
      </c>
      <c r="I67" s="12">
        <f t="shared" si="33"/>
        <v>0.24811108842148255</v>
      </c>
      <c r="J67" s="12">
        <f t="shared" si="33"/>
        <v>0</v>
      </c>
      <c r="K67" s="14">
        <f t="shared" si="33"/>
        <v>0.29004076878276064</v>
      </c>
      <c r="L67" s="14">
        <f t="shared" si="33"/>
        <v>0.21625766871165644</v>
      </c>
      <c r="M67" s="14">
        <f t="shared" ref="M67:M72" si="36">IF(AC$72&gt;0,(AC67/AC$72),0)</f>
        <v>0.2857142857142857</v>
      </c>
      <c r="N67" s="12">
        <f t="shared" si="34"/>
        <v>0.27054108216432865</v>
      </c>
      <c r="O67" s="12">
        <f t="shared" si="34"/>
        <v>0</v>
      </c>
      <c r="P67" s="14">
        <f t="shared" si="34"/>
        <v>0</v>
      </c>
      <c r="Q67" s="12">
        <f t="shared" si="35"/>
        <v>0</v>
      </c>
      <c r="R67" s="56"/>
      <c r="S67" s="76">
        <f>+GETPIVOTDATA(" Tot # Asc. Prof Old",'OLD Counts Pivot Table'!$A$3,"State","MD","Category",1,"Category2","Four-Year")</f>
        <v>404</v>
      </c>
      <c r="T67" s="77">
        <f>+GETPIVOTDATA(" Tot # Asc. Prof Old",'OLD Counts Pivot Table'!$A$3,"State","MD","Category",2,"Category2","Four-Year")</f>
        <v>273</v>
      </c>
      <c r="U67" s="77">
        <f>+GETPIVOTDATA(" Tot # Asc. Prof Old",'OLD Counts Pivot Table'!$A$3,"State","MD","Category",3,"Category2","Four-Year")</f>
        <v>160</v>
      </c>
      <c r="V67" s="77">
        <f>+GETPIVOTDATA(" Tot # Asc. Prof Old",'OLD Counts Pivot Table'!$A$3,"State","MD","Category",4,"Category2","Four-Year")</f>
        <v>330</v>
      </c>
      <c r="W67" s="77">
        <f>+GETPIVOTDATA(" Tot # Asc. Prof Old",'OLD Counts Pivot Table'!$A$3,"State","MD","Category",5,"Category2","Four-Year")</f>
        <v>0</v>
      </c>
      <c r="X67" s="77">
        <f>+GETPIVOTDATA(" Tot # Asc. Prof Old",'OLD Counts Pivot Table'!$A$3,"State","MD","Category",6,"Category2","Four-Year")</f>
        <v>48</v>
      </c>
      <c r="Y67" s="78">
        <f>+GETPIVOTDATA(" Tot # Asc. Prof Old",'OLD Counts Pivot Table'!$A$3,"State","MD","Category2","Four-Year")</f>
        <v>1215</v>
      </c>
      <c r="Z67" s="76">
        <f>+GETPIVOTDATA(" Tot # Asc. Prof Old",'OLD Counts Pivot Table'!$A$3,"State","MD","Category",7,"Category2","Group2")</f>
        <v>0</v>
      </c>
      <c r="AA67" s="77">
        <f>+GETPIVOTDATA(" Tot # Asc. Prof Old",'OLD Counts Pivot Table'!$A$3,"State","MD","Category",8,"Category2","Group2")</f>
        <v>498</v>
      </c>
      <c r="AB67" s="77">
        <f>+GETPIVOTDATA(" Tot # Asc. Prof Old",'OLD Counts Pivot Table'!$A$3,"State","MD","Category",9,"Category2","Group2")</f>
        <v>141</v>
      </c>
      <c r="AC67" s="77">
        <f>+GETPIVOTDATA(" Tot # Asc. Prof Old",'OLD Counts Pivot Table'!$A$3,"State","MD","Category",10,"Category2","Group2")</f>
        <v>36</v>
      </c>
      <c r="AD67" s="77">
        <f>+GETPIVOTDATA(" Tot # Asc. Prof Old",'OLD Counts Pivot Table'!$A$3,"State","MD","Category",11,"Category2","Group2")</f>
        <v>0</v>
      </c>
      <c r="AE67" s="78">
        <f>+GETPIVOTDATA(" Tot # Asc. Prof Old",'OLD Counts Pivot Table'!$A$3,"State","MD","Category2","Group2")</f>
        <v>675</v>
      </c>
      <c r="AF67" s="76">
        <f>+GETPIVOTDATA(" Tot # Asc. Prof Old",'OLD Counts Pivot Table'!$A$3,"State","MD","Category",12,"Category2","Technical Institutes")</f>
        <v>0</v>
      </c>
      <c r="AG67" s="77">
        <f>+GETPIVOTDATA(" Tot # Asc. Prof Old",'OLD Counts Pivot Table'!$A$3,"State","MD","Category",13,"Category2","Technical Institutes")</f>
        <v>0</v>
      </c>
      <c r="AH67" s="76">
        <f>+GETPIVOTDATA(" Tot # Asc. Prof Old",'OLD Counts Pivot Table'!$A$3,"State","AR","Category2","Technical Institutes")</f>
        <v>0</v>
      </c>
    </row>
    <row r="68" spans="1:36" x14ac:dyDescent="0.2">
      <c r="A68" s="10"/>
      <c r="B68" s="18" t="s">
        <v>101</v>
      </c>
      <c r="C68" s="12">
        <f t="shared" si="33"/>
        <v>0.18598884066955981</v>
      </c>
      <c r="D68" s="14">
        <f t="shared" si="33"/>
        <v>0.21481481481481482</v>
      </c>
      <c r="E68" s="14">
        <f t="shared" si="33"/>
        <v>0.3530120481927711</v>
      </c>
      <c r="F68" s="14">
        <f t="shared" si="33"/>
        <v>0.33406593406593404</v>
      </c>
      <c r="G68" s="14">
        <f t="shared" si="33"/>
        <v>0</v>
      </c>
      <c r="H68" s="40">
        <f t="shared" si="33"/>
        <v>0.35416666666666669</v>
      </c>
      <c r="I68" s="12">
        <f t="shared" si="33"/>
        <v>0.26608127424954053</v>
      </c>
      <c r="J68" s="12">
        <f t="shared" si="33"/>
        <v>0</v>
      </c>
      <c r="K68" s="14">
        <f t="shared" si="33"/>
        <v>0.26790914385556203</v>
      </c>
      <c r="L68" s="14">
        <f t="shared" si="33"/>
        <v>0.40644171779141103</v>
      </c>
      <c r="M68" s="14">
        <f t="shared" si="36"/>
        <v>0.33333333333333331</v>
      </c>
      <c r="N68" s="12">
        <f t="shared" si="34"/>
        <v>0.30741482965931866</v>
      </c>
      <c r="O68" s="12">
        <f t="shared" si="34"/>
        <v>0</v>
      </c>
      <c r="P68" s="14">
        <f t="shared" si="34"/>
        <v>0</v>
      </c>
      <c r="Q68" s="12">
        <f t="shared" si="35"/>
        <v>0</v>
      </c>
      <c r="R68" s="56"/>
      <c r="S68" s="76">
        <f>+GETPIVOTDATA(" Tot # Ast. Prof Old",'OLD Counts Pivot Table'!$A$3,"State","MD","Category",1,"Category2","Four-Year")</f>
        <v>300</v>
      </c>
      <c r="T68" s="77">
        <f>+GETPIVOTDATA(" Tot # Ast. Prof Old",'OLD Counts Pivot Table'!$A$3,"State","MD","Category",2,"Category2","Four-Year")</f>
        <v>203</v>
      </c>
      <c r="U68" s="77">
        <f>+GETPIVOTDATA(" Tot # Ast. Prof Old",'OLD Counts Pivot Table'!$A$3,"State","MD","Category",3,"Category2","Four-Year")</f>
        <v>293</v>
      </c>
      <c r="V68" s="77">
        <f>+GETPIVOTDATA(" Tot # Ast. Prof Old",'OLD Counts Pivot Table'!$A$3,"State","MD","Category",4,"Category2","Four-Year")</f>
        <v>456</v>
      </c>
      <c r="W68" s="77">
        <f>+GETPIVOTDATA(" Tot # Ast. Prof Old",'OLD Counts Pivot Table'!$A$3,"State","MD","Category",5,"Category2","Four-Year")</f>
        <v>0</v>
      </c>
      <c r="X68" s="77">
        <f>+GETPIVOTDATA(" Tot # Ast. Prof Old",'OLD Counts Pivot Table'!$A$3,"State","MD","Category",6,"Category2","Four-Year")</f>
        <v>51</v>
      </c>
      <c r="Y68" s="78">
        <f>+GETPIVOTDATA(" Tot # Ast. Prof Old",'OLD Counts Pivot Table'!$A$3,"State","MD","Category2","Four-Year")</f>
        <v>1303</v>
      </c>
      <c r="Z68" s="76">
        <f>+GETPIVOTDATA(" Tot # Ast. Prof Old",'OLD Counts Pivot Table'!$A$3,"State","MD","Category",7,"Category2","Group2")</f>
        <v>0</v>
      </c>
      <c r="AA68" s="77">
        <f>+GETPIVOTDATA(" Tot # Ast. Prof Old",'OLD Counts Pivot Table'!$A$3,"State","MD","Category",8,"Category2","Group2")</f>
        <v>460</v>
      </c>
      <c r="AB68" s="77">
        <f>+GETPIVOTDATA(" Tot # Ast. Prof Old",'OLD Counts Pivot Table'!$A$3,"State","MD","Category",9,"Category2","Group2")</f>
        <v>265</v>
      </c>
      <c r="AC68" s="77">
        <f>+GETPIVOTDATA(" Tot # Ast. Prof Old",'OLD Counts Pivot Table'!$A$3,"State","MD","Category",10,"Category2","Group2")</f>
        <v>42</v>
      </c>
      <c r="AD68" s="77">
        <f>+GETPIVOTDATA(" Tot # Ast. Prof Old",'OLD Counts Pivot Table'!$A$3,"State","MD","Category",11,"Category2","Group2")</f>
        <v>0</v>
      </c>
      <c r="AE68" s="78">
        <f>+GETPIVOTDATA(" Tot # Ast. Prof Old",'OLD Counts Pivot Table'!$A$3,"State","MD","Category2","Group2")</f>
        <v>767</v>
      </c>
      <c r="AF68" s="76">
        <f>+GETPIVOTDATA(" Tot # Ast. Prof Old",'OLD Counts Pivot Table'!$A$3,"State","MD","Category",12,"Category2","Technical Institutes")</f>
        <v>0</v>
      </c>
      <c r="AG68" s="77">
        <f>+GETPIVOTDATA(" Tot # Ast. Prof Old",'OLD Counts Pivot Table'!$A$3,"State","MD","Category",13,"Category2","Technical Institutes")</f>
        <v>0</v>
      </c>
      <c r="AH68" s="76">
        <f>+GETPIVOTDATA(" Tot # Ast. Prof Old",'OLD Counts Pivot Table'!$A$3,"State","AR","Category2","Technical Institutes")</f>
        <v>0</v>
      </c>
    </row>
    <row r="69" spans="1:36" x14ac:dyDescent="0.2">
      <c r="A69" s="10"/>
      <c r="B69" s="18" t="s">
        <v>102</v>
      </c>
      <c r="C69" s="12">
        <f t="shared" si="33"/>
        <v>1.1159330440173589E-2</v>
      </c>
      <c r="D69" s="14">
        <f t="shared" si="33"/>
        <v>1.9047619047619049E-2</v>
      </c>
      <c r="E69" s="14">
        <f t="shared" si="33"/>
        <v>2.5301204819277109E-2</v>
      </c>
      <c r="F69" s="14">
        <f t="shared" si="33"/>
        <v>2.8571428571428571E-2</v>
      </c>
      <c r="G69" s="14">
        <f t="shared" si="33"/>
        <v>0</v>
      </c>
      <c r="H69" s="40">
        <f t="shared" si="33"/>
        <v>1.3888888888888888E-2</v>
      </c>
      <c r="I69" s="12">
        <f t="shared" si="33"/>
        <v>2.0012252399428221E-2</v>
      </c>
      <c r="J69" s="12">
        <f t="shared" si="33"/>
        <v>0</v>
      </c>
      <c r="K69" s="14">
        <f t="shared" si="33"/>
        <v>5.5329062317996502E-2</v>
      </c>
      <c r="L69" s="14">
        <f t="shared" si="33"/>
        <v>0.11503067484662577</v>
      </c>
      <c r="M69" s="14">
        <f t="shared" si="36"/>
        <v>7.1428571428571425E-2</v>
      </c>
      <c r="N69" s="12">
        <f t="shared" si="34"/>
        <v>7.174348697394789E-2</v>
      </c>
      <c r="O69" s="12">
        <f t="shared" si="34"/>
        <v>0</v>
      </c>
      <c r="P69" s="14">
        <f t="shared" si="34"/>
        <v>0</v>
      </c>
      <c r="Q69" s="12">
        <f t="shared" si="35"/>
        <v>0</v>
      </c>
      <c r="R69" s="56"/>
      <c r="S69" s="76">
        <f>+GETPIVOTDATA(" Tot # Instr. Old",'OLD Counts Pivot Table'!$A$3,"State","MD","Category",1,"Category2","Four-Year")</f>
        <v>18</v>
      </c>
      <c r="T69" s="77">
        <f>+GETPIVOTDATA(" Tot # Instr. Old",'OLD Counts Pivot Table'!$A$3,"State","MD","Category",2,"Category2","Four-Year")</f>
        <v>18</v>
      </c>
      <c r="U69" s="77">
        <f>+GETPIVOTDATA(" Tot # Instr. Old",'OLD Counts Pivot Table'!$A$3,"State","MD","Category",3,"Category2","Four-Year")</f>
        <v>21</v>
      </c>
      <c r="V69" s="77">
        <f>+GETPIVOTDATA(" Tot # Instr. Old",'OLD Counts Pivot Table'!$A$3,"State","MD","Category",4,"Category2","Four-Year")</f>
        <v>39</v>
      </c>
      <c r="W69" s="77">
        <f>+GETPIVOTDATA(" Tot # Instr. Old",'OLD Counts Pivot Table'!$A$3,"State","MD","Category",5,"Category2","Four-Year")</f>
        <v>0</v>
      </c>
      <c r="X69" s="77">
        <f>+GETPIVOTDATA(" Tot # Instr. Old",'OLD Counts Pivot Table'!$A$3,"State","MD","Category",6,"Category2","Four-Year")</f>
        <v>2</v>
      </c>
      <c r="Y69" s="78">
        <f>+GETPIVOTDATA(" Tot # Instr. Old",'OLD Counts Pivot Table'!$A$3,"State","MD","Category2","Four-Year")</f>
        <v>98</v>
      </c>
      <c r="Z69" s="76">
        <f>+GETPIVOTDATA(" Tot # Instr. Old",'OLD Counts Pivot Table'!$A$3,"State","MD","Category",7,"Category2","Group2")</f>
        <v>0</v>
      </c>
      <c r="AA69" s="77">
        <f>+GETPIVOTDATA(" Tot # Instr. Old",'OLD Counts Pivot Table'!$A$3,"State","MD","Category",8,"Category2","Group2")</f>
        <v>95</v>
      </c>
      <c r="AB69" s="77">
        <f>+GETPIVOTDATA(" Tot # Instr. Old",'OLD Counts Pivot Table'!$A$3,"State","MD","Category",9,"Category2","Group2")</f>
        <v>75</v>
      </c>
      <c r="AC69" s="77">
        <f>+GETPIVOTDATA(" Tot # Instr. Old",'OLD Counts Pivot Table'!$A$3,"State","MD","Category",10,"Category2","Group2")</f>
        <v>9</v>
      </c>
      <c r="AD69" s="77">
        <f>+GETPIVOTDATA(" Tot # Instr. Old",'OLD Counts Pivot Table'!$A$3,"State","MD","Category",11,"Category2","Group2")</f>
        <v>0</v>
      </c>
      <c r="AE69" s="78">
        <f>+GETPIVOTDATA(" Tot # Instr. Old",'OLD Counts Pivot Table'!$A$3,"State","MD","Category2","Group2")</f>
        <v>179</v>
      </c>
      <c r="AF69" s="76">
        <f>+GETPIVOTDATA(" Tot # Instr. Old",'OLD Counts Pivot Table'!$A$3,"State","MD","Category",12,"Category2","Technical Institutes")</f>
        <v>0</v>
      </c>
      <c r="AG69" s="77">
        <f>+GETPIVOTDATA(" Tot # Instr. Old",'OLD Counts Pivot Table'!$A$3,"State","MD","Category",13,"Category2","Technical Institutes")</f>
        <v>0</v>
      </c>
      <c r="AH69" s="76">
        <f>+GETPIVOTDATA(" Tot # Instr. Old",'OLD Counts Pivot Table'!$A$3,"State","AR","Category2","Technical Institutes")</f>
        <v>0</v>
      </c>
    </row>
    <row r="70" spans="1:36" x14ac:dyDescent="0.2">
      <c r="A70" s="10"/>
      <c r="B70" s="18" t="s">
        <v>83</v>
      </c>
      <c r="C70" s="12">
        <f t="shared" si="33"/>
        <v>0.14755114693118412</v>
      </c>
      <c r="D70" s="14">
        <f t="shared" si="33"/>
        <v>0.27195767195767195</v>
      </c>
      <c r="E70" s="14">
        <f t="shared" si="33"/>
        <v>0.20120481927710843</v>
      </c>
      <c r="F70" s="14">
        <f t="shared" si="33"/>
        <v>0.17142857142857143</v>
      </c>
      <c r="G70" s="14">
        <f t="shared" si="33"/>
        <v>0</v>
      </c>
      <c r="H70" s="40">
        <f t="shared" si="33"/>
        <v>0</v>
      </c>
      <c r="I70" s="12">
        <f t="shared" si="33"/>
        <v>0.18296916479477232</v>
      </c>
      <c r="J70" s="12">
        <f t="shared" si="33"/>
        <v>0</v>
      </c>
      <c r="K70" s="14">
        <f t="shared" si="33"/>
        <v>5.8241118229470008E-4</v>
      </c>
      <c r="L70" s="14">
        <f t="shared" si="33"/>
        <v>5.674846625766871E-2</v>
      </c>
      <c r="M70" s="153">
        <f t="shared" si="36"/>
        <v>0</v>
      </c>
      <c r="N70" s="154">
        <f t="shared" si="34"/>
        <v>1.5230460921843688E-2</v>
      </c>
      <c r="O70" s="12">
        <f t="shared" si="34"/>
        <v>0</v>
      </c>
      <c r="P70" s="14">
        <f t="shared" si="34"/>
        <v>0</v>
      </c>
      <c r="Q70" s="12">
        <f t="shared" si="35"/>
        <v>0</v>
      </c>
      <c r="R70" s="56"/>
      <c r="S70" s="76">
        <f>++GETPIVOTDATA(" Tot # Undes. Old",'OLD Counts Pivot Table'!$A$3,"State","MD","Category",1,"Category2","Four-Year")</f>
        <v>238</v>
      </c>
      <c r="T70" s="77">
        <f>+GETPIVOTDATA(" Tot # Undes. Old",'OLD Counts Pivot Table'!$A$3,"State","MD","Category",2,"Category2","Four-Year")</f>
        <v>257</v>
      </c>
      <c r="U70" s="77">
        <f>+GETPIVOTDATA(" Tot # Undes. Old",'OLD Counts Pivot Table'!$A$3,"State","MD","Category",3,"Category2","Four-Year")</f>
        <v>167</v>
      </c>
      <c r="V70" s="77">
        <f>+GETPIVOTDATA(" Tot # Undes. Old",'OLD Counts Pivot Table'!$A$3,"State","MD","Category",4,"Category2","Four-Year")</f>
        <v>234</v>
      </c>
      <c r="W70" s="77">
        <f>+GETPIVOTDATA(" Tot # Undes. Old",'OLD Counts Pivot Table'!$A$3,"State","MD","Category",5,"Category2","Four-Year")</f>
        <v>0</v>
      </c>
      <c r="X70" s="77">
        <f>+GETPIVOTDATA(" Tot # Undes. Old",'OLD Counts Pivot Table'!$A$3,"State","MD","Category",6,"Category2","Four-Year")</f>
        <v>0</v>
      </c>
      <c r="Y70" s="78">
        <f>+GETPIVOTDATA(" Tot # Undes. Old",'OLD Counts Pivot Table'!$A$3,"State","MD","Category2","Four-Year")</f>
        <v>896</v>
      </c>
      <c r="Z70" s="76">
        <f>+GETPIVOTDATA(" Tot # Undes. Old",'OLD Counts Pivot Table'!$A$3,"State","MD","Category",7,"Category2","Group2")</f>
        <v>0</v>
      </c>
      <c r="AA70" s="77">
        <f>+GETPIVOTDATA(" Tot # Undes. Old",'OLD Counts Pivot Table'!$A$3,"State","MD","Category",8,"Category2","Group2")</f>
        <v>1</v>
      </c>
      <c r="AB70" s="77">
        <f>+GETPIVOTDATA(" Tot # Undes. Old",'OLD Counts Pivot Table'!$A$3,"State","MD","Category",9,"Category2","Group2")</f>
        <v>37</v>
      </c>
      <c r="AC70" s="77">
        <f>+GETPIVOTDATA(" Tot # Undes. Old",'OLD Counts Pivot Table'!$A$3,"State","MD","Category",10,"Category2","Group2")</f>
        <v>0</v>
      </c>
      <c r="AD70" s="77">
        <f>+GETPIVOTDATA(" Tot # Undes. Old",'OLD Counts Pivot Table'!$A$3,"State","MD","Category",11,"Category2","Group2")</f>
        <v>0</v>
      </c>
      <c r="AE70" s="78">
        <f>+GETPIVOTDATA(" Tot # Undes. Old",'OLD Counts Pivot Table'!$A$3,"State","MD","Category2","Group2")</f>
        <v>38</v>
      </c>
      <c r="AF70" s="76">
        <f>+GETPIVOTDATA(" Tot # Undes. Old",'OLD Counts Pivot Table'!$A$3,"State","MD","Category",12,"Category2","Technical Institutes")</f>
        <v>0</v>
      </c>
      <c r="AG70" s="77">
        <f>+GETPIVOTDATA(" Tot # Undes. Old",'OLD Counts Pivot Table'!$A$3,"State","MD","Category",13,"Category2","Technical Institutes")</f>
        <v>0</v>
      </c>
      <c r="AH70" s="76">
        <f>+GETPIVOTDATA(" Tot # Undes. Old",'OLD Counts Pivot Table'!$A$3,"State","AR","Category2","Technical Institutes")</f>
        <v>0</v>
      </c>
    </row>
    <row r="71" spans="1:36" x14ac:dyDescent="0.2">
      <c r="A71" s="10"/>
      <c r="B71" s="18" t="s">
        <v>82</v>
      </c>
      <c r="C71" s="12">
        <f t="shared" si="33"/>
        <v>0</v>
      </c>
      <c r="D71" s="14">
        <f t="shared" si="33"/>
        <v>0</v>
      </c>
      <c r="E71" s="103">
        <f t="shared" si="33"/>
        <v>0</v>
      </c>
      <c r="F71" s="14">
        <f t="shared" si="33"/>
        <v>0</v>
      </c>
      <c r="G71" s="103">
        <f t="shared" si="33"/>
        <v>0</v>
      </c>
      <c r="H71" s="40">
        <f t="shared" si="33"/>
        <v>0</v>
      </c>
      <c r="I71" s="102">
        <f t="shared" si="33"/>
        <v>0</v>
      </c>
      <c r="J71" s="12">
        <f t="shared" si="33"/>
        <v>0</v>
      </c>
      <c r="K71" s="14">
        <f t="shared" si="33"/>
        <v>0</v>
      </c>
      <c r="L71" s="14">
        <f t="shared" si="33"/>
        <v>0</v>
      </c>
      <c r="M71" s="14">
        <f t="shared" si="36"/>
        <v>0</v>
      </c>
      <c r="N71" s="12">
        <f t="shared" si="34"/>
        <v>0</v>
      </c>
      <c r="O71" s="12">
        <f t="shared" si="34"/>
        <v>0</v>
      </c>
      <c r="P71" s="14">
        <f t="shared" si="34"/>
        <v>0</v>
      </c>
      <c r="Q71" s="12">
        <f t="shared" si="35"/>
        <v>0</v>
      </c>
      <c r="R71" s="56"/>
      <c r="S71" s="76">
        <f>+GETPIVOTDATA(" Tot # Single Rnk Old",'OLD Counts Pivot Table'!$A$3,"State","MD","Category",1,"Category2","Four-Year")</f>
        <v>0</v>
      </c>
      <c r="T71" s="77">
        <f>+GETPIVOTDATA(" Tot # Single Rnk Old",'OLD Counts Pivot Table'!$A$3,"State","MD","Category",2,"Category2","Four-Year")</f>
        <v>0</v>
      </c>
      <c r="U71" s="77">
        <f>+GETPIVOTDATA(" Tot # Single Rnk Old",'OLD Counts Pivot Table'!$A$3,"State","MD","Category",3,"Category2","Four-Year")</f>
        <v>0</v>
      </c>
      <c r="V71" s="77">
        <f>+GETPIVOTDATA(" Tot # Single Rnk Old",'OLD Counts Pivot Table'!$A$3,"State","MD","Category",4,"Category2","Four-Year")</f>
        <v>0</v>
      </c>
      <c r="W71" s="77">
        <f>+GETPIVOTDATA(" Tot # Single Rnk Old",'OLD Counts Pivot Table'!$A$3,"State","MD","Category",5,"Category2","Four-Year")</f>
        <v>0</v>
      </c>
      <c r="X71" s="77">
        <f>+GETPIVOTDATA(" Tot # Single Rnk Old",'OLD Counts Pivot Table'!$A$3,"State","MD","Category",6,"Category2","Four-Year")</f>
        <v>0</v>
      </c>
      <c r="Y71" s="78">
        <f>+GETPIVOTDATA(" Tot # Single Rnk Old",'OLD Counts Pivot Table'!$A$3,"State","MD","Category2","Four-Year")</f>
        <v>0</v>
      </c>
      <c r="Z71" s="76">
        <f>+GETPIVOTDATA(" Tot # Single Rnk Old",'OLD Counts Pivot Table'!$A$3,"State","MD","Category",7,"Category2","Group2")</f>
        <v>0</v>
      </c>
      <c r="AA71" s="77">
        <f>+GETPIVOTDATA(" Tot # Single Rnk Old",'OLD Counts Pivot Table'!$A$3,"State","MD","Category",8,"Category2","Group2")</f>
        <v>0</v>
      </c>
      <c r="AB71" s="77">
        <f>+GETPIVOTDATA(" Tot # Single Rnk Old",'OLD Counts Pivot Table'!$A$3,"State","MD","Category",9,"Category2","Group2")</f>
        <v>0</v>
      </c>
      <c r="AC71" s="77">
        <f>+GETPIVOTDATA(" Tot # Single Rnk Old",'OLD Counts Pivot Table'!$A$3,"State","MD","Category",10,"Category2","Group2")</f>
        <v>0</v>
      </c>
      <c r="AD71" s="77">
        <f>+GETPIVOTDATA(" Tot # Single Rnk Old",'OLD Counts Pivot Table'!$A$3,"State","MD","Category",11,"Category2","Group2")</f>
        <v>0</v>
      </c>
      <c r="AE71" s="78">
        <f>+GETPIVOTDATA(" Tot # Single Rnk Old",'OLD Counts Pivot Table'!$A$3,"State","MD","Category2","Group2")</f>
        <v>0</v>
      </c>
      <c r="AF71" s="76">
        <f>+GETPIVOTDATA(" Tot # Single Rnk Old",'OLD Counts Pivot Table'!$A$3,"State","MD","Category",12,"Category2","Technical Institutes")</f>
        <v>0</v>
      </c>
      <c r="AG71" s="77">
        <f>+GETPIVOTDATA(" Tot # Single Rnk Old",'OLD Counts Pivot Table'!$A$3,"State","MD","Category",13,"Category2","Technical Institutes")</f>
        <v>0</v>
      </c>
      <c r="AH71" s="76">
        <f>+GETPIVOTDATA(" Tot # Single Rnk Old",'OLD Counts Pivot Table'!$A$3,"State","AR","Category2","Technical Institutes")</f>
        <v>0</v>
      </c>
    </row>
    <row r="72" spans="1:36" s="33" customFormat="1" x14ac:dyDescent="0.25">
      <c r="A72" s="109"/>
      <c r="B72" s="110" t="s">
        <v>84</v>
      </c>
      <c r="C72" s="13">
        <f t="shared" si="33"/>
        <v>1</v>
      </c>
      <c r="D72" s="11">
        <f t="shared" si="33"/>
        <v>1</v>
      </c>
      <c r="E72" s="11">
        <f t="shared" si="33"/>
        <v>1</v>
      </c>
      <c r="F72" s="11">
        <f t="shared" si="33"/>
        <v>1</v>
      </c>
      <c r="G72" s="11">
        <f t="shared" si="33"/>
        <v>0</v>
      </c>
      <c r="H72" s="41">
        <f t="shared" si="33"/>
        <v>1</v>
      </c>
      <c r="I72" s="13">
        <f t="shared" si="33"/>
        <v>1</v>
      </c>
      <c r="J72" s="13">
        <f t="shared" si="33"/>
        <v>0</v>
      </c>
      <c r="K72" s="11">
        <f t="shared" si="33"/>
        <v>1</v>
      </c>
      <c r="L72" s="11">
        <f t="shared" si="33"/>
        <v>1</v>
      </c>
      <c r="M72" s="11">
        <f t="shared" si="36"/>
        <v>1</v>
      </c>
      <c r="N72" s="13">
        <f t="shared" si="34"/>
        <v>1</v>
      </c>
      <c r="O72" s="13">
        <f t="shared" si="34"/>
        <v>0</v>
      </c>
      <c r="P72" s="11">
        <f t="shared" si="34"/>
        <v>0</v>
      </c>
      <c r="Q72" s="13">
        <f t="shared" si="35"/>
        <v>0</v>
      </c>
      <c r="R72" s="57"/>
      <c r="S72" s="79">
        <f>+GETPIVOTDATA(" All Ranks # Old",'OLD Counts Pivot Table'!$A$3,"State","MD","Category",1,"Category2","Four-Year")</f>
        <v>1613</v>
      </c>
      <c r="T72" s="80">
        <f>+GETPIVOTDATA(" All Ranks # Old",'OLD Counts Pivot Table'!$A$3,"State","MD","Category",2,"Category2","Four-Year")</f>
        <v>945</v>
      </c>
      <c r="U72" s="80">
        <f>+GETPIVOTDATA(" All Ranks # Old",'OLD Counts Pivot Table'!$A$3,"State","MD","Category",3,"Category2","Four-Year")</f>
        <v>830</v>
      </c>
      <c r="V72" s="80">
        <f>+GETPIVOTDATA(" All Ranks # Old",'OLD Counts Pivot Table'!$A$3,"State","MD","Category",4,"Category2","Four-Year")</f>
        <v>1365</v>
      </c>
      <c r="W72" s="80">
        <f>+GETPIVOTDATA(" All Ranks # Old",'OLD Counts Pivot Table'!$A$3,"State","MD","Category",5,"Category2","Four-Year")</f>
        <v>0</v>
      </c>
      <c r="X72" s="80">
        <f>+GETPIVOTDATA(" All Ranks # Old",'OLD Counts Pivot Table'!$A$3,"State","MD","Category",6,"Category2","Four-Year")</f>
        <v>144</v>
      </c>
      <c r="Y72" s="81">
        <f>+GETPIVOTDATA(" All Ranks # Old",'OLD Counts Pivot Table'!$A$3,"State","MD","Category2","Four-Year")</f>
        <v>4897</v>
      </c>
      <c r="Z72" s="79">
        <f>+GETPIVOTDATA(" All Ranks # Old",'OLD Counts Pivot Table'!$A$3,"State","MD","Category",7,"Category2","Group2")</f>
        <v>0</v>
      </c>
      <c r="AA72" s="80">
        <f>+GETPIVOTDATA(" All Ranks # Old",'OLD Counts Pivot Table'!$A$3,"State","MD","Category",8,"Category2","Group2")</f>
        <v>1717</v>
      </c>
      <c r="AB72" s="80">
        <f>+GETPIVOTDATA(" All Ranks # Old",'OLD Counts Pivot Table'!$A$3,"State","MD","Category",9,"Category2","Group2")</f>
        <v>652</v>
      </c>
      <c r="AC72" s="80">
        <f>+GETPIVOTDATA(" All Ranks # Old",'OLD Counts Pivot Table'!$A$3,"State","MD","Category",10,"Category2","Group2")</f>
        <v>126</v>
      </c>
      <c r="AD72" s="80">
        <f>+GETPIVOTDATA(" All Ranks # Old",'OLD Counts Pivot Table'!$A$3,"State","MD","Category",11,"Category2","Group2")</f>
        <v>0</v>
      </c>
      <c r="AE72" s="81">
        <f>+GETPIVOTDATA(" All Ranks # Old",'OLD Counts Pivot Table'!$A$3,"State","MD","Category2","Group2")</f>
        <v>2495</v>
      </c>
      <c r="AF72" s="79">
        <f>+GETPIVOTDATA(" All Ranks # Old",'OLD Counts Pivot Table'!$A$3,"State","MD","Category",12,"Category2","Technical Institutes")</f>
        <v>0</v>
      </c>
      <c r="AG72" s="80">
        <f>+GETPIVOTDATA(" All Ranks # Old",'OLD Counts Pivot Table'!$A$3,"State","MD","Category",13,"Category2","Technical Institutes")</f>
        <v>0</v>
      </c>
      <c r="AH72" s="79">
        <f>+GETPIVOTDATA(" All Ranks # Old",'OLD Counts Pivot Table'!$A$3,"State","AR","Category2","Technical Institutes")</f>
        <v>0</v>
      </c>
      <c r="AI72" s="82"/>
      <c r="AJ72" s="82"/>
    </row>
    <row r="73" spans="1:36" x14ac:dyDescent="0.2">
      <c r="A73" s="18" t="s">
        <v>108</v>
      </c>
      <c r="B73" s="15" t="s">
        <v>99</v>
      </c>
      <c r="C73" s="16">
        <f t="shared" ref="C73:M79" si="37">IF(S$79&gt;0,(S73/S$79),0)</f>
        <v>0.23032258064516128</v>
      </c>
      <c r="D73" s="17">
        <f t="shared" si="37"/>
        <v>0.21940163191296463</v>
      </c>
      <c r="E73" s="17">
        <f t="shared" si="37"/>
        <v>0</v>
      </c>
      <c r="F73" s="17">
        <f t="shared" si="37"/>
        <v>0.16768916155419222</v>
      </c>
      <c r="G73" s="17">
        <f t="shared" si="37"/>
        <v>0.2076923076923077</v>
      </c>
      <c r="H73" s="39">
        <f t="shared" si="37"/>
        <v>0</v>
      </c>
      <c r="I73" s="16">
        <f t="shared" si="37"/>
        <v>0.21638141809290953</v>
      </c>
      <c r="J73" s="16">
        <f t="shared" si="37"/>
        <v>0</v>
      </c>
      <c r="K73" s="17">
        <f t="shared" si="37"/>
        <v>0</v>
      </c>
      <c r="L73" s="17">
        <f t="shared" si="37"/>
        <v>0</v>
      </c>
      <c r="M73" s="17">
        <f t="shared" si="37"/>
        <v>0</v>
      </c>
      <c r="N73" s="16">
        <f t="shared" ref="N73:P79" si="38">IF(AE$79&gt;0,(AE73/AE$79),0)</f>
        <v>0</v>
      </c>
      <c r="O73" s="91">
        <f t="shared" si="38"/>
        <v>0</v>
      </c>
      <c r="P73" s="17">
        <f t="shared" si="38"/>
        <v>0</v>
      </c>
      <c r="Q73" s="91">
        <f t="shared" ref="Q73:Q79" si="39">IF(AH$79&gt;0,(AH73/AH$79),0)</f>
        <v>0</v>
      </c>
      <c r="R73" s="83"/>
      <c r="S73" s="73">
        <f>+GETPIVOTDATA(" Total # Prof Old",'OLD Counts Pivot Table'!$A$3,"State","MS","Category",1,"Category2","Four-Year")</f>
        <v>357</v>
      </c>
      <c r="T73" s="74">
        <f>+GETPIVOTDATA(" Total # Prof Old",'OLD Counts Pivot Table'!$A$3,"State","MS","Category",2,"Category2","Four-Year")</f>
        <v>242</v>
      </c>
      <c r="U73" s="74">
        <f>+GETPIVOTDATA(" Total # Prof Old",'OLD Counts Pivot Table'!$A$3,"State","MS","Category",3,"Category2","Four-Year")</f>
        <v>0</v>
      </c>
      <c r="V73" s="74">
        <f>+GETPIVOTDATA(" Total # Prof Old",'OLD Counts Pivot Table'!$A$3,"State","MS","Category",4,"Category2","Four-Year")</f>
        <v>82</v>
      </c>
      <c r="W73" s="74">
        <f>+GETPIVOTDATA(" Total # Prof Old",'OLD Counts Pivot Table'!$A$3,"State","MS","Category",5,"Category2","Four-Year")</f>
        <v>27</v>
      </c>
      <c r="X73" s="74">
        <f>+GETPIVOTDATA(" Total # Prof Old",'OLD Counts Pivot Table'!$A$3,"State","MS","Category",6,"Category2","Four-Year")</f>
        <v>0</v>
      </c>
      <c r="Y73" s="75">
        <f>+GETPIVOTDATA(" Total # Prof Old",'OLD Counts Pivot Table'!$A$3,"State","MS","Category2","Four-Year")</f>
        <v>708</v>
      </c>
      <c r="Z73" s="73">
        <f>+GETPIVOTDATA(" Total # Prof Old",'OLD Counts Pivot Table'!$A$3,"State","MS","Category",7,"Category2","Group2")</f>
        <v>0</v>
      </c>
      <c r="AA73" s="74">
        <f>+GETPIVOTDATA(" Total # Prof Old",'OLD Counts Pivot Table'!$A$3,"State","MS","Category",8,"Category2","Group2")</f>
        <v>0</v>
      </c>
      <c r="AB73" s="74">
        <f>+GETPIVOTDATA(" Total # Prof Old",'OLD Counts Pivot Table'!$A$3,"State","MS","Category",9,"Category2","Group2")</f>
        <v>0</v>
      </c>
      <c r="AC73" s="74">
        <f>+GETPIVOTDATA(" Total # Prof Old",'OLD Counts Pivot Table'!$A$3,"State","MS","Category",10,"Category2","Group2")</f>
        <v>0</v>
      </c>
      <c r="AD73" s="74">
        <f>+GETPIVOTDATA(" Total # Prof Old",'OLD Counts Pivot Table'!$A$3,"State","MS","Category",11,"Category2","Group2")</f>
        <v>0</v>
      </c>
      <c r="AE73" s="75">
        <f>+GETPIVOTDATA(" Total # Prof Old",'OLD Counts Pivot Table'!$A$3,"State","MS","Category2","Group2")</f>
        <v>0</v>
      </c>
      <c r="AF73" s="73">
        <f>+GETPIVOTDATA(" Total # Prof Old",'OLD Counts Pivot Table'!$A$3,"State","MS","Category",12,"Category2","Technical Institutes")</f>
        <v>0</v>
      </c>
      <c r="AG73" s="74">
        <f>+GETPIVOTDATA(" Total # Prof Old",'OLD Counts Pivot Table'!$A$3,"State","MS","Category",13,"Category2","Technical Institutes")</f>
        <v>0</v>
      </c>
      <c r="AH73" s="73">
        <f>+GETPIVOTDATA(" Total # Prof Old",'OLD Counts Pivot Table'!$A$3,"State","AR","Category2","Technical Institutes")</f>
        <v>0</v>
      </c>
    </row>
    <row r="74" spans="1:36" x14ac:dyDescent="0.2">
      <c r="A74" s="10"/>
      <c r="B74" s="18" t="s">
        <v>100</v>
      </c>
      <c r="C74" s="12">
        <f t="shared" si="37"/>
        <v>0.24516129032258063</v>
      </c>
      <c r="D74" s="14">
        <f t="shared" si="37"/>
        <v>0.27923844061650044</v>
      </c>
      <c r="E74" s="14">
        <f t="shared" si="37"/>
        <v>0</v>
      </c>
      <c r="F74" s="14">
        <f t="shared" si="37"/>
        <v>0.23312883435582821</v>
      </c>
      <c r="G74" s="14">
        <f t="shared" si="37"/>
        <v>0.15384615384615385</v>
      </c>
      <c r="H74" s="40">
        <f t="shared" si="37"/>
        <v>0</v>
      </c>
      <c r="I74" s="12">
        <f t="shared" si="37"/>
        <v>0.25122249388753054</v>
      </c>
      <c r="J74" s="12">
        <f t="shared" si="37"/>
        <v>0</v>
      </c>
      <c r="K74" s="14">
        <f t="shared" si="37"/>
        <v>0</v>
      </c>
      <c r="L74" s="14">
        <f t="shared" si="37"/>
        <v>0</v>
      </c>
      <c r="M74" s="14">
        <f t="shared" ref="M74:M79" si="40">IF(AC$79&gt;0,(AC74/AC$79),0)</f>
        <v>0</v>
      </c>
      <c r="N74" s="12">
        <f t="shared" si="38"/>
        <v>0</v>
      </c>
      <c r="O74" s="12">
        <f t="shared" si="38"/>
        <v>0</v>
      </c>
      <c r="P74" s="14">
        <f t="shared" si="38"/>
        <v>0</v>
      </c>
      <c r="Q74" s="12">
        <f t="shared" si="39"/>
        <v>0</v>
      </c>
      <c r="R74" s="56"/>
      <c r="S74" s="76">
        <f>+GETPIVOTDATA(" Tot # Asc. Prof Old",'OLD Counts Pivot Table'!$A$3,"State","MS","Category",1,"Category2","Four-Year")</f>
        <v>380</v>
      </c>
      <c r="T74" s="77">
        <f>+GETPIVOTDATA(" Tot # Asc. Prof Old",'OLD Counts Pivot Table'!$A$3,"State","MS","Category",2,"Category2","Four-Year")</f>
        <v>308</v>
      </c>
      <c r="U74" s="77">
        <f>+GETPIVOTDATA(" Tot # Asc. Prof Old",'OLD Counts Pivot Table'!$A$3,"State","MS","Category",3,"Category2","Four-Year")</f>
        <v>0</v>
      </c>
      <c r="V74" s="77">
        <f>+GETPIVOTDATA(" Tot # Asc. Prof Old",'OLD Counts Pivot Table'!$A$3,"State","MS","Category",4,"Category2","Four-Year")</f>
        <v>114</v>
      </c>
      <c r="W74" s="77">
        <f>+GETPIVOTDATA(" Tot # Asc. Prof Old",'OLD Counts Pivot Table'!$A$3,"State","MS","Category",5,"Category2","Four-Year")</f>
        <v>20</v>
      </c>
      <c r="X74" s="77">
        <f>+GETPIVOTDATA(" Tot # Asc. Prof Old",'OLD Counts Pivot Table'!$A$3,"State","MS","Category",6,"Category2","Four-Year")</f>
        <v>0</v>
      </c>
      <c r="Y74" s="78">
        <f>+GETPIVOTDATA(" Tot # Asc. Prof Old",'OLD Counts Pivot Table'!$A$3,"State","MS","Category2","Four-Year")</f>
        <v>822</v>
      </c>
      <c r="Z74" s="76">
        <f>+GETPIVOTDATA(" Tot # Asc. Prof Old",'OLD Counts Pivot Table'!$A$3,"State","MS","Category",7,"Category2","Group2")</f>
        <v>0</v>
      </c>
      <c r="AA74" s="77">
        <f>+GETPIVOTDATA(" Tot # Asc. Prof Old",'OLD Counts Pivot Table'!$A$3,"State","MS","Category",8,"Category2","Group2")</f>
        <v>0</v>
      </c>
      <c r="AB74" s="77">
        <f>+GETPIVOTDATA(" Tot # Asc. Prof Old",'OLD Counts Pivot Table'!$A$3,"State","MS","Category",9,"Category2","Group2")</f>
        <v>0</v>
      </c>
      <c r="AC74" s="77">
        <f>+GETPIVOTDATA(" Tot # Asc. Prof Old",'OLD Counts Pivot Table'!$A$3,"State","MS","Category",10,"Category2","Group2")</f>
        <v>0</v>
      </c>
      <c r="AD74" s="77">
        <f>+GETPIVOTDATA(" Tot # Asc. Prof Old",'OLD Counts Pivot Table'!$A$3,"State","MS","Category",11,"Category2","Group2")</f>
        <v>0</v>
      </c>
      <c r="AE74" s="78">
        <f>+GETPIVOTDATA(" Tot # Asc. Prof Old",'OLD Counts Pivot Table'!$A$3,"State","MS","Category2","Group2")</f>
        <v>0</v>
      </c>
      <c r="AF74" s="76">
        <f>+GETPIVOTDATA(" Tot # Asc. Prof Old",'OLD Counts Pivot Table'!$A$3,"State","MS","Category",12,"Category2","Technical Institutes")</f>
        <v>0</v>
      </c>
      <c r="AG74" s="77">
        <f>+GETPIVOTDATA(" Tot # Asc. Prof Old",'OLD Counts Pivot Table'!$A$3,"State","MS","Category",13,"Category2","Technical Institutes")</f>
        <v>0</v>
      </c>
      <c r="AH74" s="76">
        <f>+GETPIVOTDATA(" Tot # Asc. Prof Old",'OLD Counts Pivot Table'!$A$3,"State","AR","Category2","Technical Institutes")</f>
        <v>0</v>
      </c>
    </row>
    <row r="75" spans="1:36" x14ac:dyDescent="0.2">
      <c r="A75" s="10"/>
      <c r="B75" s="18" t="s">
        <v>101</v>
      </c>
      <c r="C75" s="12">
        <f t="shared" si="37"/>
        <v>0.31483870967741934</v>
      </c>
      <c r="D75" s="14">
        <f t="shared" si="37"/>
        <v>0.30553037171350861</v>
      </c>
      <c r="E75" s="14">
        <f t="shared" si="37"/>
        <v>0</v>
      </c>
      <c r="F75" s="14">
        <f t="shared" si="37"/>
        <v>0.34151329243353784</v>
      </c>
      <c r="G75" s="14">
        <f t="shared" si="37"/>
        <v>0.26153846153846155</v>
      </c>
      <c r="H75" s="40">
        <f t="shared" si="37"/>
        <v>0</v>
      </c>
      <c r="I75" s="12">
        <f t="shared" si="37"/>
        <v>0.31356968215158926</v>
      </c>
      <c r="J75" s="12">
        <f t="shared" si="37"/>
        <v>0</v>
      </c>
      <c r="K75" s="14">
        <f t="shared" si="37"/>
        <v>0</v>
      </c>
      <c r="L75" s="14">
        <f t="shared" si="37"/>
        <v>0</v>
      </c>
      <c r="M75" s="14">
        <f t="shared" si="40"/>
        <v>0</v>
      </c>
      <c r="N75" s="12">
        <f t="shared" si="38"/>
        <v>0</v>
      </c>
      <c r="O75" s="12">
        <f t="shared" si="38"/>
        <v>0</v>
      </c>
      <c r="P75" s="14">
        <f t="shared" si="38"/>
        <v>0</v>
      </c>
      <c r="Q75" s="12">
        <f t="shared" si="39"/>
        <v>0</v>
      </c>
      <c r="R75" s="56"/>
      <c r="S75" s="76">
        <f>+GETPIVOTDATA(" Tot # Ast. Prof Old",'OLD Counts Pivot Table'!$A$3,"State","MS","Category",1,"Category2","Four-Year")</f>
        <v>488</v>
      </c>
      <c r="T75" s="77">
        <f>+GETPIVOTDATA(" Tot # Ast. Prof Old",'OLD Counts Pivot Table'!$A$3,"State","MS","Category",2,"Category2","Four-Year")</f>
        <v>337</v>
      </c>
      <c r="U75" s="77">
        <f>+GETPIVOTDATA(" Tot # Ast. Prof Old",'OLD Counts Pivot Table'!$A$3,"State","MS","Category",3,"Category2","Four-Year")</f>
        <v>0</v>
      </c>
      <c r="V75" s="77">
        <f>+GETPIVOTDATA(" Tot # Ast. Prof Old",'OLD Counts Pivot Table'!$A$3,"State","MS","Category",4,"Category2","Four-Year")</f>
        <v>167</v>
      </c>
      <c r="W75" s="77">
        <f>+GETPIVOTDATA(" Tot # Ast. Prof Old",'OLD Counts Pivot Table'!$A$3,"State","MS","Category",5,"Category2","Four-Year")</f>
        <v>34</v>
      </c>
      <c r="X75" s="77">
        <f>+GETPIVOTDATA(" Tot # Ast. Prof Old",'OLD Counts Pivot Table'!$A$3,"State","MS","Category",6,"Category2","Four-Year")</f>
        <v>0</v>
      </c>
      <c r="Y75" s="78">
        <f>+GETPIVOTDATA(" Tot # Ast. Prof Old",'OLD Counts Pivot Table'!$A$3,"State","MS","Category2","Four-Year")</f>
        <v>1026</v>
      </c>
      <c r="Z75" s="76">
        <f>+GETPIVOTDATA(" Tot # Ast. Prof Old",'OLD Counts Pivot Table'!$A$3,"State","MS","Category",7,"Category2","Group2")</f>
        <v>0</v>
      </c>
      <c r="AA75" s="77">
        <f>+GETPIVOTDATA(" Tot # Ast. Prof Old",'OLD Counts Pivot Table'!$A$3,"State","MS","Category",8,"Category2","Group2")</f>
        <v>0</v>
      </c>
      <c r="AB75" s="77">
        <f>+GETPIVOTDATA(" Tot # Ast. Prof Old",'OLD Counts Pivot Table'!$A$3,"State","MS","Category",9,"Category2","Group2")</f>
        <v>0</v>
      </c>
      <c r="AC75" s="77">
        <f>+GETPIVOTDATA(" Tot # Ast. Prof Old",'OLD Counts Pivot Table'!$A$3,"State","MS","Category",10,"Category2","Group2")</f>
        <v>0</v>
      </c>
      <c r="AD75" s="77">
        <f>+GETPIVOTDATA(" Tot # Ast. Prof Old",'OLD Counts Pivot Table'!$A$3,"State","MS","Category",11,"Category2","Group2")</f>
        <v>0</v>
      </c>
      <c r="AE75" s="78">
        <f>+GETPIVOTDATA(" Tot # Ast. Prof Old",'OLD Counts Pivot Table'!$A$3,"State","MS","Category2","Group2")</f>
        <v>0</v>
      </c>
      <c r="AF75" s="76">
        <f>+GETPIVOTDATA(" Tot # Ast. Prof Old",'OLD Counts Pivot Table'!$A$3,"State","MS","Category",12,"Category2","Technical Institutes")</f>
        <v>0</v>
      </c>
      <c r="AG75" s="77">
        <f>+GETPIVOTDATA(" Tot # Ast. Prof Old",'OLD Counts Pivot Table'!$A$3,"State","MS","Category",13,"Category2","Technical Institutes")</f>
        <v>0</v>
      </c>
      <c r="AH75" s="76">
        <f>+GETPIVOTDATA(" Tot # Ast. Prof Old",'OLD Counts Pivot Table'!$A$3,"State","AR","Category2","Technical Institutes")</f>
        <v>0</v>
      </c>
    </row>
    <row r="76" spans="1:36" x14ac:dyDescent="0.2">
      <c r="A76" s="10"/>
      <c r="B76" s="18" t="s">
        <v>102</v>
      </c>
      <c r="C76" s="12">
        <f t="shared" si="37"/>
        <v>0.17548387096774193</v>
      </c>
      <c r="D76" s="14">
        <f t="shared" si="37"/>
        <v>0.17860380779691751</v>
      </c>
      <c r="E76" s="14">
        <f t="shared" si="37"/>
        <v>0</v>
      </c>
      <c r="F76" s="14">
        <f t="shared" si="37"/>
        <v>0.25766871165644173</v>
      </c>
      <c r="G76" s="14">
        <f t="shared" si="37"/>
        <v>0.37692307692307692</v>
      </c>
      <c r="H76" s="40">
        <f t="shared" si="37"/>
        <v>0</v>
      </c>
      <c r="I76" s="12">
        <f t="shared" si="37"/>
        <v>0.19682151589242053</v>
      </c>
      <c r="J76" s="12">
        <f t="shared" si="37"/>
        <v>0</v>
      </c>
      <c r="K76" s="14">
        <f t="shared" si="37"/>
        <v>0</v>
      </c>
      <c r="L76" s="14">
        <f t="shared" si="37"/>
        <v>0</v>
      </c>
      <c r="M76" s="14">
        <f t="shared" si="40"/>
        <v>0</v>
      </c>
      <c r="N76" s="12">
        <f t="shared" si="38"/>
        <v>0</v>
      </c>
      <c r="O76" s="12">
        <f t="shared" si="38"/>
        <v>0</v>
      </c>
      <c r="P76" s="14">
        <f t="shared" si="38"/>
        <v>0</v>
      </c>
      <c r="Q76" s="12">
        <f t="shared" si="39"/>
        <v>0</v>
      </c>
      <c r="R76" s="56"/>
      <c r="S76" s="76">
        <f>+GETPIVOTDATA(" Tot # Instr. Old",'OLD Counts Pivot Table'!$A$3,"State","MS","Category",1,"Category2","Four-Year")</f>
        <v>272</v>
      </c>
      <c r="T76" s="77">
        <f>+GETPIVOTDATA(" Tot # Instr. Old",'OLD Counts Pivot Table'!$A$3,"State","MS","Category",2,"Category2","Four-Year")</f>
        <v>197</v>
      </c>
      <c r="U76" s="77">
        <f>+GETPIVOTDATA(" Tot # Instr. Old",'OLD Counts Pivot Table'!$A$3,"State","MS","Category",3,"Category2","Four-Year")</f>
        <v>0</v>
      </c>
      <c r="V76" s="77">
        <f>+GETPIVOTDATA(" Tot # Instr. Old",'OLD Counts Pivot Table'!$A$3,"State","MS","Category",4,"Category2","Four-Year")</f>
        <v>126</v>
      </c>
      <c r="W76" s="77">
        <f>+GETPIVOTDATA(" Tot # Instr. Old",'OLD Counts Pivot Table'!$A$3,"State","MS","Category",5,"Category2","Four-Year")</f>
        <v>49</v>
      </c>
      <c r="X76" s="77">
        <f>+GETPIVOTDATA(" Tot # Instr. Old",'OLD Counts Pivot Table'!$A$3,"State","MS","Category",6,"Category2","Four-Year")</f>
        <v>0</v>
      </c>
      <c r="Y76" s="78">
        <f>+GETPIVOTDATA(" Tot # Instr. Old",'OLD Counts Pivot Table'!$A$3,"State","MS","Category2","Four-Year")</f>
        <v>644</v>
      </c>
      <c r="Z76" s="76">
        <f>+GETPIVOTDATA(" Tot # Instr. Old",'OLD Counts Pivot Table'!$A$3,"State","MS","Category",7,"Category2","Group2")</f>
        <v>0</v>
      </c>
      <c r="AA76" s="77">
        <f>+GETPIVOTDATA(" Tot # Instr. Old",'OLD Counts Pivot Table'!$A$3,"State","MS","Category",8,"Category2","Group2")</f>
        <v>0</v>
      </c>
      <c r="AB76" s="77">
        <f>+GETPIVOTDATA(" Tot # Instr. Old",'OLD Counts Pivot Table'!$A$3,"State","MS","Category",9,"Category2","Group2")</f>
        <v>0</v>
      </c>
      <c r="AC76" s="77">
        <f>+GETPIVOTDATA(" Tot # Instr. Old",'OLD Counts Pivot Table'!$A$3,"State","MS","Category",10,"Category2","Group2")</f>
        <v>0</v>
      </c>
      <c r="AD76" s="77">
        <f>+GETPIVOTDATA(" Tot # Instr. Old",'OLD Counts Pivot Table'!$A$3,"State","MS","Category",11,"Category2","Group2")</f>
        <v>0</v>
      </c>
      <c r="AE76" s="78">
        <f>+GETPIVOTDATA(" Tot # Instr. Old",'OLD Counts Pivot Table'!$A$3,"State","MS","Category2","Group2")</f>
        <v>0</v>
      </c>
      <c r="AF76" s="76">
        <f>+GETPIVOTDATA(" Tot # Instr. Old",'OLD Counts Pivot Table'!$A$3,"State","MS","Category",12,"Category2","Technical Institutes")</f>
        <v>0</v>
      </c>
      <c r="AG76" s="77">
        <f>+GETPIVOTDATA(" Tot # Instr. Old",'OLD Counts Pivot Table'!$A$3,"State","MS","Category",13,"Category2","Technical Institutes")</f>
        <v>0</v>
      </c>
      <c r="AH76" s="76">
        <f>+GETPIVOTDATA(" Tot # Instr. Old",'OLD Counts Pivot Table'!$A$3,"State","AR","Category2","Technical Institutes")</f>
        <v>0</v>
      </c>
    </row>
    <row r="77" spans="1:36" x14ac:dyDescent="0.2">
      <c r="A77" s="10"/>
      <c r="B77" s="18" t="s">
        <v>83</v>
      </c>
      <c r="C77" s="12">
        <f t="shared" si="37"/>
        <v>3.4193548387096775E-2</v>
      </c>
      <c r="D77" s="14">
        <f t="shared" si="37"/>
        <v>1.7225747960108794E-2</v>
      </c>
      <c r="E77" s="14">
        <f t="shared" si="37"/>
        <v>0</v>
      </c>
      <c r="F77" s="14">
        <f t="shared" si="37"/>
        <v>0</v>
      </c>
      <c r="G77" s="14">
        <f t="shared" si="37"/>
        <v>0</v>
      </c>
      <c r="H77" s="40">
        <f t="shared" si="37"/>
        <v>0</v>
      </c>
      <c r="I77" s="12">
        <f t="shared" si="37"/>
        <v>2.2004889975550123E-2</v>
      </c>
      <c r="J77" s="12">
        <f t="shared" si="37"/>
        <v>0</v>
      </c>
      <c r="K77" s="14">
        <f t="shared" si="37"/>
        <v>0</v>
      </c>
      <c r="L77" s="14">
        <f t="shared" si="37"/>
        <v>0</v>
      </c>
      <c r="M77" s="14">
        <f t="shared" si="40"/>
        <v>0</v>
      </c>
      <c r="N77" s="12">
        <f t="shared" si="38"/>
        <v>0</v>
      </c>
      <c r="O77" s="12">
        <f t="shared" si="38"/>
        <v>0</v>
      </c>
      <c r="P77" s="14">
        <f t="shared" si="38"/>
        <v>0</v>
      </c>
      <c r="Q77" s="12">
        <f t="shared" si="39"/>
        <v>0</v>
      </c>
      <c r="R77" s="56"/>
      <c r="S77" s="76">
        <f>++GETPIVOTDATA(" Tot # Undes. Old",'OLD Counts Pivot Table'!$A$3,"State","MS","Category",1,"Category2","Four-Year")</f>
        <v>53</v>
      </c>
      <c r="T77" s="77">
        <f>+GETPIVOTDATA(" Tot # Undes. Old",'OLD Counts Pivot Table'!$A$3,"State","MS","Category",2,"Category2","Four-Year")</f>
        <v>19</v>
      </c>
      <c r="U77" s="77">
        <f>+GETPIVOTDATA(" Tot # Undes. Old",'OLD Counts Pivot Table'!$A$3,"State","MS","Category",3,"Category2","Four-Year")</f>
        <v>0</v>
      </c>
      <c r="V77" s="77">
        <f>+GETPIVOTDATA(" Tot # Undes. Old",'OLD Counts Pivot Table'!$A$3,"State","MS","Category",4,"Category2","Four-Year")</f>
        <v>0</v>
      </c>
      <c r="W77" s="77">
        <f>+GETPIVOTDATA(" Tot # Undes. Old",'OLD Counts Pivot Table'!$A$3,"State","MS","Category",5,"Category2","Four-Year")</f>
        <v>0</v>
      </c>
      <c r="X77" s="77">
        <f>+GETPIVOTDATA(" Tot # Undes. Old",'OLD Counts Pivot Table'!$A$3,"State","MS","Category",6,"Category2","Four-Year")</f>
        <v>0</v>
      </c>
      <c r="Y77" s="78">
        <f>+GETPIVOTDATA(" Tot # Undes. Old",'OLD Counts Pivot Table'!$A$3,"State","MS","Category2","Four-Year")</f>
        <v>72</v>
      </c>
      <c r="Z77" s="76">
        <f>+GETPIVOTDATA(" Tot # Undes. Old",'OLD Counts Pivot Table'!$A$3,"State","MS","Category",7,"Category2","Group2")</f>
        <v>0</v>
      </c>
      <c r="AA77" s="77">
        <f>+GETPIVOTDATA(" Tot # Undes. Old",'OLD Counts Pivot Table'!$A$3,"State","MS","Category",8,"Category2","Group2")</f>
        <v>0</v>
      </c>
      <c r="AB77" s="77">
        <f>+GETPIVOTDATA(" Tot # Undes. Old",'OLD Counts Pivot Table'!$A$3,"State","MS","Category",9,"Category2","Group2")</f>
        <v>0</v>
      </c>
      <c r="AC77" s="77">
        <f>+GETPIVOTDATA(" Tot # Undes. Old",'OLD Counts Pivot Table'!$A$3,"State","MS","Category",10,"Category2","Group2")</f>
        <v>0</v>
      </c>
      <c r="AD77" s="77">
        <f>+GETPIVOTDATA(" Tot # Undes. Old",'OLD Counts Pivot Table'!$A$3,"State","MS","Category",11,"Category2","Group2")</f>
        <v>0</v>
      </c>
      <c r="AE77" s="78">
        <f>+GETPIVOTDATA(" Tot # Undes. Old",'OLD Counts Pivot Table'!$A$3,"State","MS","Category2","Group2")</f>
        <v>0</v>
      </c>
      <c r="AF77" s="76">
        <f>+GETPIVOTDATA(" Tot # Undes. Old",'OLD Counts Pivot Table'!$A$3,"State","MS","Category",12,"Category2","Technical Institutes")</f>
        <v>0</v>
      </c>
      <c r="AG77" s="77">
        <f>+GETPIVOTDATA(" Tot # Undes. Old",'OLD Counts Pivot Table'!$A$3,"State","MS","Category",13,"Category2","Technical Institutes")</f>
        <v>0</v>
      </c>
      <c r="AH77" s="76">
        <f>+GETPIVOTDATA(" Tot # Undes. Old",'OLD Counts Pivot Table'!$A$3,"State","AR","Category2","Technical Institutes")</f>
        <v>0</v>
      </c>
    </row>
    <row r="78" spans="1:36" x14ac:dyDescent="0.2">
      <c r="A78" s="10"/>
      <c r="B78" s="18" t="s">
        <v>82</v>
      </c>
      <c r="C78" s="12">
        <f t="shared" si="37"/>
        <v>0</v>
      </c>
      <c r="D78" s="14">
        <f t="shared" si="37"/>
        <v>0</v>
      </c>
      <c r="E78" s="103">
        <f t="shared" si="37"/>
        <v>0</v>
      </c>
      <c r="F78" s="14">
        <f t="shared" si="37"/>
        <v>0</v>
      </c>
      <c r="G78" s="103">
        <f t="shared" si="37"/>
        <v>0</v>
      </c>
      <c r="H78" s="40">
        <f t="shared" si="37"/>
        <v>0</v>
      </c>
      <c r="I78" s="102">
        <f t="shared" si="37"/>
        <v>0</v>
      </c>
      <c r="J78" s="12">
        <f t="shared" si="37"/>
        <v>0</v>
      </c>
      <c r="K78" s="14">
        <f t="shared" si="37"/>
        <v>1</v>
      </c>
      <c r="L78" s="14">
        <f t="shared" si="37"/>
        <v>1</v>
      </c>
      <c r="M78" s="14">
        <f t="shared" si="40"/>
        <v>1</v>
      </c>
      <c r="N78" s="12">
        <f t="shared" si="38"/>
        <v>1</v>
      </c>
      <c r="O78" s="12">
        <f t="shared" si="38"/>
        <v>0</v>
      </c>
      <c r="P78" s="14">
        <f t="shared" si="38"/>
        <v>0</v>
      </c>
      <c r="Q78" s="12">
        <f t="shared" si="39"/>
        <v>0</v>
      </c>
      <c r="R78" s="56"/>
      <c r="S78" s="76">
        <f>+GETPIVOTDATA(" Tot # Single Rnk Old",'OLD Counts Pivot Table'!$A$3,"State","MS","Category",1,"Category2","Four-Year")</f>
        <v>0</v>
      </c>
      <c r="T78" s="77">
        <f>+GETPIVOTDATA(" Tot # Single Rnk Old",'OLD Counts Pivot Table'!$A$3,"State","MS","Category",2,"Category2","Four-Year")</f>
        <v>0</v>
      </c>
      <c r="U78" s="77">
        <f>+GETPIVOTDATA(" Tot # Single Rnk Old",'OLD Counts Pivot Table'!$A$3,"State","MS","Category",3,"Category2","Four-Year")</f>
        <v>0</v>
      </c>
      <c r="V78" s="77">
        <f>+GETPIVOTDATA(" Tot # Single Rnk Old",'OLD Counts Pivot Table'!$A$3,"State","MS","Category",4,"Category2","Four-Year")</f>
        <v>0</v>
      </c>
      <c r="W78" s="77">
        <f>+GETPIVOTDATA(" Tot # Single Rnk Old",'OLD Counts Pivot Table'!$A$3,"State","MS","Category",5,"Category2","Four-Year")</f>
        <v>0</v>
      </c>
      <c r="X78" s="77">
        <f>+GETPIVOTDATA(" Tot # Single Rnk Old",'OLD Counts Pivot Table'!$A$3,"State","MS","Category",6,"Category2","Four-Year")</f>
        <v>0</v>
      </c>
      <c r="Y78" s="78">
        <f>+GETPIVOTDATA(" Tot # Single Rnk Old",'OLD Counts Pivot Table'!$A$3,"State","MS","Category2","Four-Year")</f>
        <v>0</v>
      </c>
      <c r="Z78" s="76">
        <f>+GETPIVOTDATA(" Tot # Single Rnk Old",'OLD Counts Pivot Table'!$A$3,"State","MS","Category",7,"Category2","Group2")</f>
        <v>0</v>
      </c>
      <c r="AA78" s="77">
        <f>+GETPIVOTDATA(" Tot # Single Rnk Old",'OLD Counts Pivot Table'!$A$3,"State","MS","Category",8,"Category2","Group2")</f>
        <v>1168.3</v>
      </c>
      <c r="AB78" s="77">
        <f>+GETPIVOTDATA(" Tot # Single Rnk Old",'OLD Counts Pivot Table'!$A$3,"State","MS","Category",9,"Category2","Group2")</f>
        <v>1192</v>
      </c>
      <c r="AC78" s="77">
        <f>+GETPIVOTDATA(" Tot # Single Rnk Old",'OLD Counts Pivot Table'!$A$3,"State","MS","Category",10,"Category2","Group2")</f>
        <v>145</v>
      </c>
      <c r="AD78" s="77">
        <f>+GETPIVOTDATA(" Tot # Single Rnk Old",'OLD Counts Pivot Table'!$A$3,"State","MS","Category",11,"Category2","Group2")</f>
        <v>0</v>
      </c>
      <c r="AE78" s="78">
        <f>+GETPIVOTDATA(" Tot # Single Rnk Old",'OLD Counts Pivot Table'!$A$3,"State","MS","Category2","Group2")</f>
        <v>2505.3000000000002</v>
      </c>
      <c r="AF78" s="76">
        <f>+GETPIVOTDATA(" Tot # Single Rnk Old",'OLD Counts Pivot Table'!$A$3,"State","MS","Category",12,"Category2","Technical Institutes")</f>
        <v>0</v>
      </c>
      <c r="AG78" s="77">
        <f>+GETPIVOTDATA(" Tot # Single Rnk Old",'OLD Counts Pivot Table'!$A$3,"State","MS","Category",13,"Category2","Technical Institutes")</f>
        <v>0</v>
      </c>
      <c r="AH78" s="76">
        <f>+GETPIVOTDATA(" Tot # Single Rnk Old",'OLD Counts Pivot Table'!$A$3,"State","AR","Category2","Technical Institutes")</f>
        <v>0</v>
      </c>
    </row>
    <row r="79" spans="1:36" s="33" customFormat="1" x14ac:dyDescent="0.25">
      <c r="A79" s="109"/>
      <c r="B79" s="110" t="s">
        <v>84</v>
      </c>
      <c r="C79" s="13">
        <f t="shared" si="37"/>
        <v>1</v>
      </c>
      <c r="D79" s="11">
        <f t="shared" si="37"/>
        <v>1</v>
      </c>
      <c r="E79" s="11">
        <f t="shared" si="37"/>
        <v>0</v>
      </c>
      <c r="F79" s="11">
        <f t="shared" si="37"/>
        <v>1</v>
      </c>
      <c r="G79" s="11">
        <f t="shared" si="37"/>
        <v>1</v>
      </c>
      <c r="H79" s="41">
        <f t="shared" si="37"/>
        <v>0</v>
      </c>
      <c r="I79" s="13">
        <f t="shared" si="37"/>
        <v>1</v>
      </c>
      <c r="J79" s="13">
        <f t="shared" si="37"/>
        <v>0</v>
      </c>
      <c r="K79" s="11">
        <f t="shared" si="37"/>
        <v>1</v>
      </c>
      <c r="L79" s="11">
        <f t="shared" si="37"/>
        <v>1</v>
      </c>
      <c r="M79" s="11">
        <f t="shared" si="40"/>
        <v>1</v>
      </c>
      <c r="N79" s="13">
        <f t="shared" si="38"/>
        <v>1</v>
      </c>
      <c r="O79" s="13">
        <f t="shared" si="38"/>
        <v>0</v>
      </c>
      <c r="P79" s="11">
        <f t="shared" si="38"/>
        <v>0</v>
      </c>
      <c r="Q79" s="13">
        <f t="shared" si="39"/>
        <v>0</v>
      </c>
      <c r="R79" s="57"/>
      <c r="S79" s="79">
        <f>+GETPIVOTDATA(" All Ranks # Old",'OLD Counts Pivot Table'!$A$3,"State","MS","Category",1,"Category2","Four-Year")</f>
        <v>1550</v>
      </c>
      <c r="T79" s="80">
        <f>+GETPIVOTDATA(" All Ranks # Old",'OLD Counts Pivot Table'!$A$3,"State","MS","Category",2,"Category2","Four-Year")</f>
        <v>1103</v>
      </c>
      <c r="U79" s="80">
        <f>+GETPIVOTDATA(" All Ranks # Old",'OLD Counts Pivot Table'!$A$3,"State","MS","Category",3,"Category2","Four-Year")</f>
        <v>0</v>
      </c>
      <c r="V79" s="80">
        <f>+GETPIVOTDATA(" All Ranks # Old",'OLD Counts Pivot Table'!$A$3,"State","MS","Category",4,"Category2","Four-Year")</f>
        <v>489</v>
      </c>
      <c r="W79" s="80">
        <f>+GETPIVOTDATA(" All Ranks # Old",'OLD Counts Pivot Table'!$A$3,"State","MS","Category",5,"Category2","Four-Year")</f>
        <v>130</v>
      </c>
      <c r="X79" s="80">
        <f>+GETPIVOTDATA(" All Ranks # Old",'OLD Counts Pivot Table'!$A$3,"State","MS","Category",6,"Category2","Four-Year")</f>
        <v>0</v>
      </c>
      <c r="Y79" s="81">
        <f>+GETPIVOTDATA(" All Ranks # Old",'OLD Counts Pivot Table'!$A$3,"State","MS","Category2","Four-Year")</f>
        <v>3272</v>
      </c>
      <c r="Z79" s="79">
        <f>+GETPIVOTDATA(" All Ranks # Old",'OLD Counts Pivot Table'!$A$3,"State","MS","Category",7,"Category2","Group2")</f>
        <v>0</v>
      </c>
      <c r="AA79" s="80">
        <f>+GETPIVOTDATA(" All Ranks # Old",'OLD Counts Pivot Table'!$A$3,"State","MS","Category",8,"Category2","Group2")</f>
        <v>1168.3</v>
      </c>
      <c r="AB79" s="80">
        <f>+GETPIVOTDATA(" All Ranks # Old",'OLD Counts Pivot Table'!$A$3,"State","MS","Category",9,"Category2","Group2")</f>
        <v>1192</v>
      </c>
      <c r="AC79" s="80">
        <f>+GETPIVOTDATA(" All Ranks # Old",'OLD Counts Pivot Table'!$A$3,"State","MS","Category",10,"Category2","Group2")</f>
        <v>145</v>
      </c>
      <c r="AD79" s="80">
        <f>+GETPIVOTDATA(" All Ranks # Old",'OLD Counts Pivot Table'!$A$3,"State","MS","Category",11,"Category2","Group2")</f>
        <v>0</v>
      </c>
      <c r="AE79" s="81">
        <f>+GETPIVOTDATA(" All Ranks # Old",'OLD Counts Pivot Table'!$A$3,"State","MS","Category2","Group2")</f>
        <v>2505.3000000000002</v>
      </c>
      <c r="AF79" s="79">
        <f>+GETPIVOTDATA(" All Ranks # Old",'OLD Counts Pivot Table'!$A$3,"State","MS","Category",12,"Category2","Technical Institutes")</f>
        <v>0</v>
      </c>
      <c r="AG79" s="80">
        <f>+GETPIVOTDATA(" All Ranks # Old",'OLD Counts Pivot Table'!$A$3,"State","MS","Category",13,"Category2","Technical Institutes")</f>
        <v>0</v>
      </c>
      <c r="AH79" s="79">
        <f>+GETPIVOTDATA(" All Ranks # Old",'OLD Counts Pivot Table'!$A$3,"State","AR","Category2","Technical Institutes")</f>
        <v>0</v>
      </c>
      <c r="AI79" s="82"/>
      <c r="AJ79" s="82"/>
    </row>
    <row r="80" spans="1:36" x14ac:dyDescent="0.2">
      <c r="A80" s="18" t="s">
        <v>109</v>
      </c>
      <c r="B80" s="15" t="s">
        <v>99</v>
      </c>
      <c r="C80" s="16">
        <f t="shared" ref="C80:M86" si="41">IF(S$86&gt;0,(S80/S$86),0)</f>
        <v>0.35240328253223918</v>
      </c>
      <c r="D80" s="17">
        <f t="shared" si="41"/>
        <v>0.21496311907270813</v>
      </c>
      <c r="E80" s="17">
        <f t="shared" si="41"/>
        <v>0.22303384465546627</v>
      </c>
      <c r="F80" s="17">
        <f t="shared" si="41"/>
        <v>0.1588447653429603</v>
      </c>
      <c r="G80" s="17">
        <f t="shared" si="41"/>
        <v>0.14880952380952381</v>
      </c>
      <c r="H80" s="39">
        <f t="shared" si="41"/>
        <v>0.29715762273901808</v>
      </c>
      <c r="I80" s="16">
        <f t="shared" si="41"/>
        <v>0.27043257952519473</v>
      </c>
      <c r="J80" s="16">
        <f t="shared" si="41"/>
        <v>0</v>
      </c>
      <c r="K80" s="17">
        <f t="shared" si="41"/>
        <v>0</v>
      </c>
      <c r="L80" s="17">
        <f t="shared" si="41"/>
        <v>0</v>
      </c>
      <c r="M80" s="17">
        <f t="shared" si="41"/>
        <v>0</v>
      </c>
      <c r="N80" s="16">
        <f t="shared" ref="N80:P86" si="42">IF(AE$86&gt;0,(AE80/AE$86),0)</f>
        <v>0</v>
      </c>
      <c r="O80" s="91">
        <f t="shared" si="42"/>
        <v>0</v>
      </c>
      <c r="P80" s="17">
        <f t="shared" si="42"/>
        <v>0</v>
      </c>
      <c r="Q80" s="91">
        <f t="shared" ref="Q80:Q86" si="43">IF(AH$86&gt;0,(AH80/AH$86),0)</f>
        <v>0</v>
      </c>
      <c r="R80" s="83"/>
      <c r="S80" s="73">
        <f>+GETPIVOTDATA(" Total # Prof Old",'OLD Counts Pivot Table'!$A$3,"State","NC","Category",1,"Category2","Four-Year")</f>
        <v>1503</v>
      </c>
      <c r="T80" s="74">
        <f>+GETPIVOTDATA(" Total # Prof Old",'OLD Counts Pivot Table'!$A$3,"State","NC","Category",2,"Category2","Four-Year")</f>
        <v>204</v>
      </c>
      <c r="U80" s="74">
        <f>+GETPIVOTDATA(" Total # Prof Old",'OLD Counts Pivot Table'!$A$3,"State","NC","Category",3,"Category2","Four-Year")</f>
        <v>916</v>
      </c>
      <c r="V80" s="74">
        <f>+GETPIVOTDATA(" Total # Prof Old",'OLD Counts Pivot Table'!$A$3,"State","NC","Category",4,"Category2","Four-Year")</f>
        <v>44</v>
      </c>
      <c r="W80" s="74">
        <f>+GETPIVOTDATA(" Total # Prof Old",'OLD Counts Pivot Table'!$A$3,"State","NC","Category",5,"Category2","Four-Year")</f>
        <v>100</v>
      </c>
      <c r="X80" s="74">
        <f>+GETPIVOTDATA(" Total # Prof Old",'OLD Counts Pivot Table'!$A$3,"State","NC","Category",6,"Category2","Four-Year")</f>
        <v>115</v>
      </c>
      <c r="Y80" s="75">
        <f>+GETPIVOTDATA(" Total # Prof Old",'OLD Counts Pivot Table'!$A$3,"State","NC","Category2","Four-Year")</f>
        <v>2882</v>
      </c>
      <c r="Z80" s="73">
        <f>+GETPIVOTDATA(" Total # Prof Old",'OLD Counts Pivot Table'!$A$3,"State","NC","Category",7,"Category2","Group2")</f>
        <v>0</v>
      </c>
      <c r="AA80" s="74">
        <f>+GETPIVOTDATA(" Total # Prof Old",'OLD Counts Pivot Table'!$A$3,"State","NC","Category",8,"Category2","Group2")</f>
        <v>0</v>
      </c>
      <c r="AB80" s="74">
        <f>+GETPIVOTDATA(" Total # Prof Old",'OLD Counts Pivot Table'!$A$3,"State","NC","Category",9,"Category2","Group2")</f>
        <v>0</v>
      </c>
      <c r="AC80" s="74">
        <f>+GETPIVOTDATA(" Total # Prof Old",'OLD Counts Pivot Table'!$A$3,"State","NC","Category",10,"Category2","Group2")</f>
        <v>0</v>
      </c>
      <c r="AD80" s="74">
        <f>+GETPIVOTDATA(" Total # Prof Old",'OLD Counts Pivot Table'!$A$3,"State","NC","Category",11,"Category2","Group2")</f>
        <v>0</v>
      </c>
      <c r="AE80" s="75">
        <f>+GETPIVOTDATA(" Total # Prof Old",'OLD Counts Pivot Table'!$A$3,"State","NC","Category2","Group2")</f>
        <v>0</v>
      </c>
      <c r="AF80" s="73">
        <f>+GETPIVOTDATA(" Total # Prof Old",'OLD Counts Pivot Table'!$A$3,"State","NC","Category",12,"Category2","Technical Institutes")</f>
        <v>0</v>
      </c>
      <c r="AG80" s="74">
        <f>+GETPIVOTDATA(" Total # Prof Old",'OLD Counts Pivot Table'!$A$3,"State","NC","Category",13,"Category2","Technical Institutes")</f>
        <v>0</v>
      </c>
      <c r="AH80" s="73">
        <f>+GETPIVOTDATA(" Total # Prof Old",'OLD Counts Pivot Table'!$A$3,"State","AR","Category2","Technical Institutes")</f>
        <v>0</v>
      </c>
    </row>
    <row r="81" spans="1:36" x14ac:dyDescent="0.2">
      <c r="A81" s="10"/>
      <c r="B81" s="18" t="s">
        <v>100</v>
      </c>
      <c r="C81" s="12">
        <f t="shared" si="41"/>
        <v>0.23985932004689331</v>
      </c>
      <c r="D81" s="14">
        <f t="shared" si="41"/>
        <v>0.3108535300316122</v>
      </c>
      <c r="E81" s="14">
        <f t="shared" si="41"/>
        <v>0.28682736790844898</v>
      </c>
      <c r="F81" s="14">
        <f t="shared" si="41"/>
        <v>0.29602888086642598</v>
      </c>
      <c r="G81" s="14">
        <f t="shared" si="41"/>
        <v>0.25744047619047616</v>
      </c>
      <c r="H81" s="40">
        <f t="shared" si="41"/>
        <v>0.25839793281653745</v>
      </c>
      <c r="I81" s="12">
        <f t="shared" si="41"/>
        <v>0.2675236933470958</v>
      </c>
      <c r="J81" s="12">
        <f t="shared" si="41"/>
        <v>0</v>
      </c>
      <c r="K81" s="14">
        <f t="shared" si="41"/>
        <v>0</v>
      </c>
      <c r="L81" s="14">
        <f t="shared" si="41"/>
        <v>0</v>
      </c>
      <c r="M81" s="14">
        <f t="shared" ref="M81:M86" si="44">IF(AC$86&gt;0,(AC81/AC$86),0)</f>
        <v>0</v>
      </c>
      <c r="N81" s="12">
        <f t="shared" si="42"/>
        <v>0</v>
      </c>
      <c r="O81" s="12">
        <f t="shared" si="42"/>
        <v>0</v>
      </c>
      <c r="P81" s="14">
        <f t="shared" si="42"/>
        <v>0</v>
      </c>
      <c r="Q81" s="12">
        <f t="shared" si="43"/>
        <v>0</v>
      </c>
      <c r="R81" s="56"/>
      <c r="S81" s="76">
        <f>+GETPIVOTDATA(" Tot # Asc. Prof Old",'OLD Counts Pivot Table'!$A$3,"State","NC","Category",1,"Category2","Four-Year")</f>
        <v>1023</v>
      </c>
      <c r="T81" s="77">
        <f>+GETPIVOTDATA(" Tot # Asc. Prof Old",'OLD Counts Pivot Table'!$A$3,"State","NC","Category",2,"Category2","Four-Year")</f>
        <v>295</v>
      </c>
      <c r="U81" s="77">
        <f>+GETPIVOTDATA(" Tot # Asc. Prof Old",'OLD Counts Pivot Table'!$A$3,"State","NC","Category",3,"Category2","Four-Year")</f>
        <v>1178</v>
      </c>
      <c r="V81" s="77">
        <f>+GETPIVOTDATA(" Tot # Asc. Prof Old",'OLD Counts Pivot Table'!$A$3,"State","NC","Category",4,"Category2","Four-Year")</f>
        <v>82</v>
      </c>
      <c r="W81" s="77">
        <f>+GETPIVOTDATA(" Tot # Asc. Prof Old",'OLD Counts Pivot Table'!$A$3,"State","NC","Category",5,"Category2","Four-Year")</f>
        <v>173</v>
      </c>
      <c r="X81" s="77">
        <f>+GETPIVOTDATA(" Tot # Asc. Prof Old",'OLD Counts Pivot Table'!$A$3,"State","NC","Category",6,"Category2","Four-Year")</f>
        <v>100</v>
      </c>
      <c r="Y81" s="78">
        <f>+GETPIVOTDATA(" Tot # Asc. Prof Old",'OLD Counts Pivot Table'!$A$3,"State","NC","Category2","Four-Year")</f>
        <v>2851</v>
      </c>
      <c r="Z81" s="76">
        <f>+GETPIVOTDATA(" Tot # Asc. Prof Old",'OLD Counts Pivot Table'!$A$3,"State","NC","Category",7,"Category2","Group2")</f>
        <v>0</v>
      </c>
      <c r="AA81" s="77">
        <f>+GETPIVOTDATA(" Tot # Asc. Prof Old",'OLD Counts Pivot Table'!$A$3,"State","NC","Category",8,"Category2","Group2")</f>
        <v>0</v>
      </c>
      <c r="AB81" s="77">
        <f>+GETPIVOTDATA(" Tot # Asc. Prof Old",'OLD Counts Pivot Table'!$A$3,"State","NC","Category",9,"Category2","Group2")</f>
        <v>0</v>
      </c>
      <c r="AC81" s="77">
        <f>+GETPIVOTDATA(" Tot # Asc. Prof Old",'OLD Counts Pivot Table'!$A$3,"State","NC","Category",10,"Category2","Group2")</f>
        <v>0</v>
      </c>
      <c r="AD81" s="77">
        <f>+GETPIVOTDATA(" Tot # Asc. Prof Old",'OLD Counts Pivot Table'!$A$3,"State","NC","Category",11,"Category2","Group2")</f>
        <v>0</v>
      </c>
      <c r="AE81" s="78">
        <f>+GETPIVOTDATA(" Tot # Asc. Prof Old",'OLD Counts Pivot Table'!$A$3,"State","NC","Category2","Group2")</f>
        <v>0</v>
      </c>
      <c r="AF81" s="76">
        <f>+GETPIVOTDATA(" Tot # Asc. Prof Old",'OLD Counts Pivot Table'!$A$3,"State","NC","Category",12,"Category2","Technical Institutes")</f>
        <v>0</v>
      </c>
      <c r="AG81" s="77">
        <f>+GETPIVOTDATA(" Tot # Asc. Prof Old",'OLD Counts Pivot Table'!$A$3,"State","NC","Category",13,"Category2","Technical Institutes")</f>
        <v>0</v>
      </c>
      <c r="AH81" s="76">
        <f>+GETPIVOTDATA(" Tot # Asc. Prof Old",'OLD Counts Pivot Table'!$A$3,"State","AR","Category2","Technical Institutes")</f>
        <v>0</v>
      </c>
    </row>
    <row r="82" spans="1:36" x14ac:dyDescent="0.2">
      <c r="A82" s="10"/>
      <c r="B82" s="18" t="s">
        <v>101</v>
      </c>
      <c r="C82" s="12">
        <f t="shared" si="41"/>
        <v>0.19296600234466588</v>
      </c>
      <c r="D82" s="14">
        <f t="shared" si="41"/>
        <v>0.24446786090621708</v>
      </c>
      <c r="E82" s="14">
        <f t="shared" si="41"/>
        <v>0.25687850012174335</v>
      </c>
      <c r="F82" s="14">
        <f t="shared" si="41"/>
        <v>0.39350180505415161</v>
      </c>
      <c r="G82" s="14">
        <f t="shared" si="41"/>
        <v>0.36607142857142855</v>
      </c>
      <c r="H82" s="40">
        <f t="shared" si="41"/>
        <v>0.22480620155038761</v>
      </c>
      <c r="I82" s="12">
        <f t="shared" si="41"/>
        <v>0.23946701698414188</v>
      </c>
      <c r="J82" s="12">
        <f t="shared" si="41"/>
        <v>0</v>
      </c>
      <c r="K82" s="14">
        <f t="shared" si="41"/>
        <v>0</v>
      </c>
      <c r="L82" s="14">
        <f t="shared" si="41"/>
        <v>0</v>
      </c>
      <c r="M82" s="14">
        <f t="shared" si="44"/>
        <v>0</v>
      </c>
      <c r="N82" s="12">
        <f t="shared" si="42"/>
        <v>0</v>
      </c>
      <c r="O82" s="12">
        <f t="shared" si="42"/>
        <v>0</v>
      </c>
      <c r="P82" s="14">
        <f t="shared" si="42"/>
        <v>0</v>
      </c>
      <c r="Q82" s="12">
        <f t="shared" si="43"/>
        <v>0</v>
      </c>
      <c r="R82" s="56"/>
      <c r="S82" s="76">
        <f>+GETPIVOTDATA(" Tot # Ast. Prof Old",'OLD Counts Pivot Table'!$A$3,"State","NC","Category",1,"Category2","Four-Year")</f>
        <v>823</v>
      </c>
      <c r="T82" s="77">
        <f>+GETPIVOTDATA(" Tot # Ast. Prof Old",'OLD Counts Pivot Table'!$A$3,"State","NC","Category",2,"Category2","Four-Year")</f>
        <v>232</v>
      </c>
      <c r="U82" s="77">
        <f>+GETPIVOTDATA(" Tot # Ast. Prof Old",'OLD Counts Pivot Table'!$A$3,"State","NC","Category",3,"Category2","Four-Year")</f>
        <v>1055</v>
      </c>
      <c r="V82" s="77">
        <f>+GETPIVOTDATA(" Tot # Ast. Prof Old",'OLD Counts Pivot Table'!$A$3,"State","NC","Category",4,"Category2","Four-Year")</f>
        <v>109</v>
      </c>
      <c r="W82" s="77">
        <f>+GETPIVOTDATA(" Tot # Ast. Prof Old",'OLD Counts Pivot Table'!$A$3,"State","NC","Category",5,"Category2","Four-Year")</f>
        <v>246</v>
      </c>
      <c r="X82" s="77">
        <f>+GETPIVOTDATA(" Tot # Ast. Prof Old",'OLD Counts Pivot Table'!$A$3,"State","NC","Category",6,"Category2","Four-Year")</f>
        <v>87</v>
      </c>
      <c r="Y82" s="78">
        <f>+GETPIVOTDATA(" Tot # Ast. Prof Old",'OLD Counts Pivot Table'!$A$3,"State","NC","Category2","Four-Year")</f>
        <v>2552</v>
      </c>
      <c r="Z82" s="76">
        <f>+GETPIVOTDATA(" Tot # Ast. Prof Old",'OLD Counts Pivot Table'!$A$3,"State","NC","Category",7,"Category2","Group2")</f>
        <v>0</v>
      </c>
      <c r="AA82" s="77">
        <f>+GETPIVOTDATA(" Tot # Ast. Prof Old",'OLD Counts Pivot Table'!$A$3,"State","NC","Category",8,"Category2","Group2")</f>
        <v>0</v>
      </c>
      <c r="AB82" s="77">
        <f>+GETPIVOTDATA(" Tot # Ast. Prof Old",'OLD Counts Pivot Table'!$A$3,"State","NC","Category",9,"Category2","Group2")</f>
        <v>0</v>
      </c>
      <c r="AC82" s="77">
        <f>+GETPIVOTDATA(" Tot # Ast. Prof Old",'OLD Counts Pivot Table'!$A$3,"State","NC","Category",10,"Category2","Group2")</f>
        <v>0</v>
      </c>
      <c r="AD82" s="77">
        <f>+GETPIVOTDATA(" Tot # Ast. Prof Old",'OLD Counts Pivot Table'!$A$3,"State","NC","Category",11,"Category2","Group2")</f>
        <v>0</v>
      </c>
      <c r="AE82" s="78">
        <f>+GETPIVOTDATA(" Tot # Ast. Prof Old",'OLD Counts Pivot Table'!$A$3,"State","NC","Category2","Group2")</f>
        <v>0</v>
      </c>
      <c r="AF82" s="76">
        <f>+GETPIVOTDATA(" Tot # Ast. Prof Old",'OLD Counts Pivot Table'!$A$3,"State","NC","Category",12,"Category2","Technical Institutes")</f>
        <v>0</v>
      </c>
      <c r="AG82" s="77">
        <f>+GETPIVOTDATA(" Tot # Ast. Prof Old",'OLD Counts Pivot Table'!$A$3,"State","NC","Category",13,"Category2","Technical Institutes")</f>
        <v>0</v>
      </c>
      <c r="AH82" s="76">
        <f>+GETPIVOTDATA(" Tot # Ast. Prof Old",'OLD Counts Pivot Table'!$A$3,"State","AR","Category2","Technical Institutes")</f>
        <v>0</v>
      </c>
    </row>
    <row r="83" spans="1:36" x14ac:dyDescent="0.2">
      <c r="A83" s="10"/>
      <c r="B83" s="18" t="s">
        <v>102</v>
      </c>
      <c r="C83" s="12">
        <f t="shared" si="41"/>
        <v>1.7819460726846426E-2</v>
      </c>
      <c r="D83" s="153">
        <f t="shared" si="41"/>
        <v>0</v>
      </c>
      <c r="E83" s="14">
        <f t="shared" si="41"/>
        <v>8.5220355490625756E-3</v>
      </c>
      <c r="F83" s="14">
        <f t="shared" si="41"/>
        <v>3.2490974729241874E-2</v>
      </c>
      <c r="G83" s="14">
        <f t="shared" si="41"/>
        <v>7.1428571428571425E-2</v>
      </c>
      <c r="H83" s="40">
        <f t="shared" si="41"/>
        <v>7.7519379844961239E-3</v>
      </c>
      <c r="I83" s="12">
        <f t="shared" si="41"/>
        <v>1.6045791498545556E-2</v>
      </c>
      <c r="J83" s="12">
        <f t="shared" si="41"/>
        <v>0</v>
      </c>
      <c r="K83" s="14">
        <f t="shared" si="41"/>
        <v>0</v>
      </c>
      <c r="L83" s="14">
        <f t="shared" si="41"/>
        <v>0</v>
      </c>
      <c r="M83" s="14">
        <f t="shared" si="44"/>
        <v>0</v>
      </c>
      <c r="N83" s="12">
        <f t="shared" si="42"/>
        <v>0</v>
      </c>
      <c r="O83" s="12">
        <f t="shared" si="42"/>
        <v>0</v>
      </c>
      <c r="P83" s="14">
        <f t="shared" si="42"/>
        <v>0</v>
      </c>
      <c r="Q83" s="12">
        <f t="shared" si="43"/>
        <v>0</v>
      </c>
      <c r="R83" s="56"/>
      <c r="S83" s="76">
        <f>+GETPIVOTDATA(" Tot # Instr. Old",'OLD Counts Pivot Table'!$A$3,"State","NC","Category",1,"Category2","Four-Year")</f>
        <v>76</v>
      </c>
      <c r="T83" s="77">
        <f>+GETPIVOTDATA(" Tot # Instr. Old",'OLD Counts Pivot Table'!$A$3,"State","NC","Category",2,"Category2","Four-Year")</f>
        <v>0</v>
      </c>
      <c r="U83" s="77">
        <f>+GETPIVOTDATA(" Tot # Instr. Old",'OLD Counts Pivot Table'!$A$3,"State","NC","Category",3,"Category2","Four-Year")</f>
        <v>35</v>
      </c>
      <c r="V83" s="77">
        <f>+GETPIVOTDATA(" Tot # Instr. Old",'OLD Counts Pivot Table'!$A$3,"State","NC","Category",4,"Category2","Four-Year")</f>
        <v>9</v>
      </c>
      <c r="W83" s="77">
        <f>+GETPIVOTDATA(" Tot # Instr. Old",'OLD Counts Pivot Table'!$A$3,"State","NC","Category",5,"Category2","Four-Year")</f>
        <v>48</v>
      </c>
      <c r="X83" s="77">
        <f>+GETPIVOTDATA(" Tot # Instr. Old",'OLD Counts Pivot Table'!$A$3,"State","NC","Category",6,"Category2","Four-Year")</f>
        <v>3</v>
      </c>
      <c r="Y83" s="78">
        <f>+GETPIVOTDATA(" Tot # Instr. Old",'OLD Counts Pivot Table'!$A$3,"State","NC","Category2","Four-Year")</f>
        <v>171</v>
      </c>
      <c r="Z83" s="76">
        <f>+GETPIVOTDATA(" Tot # Instr. Old",'OLD Counts Pivot Table'!$A$3,"State","NC","Category",7,"Category2","Group2")</f>
        <v>0</v>
      </c>
      <c r="AA83" s="77">
        <f>+GETPIVOTDATA(" Tot # Instr. Old",'OLD Counts Pivot Table'!$A$3,"State","NC","Category",8,"Category2","Group2")</f>
        <v>0</v>
      </c>
      <c r="AB83" s="77">
        <f>+GETPIVOTDATA(" Tot # Instr. Old",'OLD Counts Pivot Table'!$A$3,"State","NC","Category",9,"Category2","Group2")</f>
        <v>0</v>
      </c>
      <c r="AC83" s="77">
        <f>+GETPIVOTDATA(" Tot # Instr. Old",'OLD Counts Pivot Table'!$A$3,"State","NC","Category",10,"Category2","Group2")</f>
        <v>0</v>
      </c>
      <c r="AD83" s="77">
        <f>+GETPIVOTDATA(" Tot # Instr. Old",'OLD Counts Pivot Table'!$A$3,"State","NC","Category",11,"Category2","Group2")</f>
        <v>0</v>
      </c>
      <c r="AE83" s="78">
        <f>+GETPIVOTDATA(" Tot # Instr. Old",'OLD Counts Pivot Table'!$A$3,"State","NC","Category2","Group2")</f>
        <v>0</v>
      </c>
      <c r="AF83" s="76">
        <f>+GETPIVOTDATA(" Tot # Instr. Old",'OLD Counts Pivot Table'!$A$3,"State","NC","Category",12,"Category2","Technical Institutes")</f>
        <v>0</v>
      </c>
      <c r="AG83" s="77">
        <f>+GETPIVOTDATA(" Tot # Instr. Old",'OLD Counts Pivot Table'!$A$3,"State","NC","Category",13,"Category2","Technical Institutes")</f>
        <v>0</v>
      </c>
      <c r="AH83" s="76">
        <f>+GETPIVOTDATA(" Tot # Instr. Old",'OLD Counts Pivot Table'!$A$3,"State","AR","Category2","Technical Institutes")</f>
        <v>0</v>
      </c>
    </row>
    <row r="84" spans="1:36" x14ac:dyDescent="0.2">
      <c r="A84" s="10"/>
      <c r="B84" s="18" t="s">
        <v>83</v>
      </c>
      <c r="C84" s="12">
        <f t="shared" si="41"/>
        <v>0.19695193434935521</v>
      </c>
      <c r="D84" s="14">
        <f t="shared" si="41"/>
        <v>0.22971548998946259</v>
      </c>
      <c r="E84" s="14">
        <f t="shared" si="41"/>
        <v>0.22473825176527878</v>
      </c>
      <c r="F84" s="14">
        <f t="shared" si="41"/>
        <v>0.11913357400722022</v>
      </c>
      <c r="G84" s="14">
        <f t="shared" si="41"/>
        <v>0.15625</v>
      </c>
      <c r="H84" s="40">
        <f t="shared" si="41"/>
        <v>0.21188630490956073</v>
      </c>
      <c r="I84" s="12">
        <f t="shared" si="41"/>
        <v>0.20653091864502204</v>
      </c>
      <c r="J84" s="12">
        <f t="shared" si="41"/>
        <v>0</v>
      </c>
      <c r="K84" s="14">
        <f t="shared" si="41"/>
        <v>0</v>
      </c>
      <c r="L84" s="14">
        <f t="shared" si="41"/>
        <v>0</v>
      </c>
      <c r="M84" s="14">
        <f t="shared" si="44"/>
        <v>0</v>
      </c>
      <c r="N84" s="12">
        <f t="shared" si="42"/>
        <v>0</v>
      </c>
      <c r="O84" s="12">
        <f t="shared" si="42"/>
        <v>0</v>
      </c>
      <c r="P84" s="14">
        <f t="shared" si="42"/>
        <v>0</v>
      </c>
      <c r="Q84" s="12">
        <f t="shared" si="43"/>
        <v>0</v>
      </c>
      <c r="R84" s="56"/>
      <c r="S84" s="76">
        <f>++GETPIVOTDATA(" Tot # Undes. Old",'OLD Counts Pivot Table'!$A$3,"State","NC","Category",1,"Category2","Four-Year")</f>
        <v>840</v>
      </c>
      <c r="T84" s="77">
        <f>+GETPIVOTDATA(" Tot # Undes. Old",'OLD Counts Pivot Table'!$A$3,"State","NC","Category",2,"Category2","Four-Year")</f>
        <v>218</v>
      </c>
      <c r="U84" s="77">
        <f>+GETPIVOTDATA(" Tot # Undes. Old",'OLD Counts Pivot Table'!$A$3,"State","NC","Category",3,"Category2","Four-Year")</f>
        <v>923</v>
      </c>
      <c r="V84" s="77">
        <f>+GETPIVOTDATA(" Tot # Undes. Old",'OLD Counts Pivot Table'!$A$3,"State","NC","Category",4,"Category2","Four-Year")</f>
        <v>33</v>
      </c>
      <c r="W84" s="77">
        <f>+GETPIVOTDATA(" Tot # Undes. Old",'OLD Counts Pivot Table'!$A$3,"State","NC","Category",5,"Category2","Four-Year")</f>
        <v>105</v>
      </c>
      <c r="X84" s="77">
        <f>+GETPIVOTDATA(" Tot # Undes. Old",'OLD Counts Pivot Table'!$A$3,"State","NC","Category",6,"Category2","Four-Year")</f>
        <v>82</v>
      </c>
      <c r="Y84" s="78">
        <f>+GETPIVOTDATA(" Tot # Undes. Old",'OLD Counts Pivot Table'!$A$3,"State","NC","Category2","Four-Year")</f>
        <v>2201</v>
      </c>
      <c r="Z84" s="76">
        <f>+GETPIVOTDATA(" Tot # Undes. Old",'OLD Counts Pivot Table'!$A$3,"State","NC","Category",7,"Category2","Group2")</f>
        <v>0</v>
      </c>
      <c r="AA84" s="77">
        <f>+GETPIVOTDATA(" Tot # Undes. Old",'OLD Counts Pivot Table'!$A$3,"State","NC","Category",8,"Category2","Group2")</f>
        <v>0</v>
      </c>
      <c r="AB84" s="77">
        <f>+GETPIVOTDATA(" Tot # Undes. Old",'OLD Counts Pivot Table'!$A$3,"State","NC","Category",9,"Category2","Group2")</f>
        <v>0</v>
      </c>
      <c r="AC84" s="77">
        <f>+GETPIVOTDATA(" Tot # Undes. Old",'OLD Counts Pivot Table'!$A$3,"State","NC","Category",10,"Category2","Group2")</f>
        <v>0</v>
      </c>
      <c r="AD84" s="77">
        <f>+GETPIVOTDATA(" Tot # Undes. Old",'OLD Counts Pivot Table'!$A$3,"State","NC","Category",11,"Category2","Group2")</f>
        <v>0</v>
      </c>
      <c r="AE84" s="78">
        <f>+GETPIVOTDATA(" Tot # Undes. Old",'OLD Counts Pivot Table'!$A$3,"State","NC","Category2","Group2")</f>
        <v>0</v>
      </c>
      <c r="AF84" s="76">
        <f>+GETPIVOTDATA(" Tot # Undes. Old",'OLD Counts Pivot Table'!$A$3,"State","NC","Category",12,"Category2","Technical Institutes")</f>
        <v>0</v>
      </c>
      <c r="AG84" s="77">
        <f>+GETPIVOTDATA(" Tot # Undes. Old",'OLD Counts Pivot Table'!$A$3,"State","NC","Category",13,"Category2","Technical Institutes")</f>
        <v>0</v>
      </c>
      <c r="AH84" s="76">
        <f>+GETPIVOTDATA(" Tot # Undes. Old",'OLD Counts Pivot Table'!$A$3,"State","AR","Category2","Technical Institutes")</f>
        <v>0</v>
      </c>
    </row>
    <row r="85" spans="1:36" x14ac:dyDescent="0.2">
      <c r="A85" s="10"/>
      <c r="B85" s="18" t="s">
        <v>82</v>
      </c>
      <c r="C85" s="12">
        <f t="shared" si="41"/>
        <v>0</v>
      </c>
      <c r="D85" s="14">
        <f t="shared" si="41"/>
        <v>0</v>
      </c>
      <c r="E85" s="103">
        <f t="shared" si="41"/>
        <v>0</v>
      </c>
      <c r="F85" s="14">
        <f t="shared" si="41"/>
        <v>0</v>
      </c>
      <c r="G85" s="103">
        <f t="shared" si="41"/>
        <v>0</v>
      </c>
      <c r="H85" s="40">
        <f t="shared" si="41"/>
        <v>0</v>
      </c>
      <c r="I85" s="102">
        <f t="shared" si="41"/>
        <v>0</v>
      </c>
      <c r="J85" s="12">
        <f t="shared" si="41"/>
        <v>0</v>
      </c>
      <c r="K85" s="14">
        <f t="shared" si="41"/>
        <v>1</v>
      </c>
      <c r="L85" s="14">
        <f t="shared" si="41"/>
        <v>1</v>
      </c>
      <c r="M85" s="14">
        <f t="shared" si="44"/>
        <v>1</v>
      </c>
      <c r="N85" s="12">
        <f t="shared" si="42"/>
        <v>1</v>
      </c>
      <c r="O85" s="12">
        <f t="shared" si="42"/>
        <v>0</v>
      </c>
      <c r="P85" s="14">
        <f t="shared" si="42"/>
        <v>0</v>
      </c>
      <c r="Q85" s="12">
        <f t="shared" si="43"/>
        <v>0</v>
      </c>
      <c r="R85" s="56"/>
      <c r="S85" s="76">
        <f>+GETPIVOTDATA(" Tot # Single Rnk Old",'OLD Counts Pivot Table'!$A$3,"State","NC","Category",1,"Category2","Four-Year")</f>
        <v>0</v>
      </c>
      <c r="T85" s="77">
        <f>+GETPIVOTDATA(" Tot # Single Rnk Old",'OLD Counts Pivot Table'!$A$3,"State","NC","Category",2,"Category2","Four-Year")</f>
        <v>0</v>
      </c>
      <c r="U85" s="77">
        <f>+GETPIVOTDATA(" Tot # Single Rnk Old",'OLD Counts Pivot Table'!$A$3,"State","NC","Category",3,"Category2","Four-Year")</f>
        <v>0</v>
      </c>
      <c r="V85" s="77">
        <f>+GETPIVOTDATA(" Tot # Single Rnk Old",'OLD Counts Pivot Table'!$A$3,"State","NC","Category",4,"Category2","Four-Year")</f>
        <v>0</v>
      </c>
      <c r="W85" s="77">
        <f>+GETPIVOTDATA(" Tot # Single Rnk Old",'OLD Counts Pivot Table'!$A$3,"State","NC","Category",5,"Category2","Four-Year")</f>
        <v>0</v>
      </c>
      <c r="X85" s="77">
        <f>+GETPIVOTDATA(" Tot # Single Rnk Old",'OLD Counts Pivot Table'!$A$3,"State","NC","Category",6,"Category2","Four-Year")</f>
        <v>0</v>
      </c>
      <c r="Y85" s="78">
        <f>+GETPIVOTDATA(" Tot # Single Rnk Old",'OLD Counts Pivot Table'!$A$3,"State","NC","Category2","Four-Year")</f>
        <v>0</v>
      </c>
      <c r="Z85" s="76">
        <f>+GETPIVOTDATA(" Tot # Single Rnk Old",'OLD Counts Pivot Table'!$A$3,"State","NC","Category",7,"Category2","Group2")</f>
        <v>0</v>
      </c>
      <c r="AA85" s="77">
        <f>+GETPIVOTDATA(" Tot # Single Rnk Old",'OLD Counts Pivot Table'!$A$3,"State","NC","Category",8,"Category2","Group2")</f>
        <v>2690</v>
      </c>
      <c r="AB85" s="77">
        <f>+GETPIVOTDATA(" Tot # Single Rnk Old",'OLD Counts Pivot Table'!$A$3,"State","NC","Category",9,"Category2","Group2")</f>
        <v>2770</v>
      </c>
      <c r="AC85" s="77">
        <f>+GETPIVOTDATA(" Tot # Single Rnk Old",'OLD Counts Pivot Table'!$A$3,"State","NC","Category",10,"Category2","Group2")</f>
        <v>1347</v>
      </c>
      <c r="AD85" s="77">
        <f>+GETPIVOTDATA(" Tot # Single Rnk Old",'OLD Counts Pivot Table'!$A$3,"State","NC","Category",11,"Category2","Group2")</f>
        <v>0</v>
      </c>
      <c r="AE85" s="78">
        <f>+GETPIVOTDATA(" Tot # Single Rnk Old",'OLD Counts Pivot Table'!$A$3,"State","NC","Category2","Group2")</f>
        <v>6807</v>
      </c>
      <c r="AF85" s="76">
        <f>+GETPIVOTDATA(" Tot # Single Rnk Old",'OLD Counts Pivot Table'!$A$3,"State","NC","Category",12,"Category2","Technical Institutes")</f>
        <v>0</v>
      </c>
      <c r="AG85" s="77">
        <f>+GETPIVOTDATA(" Tot # Single Rnk Old",'OLD Counts Pivot Table'!$A$3,"State","NC","Category",13,"Category2","Technical Institutes")</f>
        <v>0</v>
      </c>
      <c r="AH85" s="76">
        <f>+GETPIVOTDATA(" Tot # Single Rnk Old",'OLD Counts Pivot Table'!$A$3,"State","AR","Category2","Technical Institutes")</f>
        <v>0</v>
      </c>
    </row>
    <row r="86" spans="1:36" s="33" customFormat="1" x14ac:dyDescent="0.25">
      <c r="A86" s="109"/>
      <c r="B86" s="110" t="s">
        <v>84</v>
      </c>
      <c r="C86" s="13">
        <f t="shared" si="41"/>
        <v>1</v>
      </c>
      <c r="D86" s="11">
        <f t="shared" si="41"/>
        <v>1</v>
      </c>
      <c r="E86" s="11">
        <f t="shared" si="41"/>
        <v>1</v>
      </c>
      <c r="F86" s="11">
        <f t="shared" si="41"/>
        <v>1</v>
      </c>
      <c r="G86" s="11">
        <f t="shared" si="41"/>
        <v>1</v>
      </c>
      <c r="H86" s="41">
        <f t="shared" si="41"/>
        <v>1</v>
      </c>
      <c r="I86" s="13">
        <f t="shared" si="41"/>
        <v>1</v>
      </c>
      <c r="J86" s="13">
        <f t="shared" si="41"/>
        <v>0</v>
      </c>
      <c r="K86" s="11">
        <f t="shared" si="41"/>
        <v>1</v>
      </c>
      <c r="L86" s="11">
        <f t="shared" si="41"/>
        <v>1</v>
      </c>
      <c r="M86" s="11">
        <f t="shared" si="44"/>
        <v>1</v>
      </c>
      <c r="N86" s="13">
        <f t="shared" si="42"/>
        <v>1</v>
      </c>
      <c r="O86" s="13">
        <f t="shared" si="42"/>
        <v>0</v>
      </c>
      <c r="P86" s="11">
        <f t="shared" si="42"/>
        <v>0</v>
      </c>
      <c r="Q86" s="13">
        <f t="shared" si="43"/>
        <v>0</v>
      </c>
      <c r="R86" s="57"/>
      <c r="S86" s="79">
        <f>+GETPIVOTDATA(" All Ranks # Old",'OLD Counts Pivot Table'!$A$3,"State","NC","Category",1,"Category2","Four-Year")</f>
        <v>4265</v>
      </c>
      <c r="T86" s="80">
        <f>+GETPIVOTDATA(" All Ranks # Old",'OLD Counts Pivot Table'!$A$3,"State","NC","Category",2,"Category2","Four-Year")</f>
        <v>949</v>
      </c>
      <c r="U86" s="80">
        <f>+GETPIVOTDATA(" All Ranks # Old",'OLD Counts Pivot Table'!$A$3,"State","NC","Category",3,"Category2","Four-Year")</f>
        <v>4107</v>
      </c>
      <c r="V86" s="80">
        <f>+GETPIVOTDATA(" All Ranks # Old",'OLD Counts Pivot Table'!$A$3,"State","NC","Category",4,"Category2","Four-Year")</f>
        <v>277</v>
      </c>
      <c r="W86" s="80">
        <f>+GETPIVOTDATA(" All Ranks # Old",'OLD Counts Pivot Table'!$A$3,"State","NC","Category",5,"Category2","Four-Year")</f>
        <v>672</v>
      </c>
      <c r="X86" s="80">
        <f>+GETPIVOTDATA(" All Ranks # Old",'OLD Counts Pivot Table'!$A$3,"State","NC","Category",6,"Category2","Four-Year")</f>
        <v>387</v>
      </c>
      <c r="Y86" s="81">
        <f>+GETPIVOTDATA(" All Ranks # Old",'OLD Counts Pivot Table'!$A$3,"State","NC","Category2","Four-Year")</f>
        <v>10657</v>
      </c>
      <c r="Z86" s="79">
        <f>+GETPIVOTDATA(" All Ranks # Old",'OLD Counts Pivot Table'!$A$3,"State","NC","Category",7,"Category2","Group2")</f>
        <v>0</v>
      </c>
      <c r="AA86" s="80">
        <f>+GETPIVOTDATA(" All Ranks # Old",'OLD Counts Pivot Table'!$A$3,"State","NC","Category",8,"Category2","Group2")</f>
        <v>2690</v>
      </c>
      <c r="AB86" s="80">
        <f>+GETPIVOTDATA(" All Ranks # Old",'OLD Counts Pivot Table'!$A$3,"State","NC","Category",9,"Category2","Group2")</f>
        <v>2770</v>
      </c>
      <c r="AC86" s="80">
        <f>+GETPIVOTDATA(" All Ranks # Old",'OLD Counts Pivot Table'!$A$3,"State","NC","Category",10,"Category2","Group2")</f>
        <v>1347</v>
      </c>
      <c r="AD86" s="80">
        <f>+GETPIVOTDATA(" All Ranks # Old",'OLD Counts Pivot Table'!$A$3,"State","NC","Category",11,"Category2","Group2")</f>
        <v>0</v>
      </c>
      <c r="AE86" s="81">
        <f>+GETPIVOTDATA(" All Ranks # Old",'OLD Counts Pivot Table'!$A$3,"State","NC","Category2","Group2")</f>
        <v>6807</v>
      </c>
      <c r="AF86" s="79">
        <f>+GETPIVOTDATA(" All Ranks # Old",'OLD Counts Pivot Table'!$A$3,"State","NC","Category",12,"Category2","Technical Institutes")</f>
        <v>0</v>
      </c>
      <c r="AG86" s="80">
        <f>+GETPIVOTDATA(" All Ranks # Old",'OLD Counts Pivot Table'!$A$3,"State","NC","Category",13,"Category2","Technical Institutes")</f>
        <v>0</v>
      </c>
      <c r="AH86" s="79">
        <f>+GETPIVOTDATA(" All Ranks # Old",'OLD Counts Pivot Table'!$A$3,"State","AR","Category2","Technical Institutes")</f>
        <v>0</v>
      </c>
      <c r="AI86" s="82"/>
      <c r="AJ86" s="82"/>
    </row>
    <row r="87" spans="1:36" x14ac:dyDescent="0.2">
      <c r="A87" s="18" t="s">
        <v>79</v>
      </c>
      <c r="B87" s="15" t="s">
        <v>99</v>
      </c>
      <c r="C87" s="16">
        <f t="shared" ref="C87:M93" si="45">IF(S$93&gt;0,(S87/S$93),0)</f>
        <v>0.33983422720624085</v>
      </c>
      <c r="D87" s="17">
        <f t="shared" si="45"/>
        <v>0</v>
      </c>
      <c r="E87" s="17">
        <f t="shared" si="45"/>
        <v>0.29705505761843792</v>
      </c>
      <c r="F87" s="17">
        <f t="shared" si="45"/>
        <v>0</v>
      </c>
      <c r="G87" s="17">
        <f t="shared" si="45"/>
        <v>0.21297297297297296</v>
      </c>
      <c r="H87" s="39">
        <f t="shared" si="45"/>
        <v>0.14953271028037382</v>
      </c>
      <c r="I87" s="16">
        <f t="shared" si="45"/>
        <v>0.29161420297154367</v>
      </c>
      <c r="J87" s="16">
        <f t="shared" si="45"/>
        <v>0</v>
      </c>
      <c r="K87" s="17">
        <f t="shared" si="45"/>
        <v>0</v>
      </c>
      <c r="L87" s="17">
        <f t="shared" si="45"/>
        <v>0</v>
      </c>
      <c r="M87" s="17">
        <f t="shared" si="45"/>
        <v>0</v>
      </c>
      <c r="N87" s="16">
        <f t="shared" ref="N87:P93" si="46">IF(AE$93&gt;0,(AE87/AE$93),0)</f>
        <v>0</v>
      </c>
      <c r="O87" s="91">
        <f t="shared" si="46"/>
        <v>0</v>
      </c>
      <c r="P87" s="17">
        <f t="shared" si="46"/>
        <v>0</v>
      </c>
      <c r="Q87" s="91">
        <f t="shared" ref="Q87:Q93" si="47">IF(AH$93&gt;0,(AH87/AH$93),0)</f>
        <v>0</v>
      </c>
      <c r="R87" s="83"/>
      <c r="S87" s="73">
        <f>+GETPIVOTDATA(" Total # Prof Old",'OLD Counts Pivot Table'!$A$3,"State","OK","Category",1,"Category2","Four-Year")</f>
        <v>697</v>
      </c>
      <c r="T87" s="74">
        <f>+GETPIVOTDATA(" Total # Prof Old",'OLD Counts Pivot Table'!$A$3,"State","OK","Category",2,"Category2","Four-Year")</f>
        <v>0</v>
      </c>
      <c r="U87" s="74">
        <f>+GETPIVOTDATA(" Total # Prof Old",'OLD Counts Pivot Table'!$A$3,"State","OK","Category",3,"Category2","Four-Year")</f>
        <v>232</v>
      </c>
      <c r="V87" s="74">
        <f>+GETPIVOTDATA(" Total # Prof Old",'OLD Counts Pivot Table'!$A$3,"State","OK","Category",4,"Category2","Four-Year")</f>
        <v>0</v>
      </c>
      <c r="W87" s="74">
        <f>+GETPIVOTDATA(" Total # Prof Old",'OLD Counts Pivot Table'!$A$3,"State","OK","Category",5,"Category2","Four-Year")</f>
        <v>197</v>
      </c>
      <c r="X87" s="74">
        <f>+GETPIVOTDATA(" Total # Prof Old",'OLD Counts Pivot Table'!$A$3,"State","OK","Category",6,"Category2","Four-Year")</f>
        <v>32</v>
      </c>
      <c r="Y87" s="75">
        <f>+GETPIVOTDATA(" Total # Prof Old",'OLD Counts Pivot Table'!$A$3,"State","OK","Category2","Four-Year")</f>
        <v>1158</v>
      </c>
      <c r="Z87" s="73">
        <f>+GETPIVOTDATA(" Total # Prof Old",'OLD Counts Pivot Table'!$A$3,"State","OK","Category",7,"Category2","Group2")</f>
        <v>0</v>
      </c>
      <c r="AA87" s="74">
        <f>+GETPIVOTDATA(" Total # Prof Old",'OLD Counts Pivot Table'!$A$3,"State","OK","Category",8,"Category2","Group2")</f>
        <v>0</v>
      </c>
      <c r="AB87" s="74">
        <f>+GETPIVOTDATA(" Total # Prof Old",'OLD Counts Pivot Table'!$A$3,"State","OK","Category",9,"Category2","Group2")</f>
        <v>0</v>
      </c>
      <c r="AC87" s="74">
        <f>+GETPIVOTDATA(" Total # Prof Old",'OLD Counts Pivot Table'!$A$3,"State","OK","Category",10,"Category2","Group2")</f>
        <v>0</v>
      </c>
      <c r="AD87" s="74">
        <f>+GETPIVOTDATA(" Total # Prof Old",'OLD Counts Pivot Table'!$A$3,"State","OK","Category",11,"Category2","Group2")</f>
        <v>0</v>
      </c>
      <c r="AE87" s="75">
        <f>+GETPIVOTDATA(" Total # Prof Old",'OLD Counts Pivot Table'!$A$3,"State","OK","Category2","Group2")</f>
        <v>0</v>
      </c>
      <c r="AF87" s="73">
        <f>+GETPIVOTDATA(" Total # Prof Old",'OLD Counts Pivot Table'!$A$3,"State","OK","Category",12,"Category2","Technical Institutes")</f>
        <v>0</v>
      </c>
      <c r="AG87" s="74">
        <f>+GETPIVOTDATA(" Total # Prof Old",'OLD Counts Pivot Table'!$A$3,"State","OK","Category",13,"Category2","Technical Institutes")</f>
        <v>0</v>
      </c>
      <c r="AH87" s="73">
        <f>+GETPIVOTDATA(" Total # Prof Old",'OLD Counts Pivot Table'!$A$3,"State","AR","Category2","Technical Institutes")</f>
        <v>0</v>
      </c>
    </row>
    <row r="88" spans="1:36" x14ac:dyDescent="0.2">
      <c r="A88" s="10"/>
      <c r="B88" s="18" t="s">
        <v>100</v>
      </c>
      <c r="C88" s="12">
        <f t="shared" si="45"/>
        <v>0.27157484154071188</v>
      </c>
      <c r="D88" s="14">
        <f t="shared" si="45"/>
        <v>0</v>
      </c>
      <c r="E88" s="14">
        <f t="shared" si="45"/>
        <v>0.1946222791293214</v>
      </c>
      <c r="F88" s="14">
        <f t="shared" si="45"/>
        <v>0</v>
      </c>
      <c r="G88" s="14">
        <f t="shared" si="45"/>
        <v>0.20432432432432432</v>
      </c>
      <c r="H88" s="40">
        <f t="shared" si="45"/>
        <v>0.26168224299065418</v>
      </c>
      <c r="I88" s="12">
        <f t="shared" si="45"/>
        <v>0.24024175270712667</v>
      </c>
      <c r="J88" s="12">
        <f t="shared" si="45"/>
        <v>0</v>
      </c>
      <c r="K88" s="14">
        <f t="shared" si="45"/>
        <v>0</v>
      </c>
      <c r="L88" s="14">
        <f t="shared" si="45"/>
        <v>0</v>
      </c>
      <c r="M88" s="14">
        <f t="shared" ref="M88:M93" si="48">IF(AC$93&gt;0,(AC88/AC$93),0)</f>
        <v>0</v>
      </c>
      <c r="N88" s="154">
        <f t="shared" si="46"/>
        <v>0</v>
      </c>
      <c r="O88" s="12">
        <f t="shared" si="46"/>
        <v>0</v>
      </c>
      <c r="P88" s="14">
        <f t="shared" si="46"/>
        <v>0</v>
      </c>
      <c r="Q88" s="12">
        <f t="shared" si="47"/>
        <v>0</v>
      </c>
      <c r="R88" s="56"/>
      <c r="S88" s="76">
        <f>+GETPIVOTDATA(" Tot # Asc. Prof Old",'OLD Counts Pivot Table'!$A$3,"State","OK","Category",1,"Category2","Four-Year")</f>
        <v>557</v>
      </c>
      <c r="T88" s="77">
        <f>+GETPIVOTDATA(" Tot # Asc. Prof Old",'OLD Counts Pivot Table'!$A$3,"State","OK","Category",2,"Category2","Four-Year")</f>
        <v>0</v>
      </c>
      <c r="U88" s="77">
        <f>+GETPIVOTDATA(" Tot # Asc. Prof Old",'OLD Counts Pivot Table'!$A$3,"State","OK","Category",3,"Category2","Four-Year")</f>
        <v>152</v>
      </c>
      <c r="V88" s="77">
        <f>+GETPIVOTDATA(" Tot # Asc. Prof Old",'OLD Counts Pivot Table'!$A$3,"State","OK","Category",4,"Category2","Four-Year")</f>
        <v>0</v>
      </c>
      <c r="W88" s="77">
        <f>+GETPIVOTDATA(" Tot # Asc. Prof Old",'OLD Counts Pivot Table'!$A$3,"State","OK","Category",5,"Category2","Four-Year")</f>
        <v>189</v>
      </c>
      <c r="X88" s="77">
        <f>+GETPIVOTDATA(" Tot # Asc. Prof Old",'OLD Counts Pivot Table'!$A$3,"State","OK","Category",6,"Category2","Four-Year")</f>
        <v>56</v>
      </c>
      <c r="Y88" s="78">
        <f>+GETPIVOTDATA(" Tot # Asc. Prof Old",'OLD Counts Pivot Table'!$A$3,"State","OK","Category2","Four-Year")</f>
        <v>954</v>
      </c>
      <c r="Z88" s="76">
        <f>+GETPIVOTDATA(" Tot # Asc. Prof Old",'OLD Counts Pivot Table'!$A$3,"State","OK","Category",7,"Category2","Group2")</f>
        <v>0</v>
      </c>
      <c r="AA88" s="77">
        <f>+GETPIVOTDATA(" Tot # Asc. Prof Old",'OLD Counts Pivot Table'!$A$3,"State","OK","Category",8,"Category2","Group2")</f>
        <v>0</v>
      </c>
      <c r="AB88" s="77">
        <f>+GETPIVOTDATA(" Tot # Asc. Prof Old",'OLD Counts Pivot Table'!$A$3,"State","OK","Category",9,"Category2","Group2")</f>
        <v>0</v>
      </c>
      <c r="AC88" s="77">
        <f>+GETPIVOTDATA(" Tot # Asc. Prof Old",'OLD Counts Pivot Table'!$A$3,"State","OK","Category",10,"Category2","Group2")</f>
        <v>0</v>
      </c>
      <c r="AD88" s="77">
        <f>+GETPIVOTDATA(" Tot # Asc. Prof Old",'OLD Counts Pivot Table'!$A$3,"State","OK","Category",11,"Category2","Group2")</f>
        <v>0</v>
      </c>
      <c r="AE88" s="78">
        <f>+GETPIVOTDATA(" Tot # Asc. Prof Old",'OLD Counts Pivot Table'!$A$3,"State","OK","Category2","Group2")</f>
        <v>0</v>
      </c>
      <c r="AF88" s="76">
        <f>+GETPIVOTDATA(" Tot # Asc. Prof Old",'OLD Counts Pivot Table'!$A$3,"State","OK","Category",12,"Category2","Technical Institutes")</f>
        <v>0</v>
      </c>
      <c r="AG88" s="77">
        <f>+GETPIVOTDATA(" Tot # Asc. Prof Old",'OLD Counts Pivot Table'!$A$3,"State","OK","Category",13,"Category2","Technical Institutes")</f>
        <v>0</v>
      </c>
      <c r="AH88" s="76">
        <f>+GETPIVOTDATA(" Tot # Asc. Prof Old",'OLD Counts Pivot Table'!$A$3,"State","AR","Category2","Technical Institutes")</f>
        <v>0</v>
      </c>
    </row>
    <row r="89" spans="1:36" x14ac:dyDescent="0.2">
      <c r="A89" s="10"/>
      <c r="B89" s="18" t="s">
        <v>101</v>
      </c>
      <c r="C89" s="12">
        <f t="shared" si="45"/>
        <v>0.24475865431496832</v>
      </c>
      <c r="D89" s="14">
        <f t="shared" si="45"/>
        <v>0</v>
      </c>
      <c r="E89" s="14">
        <f t="shared" si="45"/>
        <v>0.27528809218950062</v>
      </c>
      <c r="F89" s="14">
        <f t="shared" si="45"/>
        <v>0</v>
      </c>
      <c r="G89" s="14">
        <f t="shared" si="45"/>
        <v>0.28540540540540543</v>
      </c>
      <c r="H89" s="40">
        <f t="shared" si="45"/>
        <v>0.30841121495327101</v>
      </c>
      <c r="I89" s="12">
        <f t="shared" si="45"/>
        <v>0.26366154621002269</v>
      </c>
      <c r="J89" s="12">
        <f t="shared" si="45"/>
        <v>0</v>
      </c>
      <c r="K89" s="14">
        <f t="shared" si="45"/>
        <v>0</v>
      </c>
      <c r="L89" s="14">
        <f t="shared" si="45"/>
        <v>0</v>
      </c>
      <c r="M89" s="14">
        <f t="shared" si="48"/>
        <v>0</v>
      </c>
      <c r="N89" s="12">
        <f t="shared" si="46"/>
        <v>0</v>
      </c>
      <c r="O89" s="12">
        <f t="shared" si="46"/>
        <v>0</v>
      </c>
      <c r="P89" s="14">
        <f t="shared" si="46"/>
        <v>0</v>
      </c>
      <c r="Q89" s="12">
        <f t="shared" si="47"/>
        <v>0</v>
      </c>
      <c r="R89" s="56"/>
      <c r="S89" s="76">
        <f>+GETPIVOTDATA(" Tot # Ast. Prof Old",'OLD Counts Pivot Table'!$A$3,"State","OK","Category",1,"Category2","Four-Year")</f>
        <v>502</v>
      </c>
      <c r="T89" s="77">
        <f>+GETPIVOTDATA(" Tot # Ast. Prof Old",'OLD Counts Pivot Table'!$A$3,"State","OK","Category",2,"Category2","Four-Year")</f>
        <v>0</v>
      </c>
      <c r="U89" s="77">
        <f>+GETPIVOTDATA(" Tot # Ast. Prof Old",'OLD Counts Pivot Table'!$A$3,"State","OK","Category",3,"Category2","Four-Year")</f>
        <v>215</v>
      </c>
      <c r="V89" s="77">
        <f>+GETPIVOTDATA(" Tot # Ast. Prof Old",'OLD Counts Pivot Table'!$A$3,"State","OK","Category",4,"Category2","Four-Year")</f>
        <v>0</v>
      </c>
      <c r="W89" s="77">
        <f>+GETPIVOTDATA(" Tot # Ast. Prof Old",'OLD Counts Pivot Table'!$A$3,"State","OK","Category",5,"Category2","Four-Year")</f>
        <v>264</v>
      </c>
      <c r="X89" s="77">
        <f>+GETPIVOTDATA(" Tot # Ast. Prof Old",'OLD Counts Pivot Table'!$A$3,"State","OK","Category",6,"Category2","Four-Year")</f>
        <v>66</v>
      </c>
      <c r="Y89" s="78">
        <f>+GETPIVOTDATA(" Tot # Ast. Prof Old",'OLD Counts Pivot Table'!$A$3,"State","OK","Category2","Four-Year")</f>
        <v>1047</v>
      </c>
      <c r="Z89" s="76">
        <f>+GETPIVOTDATA(" Tot # Ast. Prof Old",'OLD Counts Pivot Table'!$A$3,"State","OK","Category",7,"Category2","Group2")</f>
        <v>0</v>
      </c>
      <c r="AA89" s="77">
        <f>+GETPIVOTDATA(" Tot # Ast. Prof Old",'OLD Counts Pivot Table'!$A$3,"State","OK","Category",8,"Category2","Group2")</f>
        <v>0</v>
      </c>
      <c r="AB89" s="77">
        <f>+GETPIVOTDATA(" Tot # Ast. Prof Old",'OLD Counts Pivot Table'!$A$3,"State","OK","Category",9,"Category2","Group2")</f>
        <v>0</v>
      </c>
      <c r="AC89" s="77">
        <f>+GETPIVOTDATA(" Tot # Ast. Prof Old",'OLD Counts Pivot Table'!$A$3,"State","OK","Category",10,"Category2","Group2")</f>
        <v>0</v>
      </c>
      <c r="AD89" s="77">
        <f>+GETPIVOTDATA(" Tot # Ast. Prof Old",'OLD Counts Pivot Table'!$A$3,"State","OK","Category",11,"Category2","Group2")</f>
        <v>0</v>
      </c>
      <c r="AE89" s="78">
        <f>+GETPIVOTDATA(" Tot # Ast. Prof Old",'OLD Counts Pivot Table'!$A$3,"State","OK","Category2","Group2")</f>
        <v>0</v>
      </c>
      <c r="AF89" s="76">
        <f>+GETPIVOTDATA(" Tot # Ast. Prof Old",'OLD Counts Pivot Table'!$A$3,"State","OK","Category",12,"Category2","Technical Institutes")</f>
        <v>0</v>
      </c>
      <c r="AG89" s="77">
        <f>+GETPIVOTDATA(" Tot # Ast. Prof Old",'OLD Counts Pivot Table'!$A$3,"State","OK","Category",13,"Category2","Technical Institutes")</f>
        <v>0</v>
      </c>
      <c r="AH89" s="76">
        <f>+GETPIVOTDATA(" Tot # Ast. Prof Old",'OLD Counts Pivot Table'!$A$3,"State","AR","Category2","Technical Institutes")</f>
        <v>0</v>
      </c>
    </row>
    <row r="90" spans="1:36" x14ac:dyDescent="0.2">
      <c r="A90" s="10"/>
      <c r="B90" s="18" t="s">
        <v>102</v>
      </c>
      <c r="C90" s="12">
        <f t="shared" si="45"/>
        <v>0.14383227693807898</v>
      </c>
      <c r="D90" s="14">
        <f t="shared" si="45"/>
        <v>0</v>
      </c>
      <c r="E90" s="14">
        <f t="shared" si="45"/>
        <v>0.23303457106274009</v>
      </c>
      <c r="F90" s="14">
        <f t="shared" si="45"/>
        <v>0</v>
      </c>
      <c r="G90" s="14">
        <f t="shared" si="45"/>
        <v>0.29729729729729731</v>
      </c>
      <c r="H90" s="40">
        <f t="shared" si="45"/>
        <v>0.28037383177570091</v>
      </c>
      <c r="I90" s="12">
        <f t="shared" si="45"/>
        <v>0.20448249811130698</v>
      </c>
      <c r="J90" s="12">
        <f t="shared" si="45"/>
        <v>0</v>
      </c>
      <c r="K90" s="14">
        <f t="shared" si="45"/>
        <v>0</v>
      </c>
      <c r="L90" s="14">
        <f t="shared" si="45"/>
        <v>0</v>
      </c>
      <c r="M90" s="14">
        <f t="shared" si="48"/>
        <v>0</v>
      </c>
      <c r="N90" s="12">
        <f t="shared" si="46"/>
        <v>0</v>
      </c>
      <c r="O90" s="12">
        <f t="shared" si="46"/>
        <v>0</v>
      </c>
      <c r="P90" s="14">
        <f t="shared" si="46"/>
        <v>0</v>
      </c>
      <c r="Q90" s="12">
        <f t="shared" si="47"/>
        <v>0</v>
      </c>
      <c r="R90" s="56"/>
      <c r="S90" s="76">
        <f>+GETPIVOTDATA(" Tot # Instr. Old",'OLD Counts Pivot Table'!$A$3,"State","OK","Category",1,"Category2","Four-Year")</f>
        <v>295</v>
      </c>
      <c r="T90" s="77">
        <f>+GETPIVOTDATA(" Tot # Instr. Old",'OLD Counts Pivot Table'!$A$3,"State","OK","Category",2,"Category2","Four-Year")</f>
        <v>0</v>
      </c>
      <c r="U90" s="77">
        <f>+GETPIVOTDATA(" Tot # Instr. Old",'OLD Counts Pivot Table'!$A$3,"State","OK","Category",3,"Category2","Four-Year")</f>
        <v>182</v>
      </c>
      <c r="V90" s="77">
        <f>+GETPIVOTDATA(" Tot # Instr. Old",'OLD Counts Pivot Table'!$A$3,"State","OK","Category",4,"Category2","Four-Year")</f>
        <v>0</v>
      </c>
      <c r="W90" s="77">
        <f>+GETPIVOTDATA(" Tot # Instr. Old",'OLD Counts Pivot Table'!$A$3,"State","OK","Category",5,"Category2","Four-Year")</f>
        <v>275</v>
      </c>
      <c r="X90" s="77">
        <f>+GETPIVOTDATA(" Tot # Instr. Old",'OLD Counts Pivot Table'!$A$3,"State","OK","Category",6,"Category2","Four-Year")</f>
        <v>60</v>
      </c>
      <c r="Y90" s="78">
        <f>+GETPIVOTDATA(" Tot # Instr. Old",'OLD Counts Pivot Table'!$A$3,"State","OK","Category2","Four-Year")</f>
        <v>812</v>
      </c>
      <c r="Z90" s="76">
        <f>+GETPIVOTDATA(" Tot # Instr. Old",'OLD Counts Pivot Table'!$A$3,"State","OK","Category",7,"Category2","Group2")</f>
        <v>0</v>
      </c>
      <c r="AA90" s="77">
        <f>+GETPIVOTDATA(" Tot # Instr. Old",'OLD Counts Pivot Table'!$A$3,"State","OK","Category",8,"Category2","Group2")</f>
        <v>0</v>
      </c>
      <c r="AB90" s="77">
        <f>+GETPIVOTDATA(" Tot # Instr. Old",'OLD Counts Pivot Table'!$A$3,"State","OK","Category",9,"Category2","Group2")</f>
        <v>0</v>
      </c>
      <c r="AC90" s="77">
        <f>+GETPIVOTDATA(" Tot # Instr. Old",'OLD Counts Pivot Table'!$A$3,"State","OK","Category",10,"Category2","Group2")</f>
        <v>0</v>
      </c>
      <c r="AD90" s="77">
        <f>+GETPIVOTDATA(" Tot # Instr. Old",'OLD Counts Pivot Table'!$A$3,"State","OK","Category",11,"Category2","Group2")</f>
        <v>0</v>
      </c>
      <c r="AE90" s="78">
        <f>+GETPIVOTDATA(" Tot # Instr. Old",'OLD Counts Pivot Table'!$A$3,"State","OK","Category2","Group2")</f>
        <v>0</v>
      </c>
      <c r="AF90" s="76">
        <f>+GETPIVOTDATA(" Tot # Instr. Old",'OLD Counts Pivot Table'!$A$3,"State","OK","Category",12,"Category2","Technical Institutes")</f>
        <v>0</v>
      </c>
      <c r="AG90" s="77">
        <f>+GETPIVOTDATA(" Tot # Instr. Old",'OLD Counts Pivot Table'!$A$3,"State","OK","Category",13,"Category2","Technical Institutes")</f>
        <v>0</v>
      </c>
      <c r="AH90" s="76">
        <f>+GETPIVOTDATA(" Tot # Instr. Old",'OLD Counts Pivot Table'!$A$3,"State","AR","Category2","Technical Institutes")</f>
        <v>0</v>
      </c>
    </row>
    <row r="91" spans="1:36" x14ac:dyDescent="0.2">
      <c r="A91" s="10"/>
      <c r="B91" s="18" t="s">
        <v>83</v>
      </c>
      <c r="C91" s="12">
        <f t="shared" si="45"/>
        <v>0</v>
      </c>
      <c r="D91" s="14">
        <f t="shared" si="45"/>
        <v>0</v>
      </c>
      <c r="E91" s="14">
        <f t="shared" si="45"/>
        <v>0</v>
      </c>
      <c r="F91" s="14">
        <f t="shared" si="45"/>
        <v>0</v>
      </c>
      <c r="G91" s="14">
        <f t="shared" si="45"/>
        <v>0</v>
      </c>
      <c r="H91" s="40">
        <f t="shared" si="45"/>
        <v>0</v>
      </c>
      <c r="I91" s="12">
        <f t="shared" si="45"/>
        <v>0</v>
      </c>
      <c r="J91" s="12">
        <f t="shared" si="45"/>
        <v>0</v>
      </c>
      <c r="K91" s="14">
        <f t="shared" si="45"/>
        <v>0</v>
      </c>
      <c r="L91" s="14">
        <f t="shared" si="45"/>
        <v>0</v>
      </c>
      <c r="M91" s="14">
        <f t="shared" si="48"/>
        <v>0</v>
      </c>
      <c r="N91" s="12">
        <f t="shared" si="46"/>
        <v>0</v>
      </c>
      <c r="O91" s="12">
        <f t="shared" si="46"/>
        <v>0</v>
      </c>
      <c r="P91" s="14">
        <f t="shared" si="46"/>
        <v>0</v>
      </c>
      <c r="Q91" s="12">
        <f t="shared" si="47"/>
        <v>0</v>
      </c>
      <c r="R91" s="56"/>
      <c r="S91" s="76">
        <f>++GETPIVOTDATA(" Tot # Undes. Old",'OLD Counts Pivot Table'!$A$3,"State","OK","Category",1,"Category2","Four-Year")</f>
        <v>0</v>
      </c>
      <c r="T91" s="77">
        <f>+GETPIVOTDATA(" Tot # Undes. Old",'OLD Counts Pivot Table'!$A$3,"State","OK","Category",2,"Category2","Four-Year")</f>
        <v>0</v>
      </c>
      <c r="U91" s="77">
        <f>+GETPIVOTDATA(" Tot # Undes. Old",'OLD Counts Pivot Table'!$A$3,"State","OK","Category",3,"Category2","Four-Year")</f>
        <v>0</v>
      </c>
      <c r="V91" s="77">
        <f>+GETPIVOTDATA(" Tot # Undes. Old",'OLD Counts Pivot Table'!$A$3,"State","OK","Category",4,"Category2","Four-Year")</f>
        <v>0</v>
      </c>
      <c r="W91" s="77">
        <f>+GETPIVOTDATA(" Tot # Undes. Old",'OLD Counts Pivot Table'!$A$3,"State","OK","Category",5,"Category2","Four-Year")</f>
        <v>0</v>
      </c>
      <c r="X91" s="77">
        <f>+GETPIVOTDATA(" Tot # Undes. Old",'OLD Counts Pivot Table'!$A$3,"State","OK","Category",6,"Category2","Four-Year")</f>
        <v>0</v>
      </c>
      <c r="Y91" s="78">
        <f>+GETPIVOTDATA(" Tot # Undes. Old",'OLD Counts Pivot Table'!$A$3,"State","OK","Category2","Four-Year")</f>
        <v>0</v>
      </c>
      <c r="Z91" s="76">
        <f>+GETPIVOTDATA(" Tot # Undes. Old",'OLD Counts Pivot Table'!$A$3,"State","OK","Category",7,"Category2","Group2")</f>
        <v>0</v>
      </c>
      <c r="AA91" s="77">
        <f>+GETPIVOTDATA(" Tot # Undes. Old",'OLD Counts Pivot Table'!$A$3,"State","OK","Category",8,"Category2","Group2")</f>
        <v>0</v>
      </c>
      <c r="AB91" s="77">
        <f>+GETPIVOTDATA(" Tot # Undes. Old",'OLD Counts Pivot Table'!$A$3,"State","OK","Category",9,"Category2","Group2")</f>
        <v>0</v>
      </c>
      <c r="AC91" s="77">
        <f>+GETPIVOTDATA(" Tot # Undes. Old",'OLD Counts Pivot Table'!$A$3,"State","OK","Category",10,"Category2","Group2")</f>
        <v>0</v>
      </c>
      <c r="AD91" s="77">
        <f>+GETPIVOTDATA(" Tot # Undes. Old",'OLD Counts Pivot Table'!$A$3,"State","OK","Category",11,"Category2","Group2")</f>
        <v>0</v>
      </c>
      <c r="AE91" s="78">
        <f>+GETPIVOTDATA(" Tot # Undes. Old",'OLD Counts Pivot Table'!$A$3,"State","OK","Category2","Group2")</f>
        <v>0</v>
      </c>
      <c r="AF91" s="76">
        <f>+GETPIVOTDATA(" Tot # Undes. Old",'OLD Counts Pivot Table'!$A$3,"State","OK","Category",12,"Category2","Technical Institutes")</f>
        <v>0</v>
      </c>
      <c r="AG91" s="77">
        <f>+GETPIVOTDATA(" Tot # Undes. Old",'OLD Counts Pivot Table'!$A$3,"State","OK","Category",13,"Category2","Technical Institutes")</f>
        <v>0</v>
      </c>
      <c r="AH91" s="76">
        <f>+GETPIVOTDATA(" Tot # Undes. Old",'OLD Counts Pivot Table'!$A$3,"State","AR","Category2","Technical Institutes")</f>
        <v>0</v>
      </c>
    </row>
    <row r="92" spans="1:36" x14ac:dyDescent="0.2">
      <c r="A92" s="10"/>
      <c r="B92" s="18" t="s">
        <v>82</v>
      </c>
      <c r="C92" s="12">
        <f t="shared" si="45"/>
        <v>0</v>
      </c>
      <c r="D92" s="14">
        <f t="shared" si="45"/>
        <v>0</v>
      </c>
      <c r="E92" s="103">
        <f t="shared" si="45"/>
        <v>0</v>
      </c>
      <c r="F92" s="14">
        <f t="shared" si="45"/>
        <v>0</v>
      </c>
      <c r="G92" s="103">
        <f t="shared" si="45"/>
        <v>0</v>
      </c>
      <c r="H92" s="40">
        <f t="shared" si="45"/>
        <v>0</v>
      </c>
      <c r="I92" s="102">
        <f t="shared" si="45"/>
        <v>0</v>
      </c>
      <c r="J92" s="12">
        <f t="shared" si="45"/>
        <v>1</v>
      </c>
      <c r="K92" s="14">
        <f t="shared" si="45"/>
        <v>1</v>
      </c>
      <c r="L92" s="14">
        <f t="shared" si="45"/>
        <v>1</v>
      </c>
      <c r="M92" s="14">
        <f t="shared" si="48"/>
        <v>1</v>
      </c>
      <c r="N92" s="12">
        <f t="shared" si="46"/>
        <v>1</v>
      </c>
      <c r="O92" s="12">
        <f t="shared" si="46"/>
        <v>1</v>
      </c>
      <c r="P92" s="14">
        <f t="shared" si="46"/>
        <v>1</v>
      </c>
      <c r="Q92" s="12">
        <f t="shared" si="47"/>
        <v>0</v>
      </c>
      <c r="R92" s="56"/>
      <c r="S92" s="76">
        <f>+GETPIVOTDATA(" Tot # Single Rnk Old",'OLD Counts Pivot Table'!$A$3,"State","OK","Category",1,"Category2","Four-Year")</f>
        <v>0</v>
      </c>
      <c r="T92" s="77">
        <f>+GETPIVOTDATA(" Tot # Single Rnk Old",'OLD Counts Pivot Table'!$A$3,"State","OK","Category",2,"Category2","Four-Year")</f>
        <v>0</v>
      </c>
      <c r="U92" s="77">
        <f>+GETPIVOTDATA(" Tot # Single Rnk Old",'OLD Counts Pivot Table'!$A$3,"State","OK","Category",3,"Category2","Four-Year")</f>
        <v>0</v>
      </c>
      <c r="V92" s="77">
        <f>+GETPIVOTDATA(" Tot # Single Rnk Old",'OLD Counts Pivot Table'!$A$3,"State","OK","Category",4,"Category2","Four-Year")</f>
        <v>0</v>
      </c>
      <c r="W92" s="77">
        <f>+GETPIVOTDATA(" Tot # Single Rnk Old",'OLD Counts Pivot Table'!$A$3,"State","OK","Category",5,"Category2","Four-Year")</f>
        <v>0</v>
      </c>
      <c r="X92" s="77">
        <f>+GETPIVOTDATA(" Tot # Single Rnk Old",'OLD Counts Pivot Table'!$A$3,"State","OK","Category",6,"Category2","Four-Year")</f>
        <v>0</v>
      </c>
      <c r="Y92" s="78">
        <f>+GETPIVOTDATA(" Tot # Single Rnk Old",'OLD Counts Pivot Table'!$A$3,"State","OK","Category2","Four-Year")</f>
        <v>0</v>
      </c>
      <c r="Z92" s="76">
        <f>+GETPIVOTDATA(" Tot # Single Rnk Old",'OLD Counts Pivot Table'!$A$3,"State","OK","Category",7,"Category2","Group2")</f>
        <v>204</v>
      </c>
      <c r="AA92" s="77">
        <f>+GETPIVOTDATA(" Tot # Single Rnk Old",'OLD Counts Pivot Table'!$A$3,"State","OK","Category",8,"Category2","Group2")</f>
        <v>561</v>
      </c>
      <c r="AB92" s="77">
        <f>+GETPIVOTDATA(" Tot # Single Rnk Old",'OLD Counts Pivot Table'!$A$3,"State","OK","Category",9,"Category2","Group2")</f>
        <v>95</v>
      </c>
      <c r="AC92" s="77">
        <f>+GETPIVOTDATA(" Tot # Single Rnk Old",'OLD Counts Pivot Table'!$A$3,"State","OK","Category",10,"Category2","Group2")</f>
        <v>376</v>
      </c>
      <c r="AD92" s="77">
        <f>+GETPIVOTDATA(" Tot # Single Rnk Old",'OLD Counts Pivot Table'!$A$3,"State","OK","Category",11,"Category2","Group2")</f>
        <v>0</v>
      </c>
      <c r="AE92" s="78">
        <f>+GETPIVOTDATA(" Tot # Single Rnk Old",'OLD Counts Pivot Table'!$A$3,"State","OK","Category2","Group2")</f>
        <v>1236</v>
      </c>
      <c r="AF92" s="76">
        <f>+GETPIVOTDATA(" Tot # Single Rnk Old",'OLD Counts Pivot Table'!$A$3,"State","OK","Category",12,"Category2","Technical Institutes")</f>
        <v>218</v>
      </c>
      <c r="AG92" s="77">
        <f>+GETPIVOTDATA(" Tot # Single Rnk Old",'OLD Counts Pivot Table'!$A$3,"State","OK","Category",13,"Category2","Technical Institutes")</f>
        <v>911</v>
      </c>
      <c r="AH92" s="76">
        <f>+GETPIVOTDATA(" Tot # Single Rnk Old",'OLD Counts Pivot Table'!$A$3,"State","AR","Category2","Technical Institutes")</f>
        <v>0</v>
      </c>
    </row>
    <row r="93" spans="1:36" s="33" customFormat="1" x14ac:dyDescent="0.25">
      <c r="A93" s="109"/>
      <c r="B93" s="110" t="s">
        <v>84</v>
      </c>
      <c r="C93" s="13">
        <f t="shared" si="45"/>
        <v>1</v>
      </c>
      <c r="D93" s="11">
        <f t="shared" si="45"/>
        <v>0</v>
      </c>
      <c r="E93" s="11">
        <f t="shared" si="45"/>
        <v>1</v>
      </c>
      <c r="F93" s="11">
        <f t="shared" si="45"/>
        <v>0</v>
      </c>
      <c r="G93" s="11">
        <f t="shared" si="45"/>
        <v>1</v>
      </c>
      <c r="H93" s="41">
        <f t="shared" si="45"/>
        <v>1</v>
      </c>
      <c r="I93" s="13">
        <f t="shared" si="45"/>
        <v>1</v>
      </c>
      <c r="J93" s="13">
        <f t="shared" si="45"/>
        <v>1</v>
      </c>
      <c r="K93" s="11">
        <f t="shared" si="45"/>
        <v>1</v>
      </c>
      <c r="L93" s="11">
        <f t="shared" si="45"/>
        <v>1</v>
      </c>
      <c r="M93" s="11">
        <f t="shared" si="48"/>
        <v>1</v>
      </c>
      <c r="N93" s="13">
        <f t="shared" si="46"/>
        <v>1</v>
      </c>
      <c r="O93" s="13">
        <f t="shared" si="46"/>
        <v>1</v>
      </c>
      <c r="P93" s="11">
        <f t="shared" si="46"/>
        <v>1</v>
      </c>
      <c r="Q93" s="13">
        <f t="shared" si="47"/>
        <v>0</v>
      </c>
      <c r="R93" s="57"/>
      <c r="S93" s="79">
        <f>+GETPIVOTDATA(" All Ranks # Old",'OLD Counts Pivot Table'!$A$3,"State","OK","Category",1,"Category2","Four-Year")</f>
        <v>2051</v>
      </c>
      <c r="T93" s="80">
        <f>+GETPIVOTDATA(" All Ranks # Old",'OLD Counts Pivot Table'!$A$3,"State","OK","Category",2,"Category2","Four-Year")</f>
        <v>0</v>
      </c>
      <c r="U93" s="80">
        <f>+GETPIVOTDATA(" All Ranks # Old",'OLD Counts Pivot Table'!$A$3,"State","OK","Category",3,"Category2","Four-Year")</f>
        <v>781</v>
      </c>
      <c r="V93" s="80">
        <f>+GETPIVOTDATA(" All Ranks # Old",'OLD Counts Pivot Table'!$A$3,"State","OK","Category",4,"Category2","Four-Year")</f>
        <v>0</v>
      </c>
      <c r="W93" s="80">
        <f>+GETPIVOTDATA(" All Ranks # Old",'OLD Counts Pivot Table'!$A$3,"State","OK","Category",5,"Category2","Four-Year")</f>
        <v>925</v>
      </c>
      <c r="X93" s="80">
        <f>+GETPIVOTDATA(" All Ranks # Old",'OLD Counts Pivot Table'!$A$3,"State","OK","Category",6,"Category2","Four-Year")</f>
        <v>214</v>
      </c>
      <c r="Y93" s="81">
        <f>+GETPIVOTDATA(" All Ranks # Old",'OLD Counts Pivot Table'!$A$3,"State","OK","Category2","Four-Year")</f>
        <v>3971</v>
      </c>
      <c r="Z93" s="79">
        <f>+GETPIVOTDATA(" All Ranks # Old",'OLD Counts Pivot Table'!$A$3,"State","OK","Category",7,"Category2","Group2")</f>
        <v>204</v>
      </c>
      <c r="AA93" s="80">
        <f>+GETPIVOTDATA(" All Ranks # Old",'OLD Counts Pivot Table'!$A$3,"State","OK","Category",8,"Category2","Group2")</f>
        <v>561</v>
      </c>
      <c r="AB93" s="80">
        <f>+GETPIVOTDATA(" All Ranks # Old",'OLD Counts Pivot Table'!$A$3,"State","OK","Category",9,"Category2","Group2")</f>
        <v>95</v>
      </c>
      <c r="AC93" s="80">
        <f>+GETPIVOTDATA(" All Ranks # Old",'OLD Counts Pivot Table'!$A$3,"State","OK","Category",10,"Category2","Group2")</f>
        <v>376</v>
      </c>
      <c r="AD93" s="80">
        <f>+GETPIVOTDATA(" All Ranks # Old",'OLD Counts Pivot Table'!$A$3,"State","OK","Category",11,"Category2","Group2")</f>
        <v>0</v>
      </c>
      <c r="AE93" s="81">
        <f>+GETPIVOTDATA(" All Ranks # Old",'OLD Counts Pivot Table'!$A$3,"State","OK","Category2","Group2")</f>
        <v>1236</v>
      </c>
      <c r="AF93" s="79">
        <f>+GETPIVOTDATA(" All Ranks # Old",'OLD Counts Pivot Table'!$A$3,"State","OK","Category",12,"Category2","Technical Institutes")</f>
        <v>218</v>
      </c>
      <c r="AG93" s="80">
        <f>+GETPIVOTDATA(" All Ranks # Old",'OLD Counts Pivot Table'!$A$3,"State","OK","Category",13,"Category2","Technical Institutes")</f>
        <v>911</v>
      </c>
      <c r="AH93" s="79">
        <f>+GETPIVOTDATA(" All Ranks # Old",'OLD Counts Pivot Table'!$A$3,"State","AR","Category2","Technical Institutes")</f>
        <v>0</v>
      </c>
      <c r="AI93" s="82"/>
      <c r="AJ93" s="82"/>
    </row>
    <row r="94" spans="1:36" x14ac:dyDescent="0.2">
      <c r="A94" s="18" t="s">
        <v>113</v>
      </c>
      <c r="B94" s="15" t="s">
        <v>99</v>
      </c>
      <c r="C94" s="16">
        <f t="shared" ref="C94:M100" si="49">IF(S$100&gt;0,(S94/S$100),0)</f>
        <v>0.29986492570914003</v>
      </c>
      <c r="D94" s="17">
        <f t="shared" si="49"/>
        <v>0</v>
      </c>
      <c r="E94" s="17">
        <f t="shared" si="49"/>
        <v>0.24874371859296482</v>
      </c>
      <c r="F94" s="17">
        <f t="shared" si="49"/>
        <v>0.31176470588235294</v>
      </c>
      <c r="G94" s="17">
        <f t="shared" si="49"/>
        <v>0.21596858638743455</v>
      </c>
      <c r="H94" s="39">
        <f t="shared" si="49"/>
        <v>0.15711645101663585</v>
      </c>
      <c r="I94" s="16">
        <f t="shared" si="49"/>
        <v>0.25979519145146929</v>
      </c>
      <c r="J94" s="16">
        <f t="shared" si="49"/>
        <v>0</v>
      </c>
      <c r="K94" s="17">
        <f t="shared" si="49"/>
        <v>0</v>
      </c>
      <c r="L94" s="17">
        <f t="shared" si="49"/>
        <v>0</v>
      </c>
      <c r="M94" s="17">
        <f t="shared" si="49"/>
        <v>6.2992125984251968E-2</v>
      </c>
      <c r="N94" s="16">
        <f t="shared" ref="N94:P100" si="50">IF(AE$100&gt;0,(AE94/AE$100),0)</f>
        <v>7.7257363592467404E-3</v>
      </c>
      <c r="O94" s="91">
        <f t="shared" si="50"/>
        <v>0</v>
      </c>
      <c r="P94" s="17">
        <f t="shared" si="50"/>
        <v>0</v>
      </c>
      <c r="Q94" s="91">
        <f t="shared" ref="Q94:Q100" si="51">IF(AH$100&gt;0,(AH94/AH$100),0)</f>
        <v>0</v>
      </c>
      <c r="R94" s="83"/>
      <c r="S94" s="73">
        <f>+GETPIVOTDATA(" Total # Prof Old",'OLD Counts Pivot Table'!$A$3,"State","SC","Category",1,"Category2","Four-Year")</f>
        <v>666</v>
      </c>
      <c r="T94" s="74">
        <f>+GETPIVOTDATA(" Total # Prof Old",'OLD Counts Pivot Table'!$A$3,"State","SC","Category",2,"Category2","Four-Year")</f>
        <v>0</v>
      </c>
      <c r="U94" s="74">
        <f>+GETPIVOTDATA(" Total # Prof Old",'OLD Counts Pivot Table'!$A$3,"State","SC","Category",3,"Category2","Four-Year")</f>
        <v>198</v>
      </c>
      <c r="V94" s="74">
        <f>+GETPIVOTDATA(" Total # Prof Old",'OLD Counts Pivot Table'!$A$3,"State","SC","Category",4,"Category2","Four-Year")</f>
        <v>53</v>
      </c>
      <c r="W94" s="74">
        <f>+GETPIVOTDATA(" Total # Prof Old",'OLD Counts Pivot Table'!$A$3,"State","SC","Category",5,"Category2","Four-Year")</f>
        <v>165</v>
      </c>
      <c r="X94" s="74">
        <f>+GETPIVOTDATA(" Total # Prof Old",'OLD Counts Pivot Table'!$A$3,"State","SC","Category",6,"Category2","Four-Year")</f>
        <v>85</v>
      </c>
      <c r="Y94" s="75">
        <f>+GETPIVOTDATA(" Total # Prof Old",'OLD Counts Pivot Table'!$A$3,"State","SC","Category2","Four-Year")</f>
        <v>1167</v>
      </c>
      <c r="Z94" s="73">
        <f>+GETPIVOTDATA(" Total # Prof Old",'OLD Counts Pivot Table'!$A$3,"State","SC","Category",7,"Category2","Group2")</f>
        <v>0</v>
      </c>
      <c r="AA94" s="74">
        <f>+GETPIVOTDATA(" Total # Prof Old",'OLD Counts Pivot Table'!$A$3,"State","SC","Category",8,"Category2","Group2")</f>
        <v>0</v>
      </c>
      <c r="AB94" s="74">
        <f>+GETPIVOTDATA(" Total # Prof Old",'OLD Counts Pivot Table'!$A$3,"State","SC","Category",9,"Category2","Group2")</f>
        <v>0</v>
      </c>
      <c r="AC94" s="74">
        <f>+GETPIVOTDATA(" Total # Prof Old",'OLD Counts Pivot Table'!$A$3,"State","SC","Category",10,"Category2","Group2")</f>
        <v>16</v>
      </c>
      <c r="AD94" s="74">
        <f>+GETPIVOTDATA(" Total # Prof Old",'OLD Counts Pivot Table'!$A$3,"State","SC","Category",11,"Category2","Group2")</f>
        <v>0</v>
      </c>
      <c r="AE94" s="75">
        <f>+GETPIVOTDATA(" Total # Prof Old",'OLD Counts Pivot Table'!$A$3,"State","SC","Category2","Group2")</f>
        <v>16</v>
      </c>
      <c r="AF94" s="73">
        <f>+GETPIVOTDATA(" Total # Prof Old",'OLD Counts Pivot Table'!$A$3,"State","SC","Category",12,"Category2","Technical Institutes")</f>
        <v>0</v>
      </c>
      <c r="AG94" s="74">
        <f>+GETPIVOTDATA(" Total # Prof Old",'OLD Counts Pivot Table'!$A$3,"State","SC","Category",13,"Category2","Technical Institutes")</f>
        <v>0</v>
      </c>
      <c r="AH94" s="73">
        <f>+GETPIVOTDATA(" Total # Prof Old",'OLD Counts Pivot Table'!$A$3,"State","AR","Category2","Technical Institutes")</f>
        <v>0</v>
      </c>
    </row>
    <row r="95" spans="1:36" x14ac:dyDescent="0.2">
      <c r="A95" s="10"/>
      <c r="B95" s="18" t="s">
        <v>100</v>
      </c>
      <c r="C95" s="12">
        <f t="shared" si="49"/>
        <v>0.26924808644754616</v>
      </c>
      <c r="D95" s="14">
        <f t="shared" si="49"/>
        <v>0</v>
      </c>
      <c r="E95" s="14">
        <f t="shared" si="49"/>
        <v>0.31281407035175879</v>
      </c>
      <c r="F95" s="14">
        <f t="shared" si="49"/>
        <v>0.3</v>
      </c>
      <c r="G95" s="14">
        <f t="shared" si="49"/>
        <v>0.23691099476439789</v>
      </c>
      <c r="H95" s="40">
        <f t="shared" si="49"/>
        <v>0.23475046210720887</v>
      </c>
      <c r="I95" s="12">
        <f t="shared" si="49"/>
        <v>0.26847729296527162</v>
      </c>
      <c r="J95" s="12">
        <f t="shared" si="49"/>
        <v>0</v>
      </c>
      <c r="K95" s="14">
        <f t="shared" si="49"/>
        <v>0</v>
      </c>
      <c r="L95" s="14">
        <f t="shared" si="49"/>
        <v>0</v>
      </c>
      <c r="M95" s="14">
        <f t="shared" ref="M95:M100" si="52">IF(AC$100&gt;0,(AC95/AC$100),0)</f>
        <v>8.6614173228346455E-2</v>
      </c>
      <c r="N95" s="12">
        <f t="shared" si="50"/>
        <v>1.0622887493964268E-2</v>
      </c>
      <c r="O95" s="12">
        <f t="shared" si="50"/>
        <v>0</v>
      </c>
      <c r="P95" s="14">
        <f t="shared" si="50"/>
        <v>0</v>
      </c>
      <c r="Q95" s="12">
        <f t="shared" si="51"/>
        <v>0</v>
      </c>
      <c r="R95" s="56"/>
      <c r="S95" s="76">
        <f>+GETPIVOTDATA(" Tot # Asc. Prof Old",'OLD Counts Pivot Table'!$A$3,"State","SC","Category",1,"Category2","Four-Year")</f>
        <v>598</v>
      </c>
      <c r="T95" s="77">
        <f>+GETPIVOTDATA(" Tot # Asc. Prof Old",'OLD Counts Pivot Table'!$A$3,"State","SC","Category",2,"Category2","Four-Year")</f>
        <v>0</v>
      </c>
      <c r="U95" s="77">
        <f>+GETPIVOTDATA(" Tot # Asc. Prof Old",'OLD Counts Pivot Table'!$A$3,"State","SC","Category",3,"Category2","Four-Year")</f>
        <v>249</v>
      </c>
      <c r="V95" s="77">
        <f>+GETPIVOTDATA(" Tot # Asc. Prof Old",'OLD Counts Pivot Table'!$A$3,"State","SC","Category",4,"Category2","Four-Year")</f>
        <v>51</v>
      </c>
      <c r="W95" s="77">
        <f>+GETPIVOTDATA(" Tot # Asc. Prof Old",'OLD Counts Pivot Table'!$A$3,"State","SC","Category",5,"Category2","Four-Year")</f>
        <v>181</v>
      </c>
      <c r="X95" s="77">
        <f>+GETPIVOTDATA(" Tot # Asc. Prof Old",'OLD Counts Pivot Table'!$A$3,"State","SC","Category",6,"Category2","Four-Year")</f>
        <v>127</v>
      </c>
      <c r="Y95" s="78">
        <f>+GETPIVOTDATA(" Tot # Asc. Prof Old",'OLD Counts Pivot Table'!$A$3,"State","SC","Category2","Four-Year")</f>
        <v>1206</v>
      </c>
      <c r="Z95" s="76">
        <f>+GETPIVOTDATA(" Tot # Asc. Prof Old",'OLD Counts Pivot Table'!$A$3,"State","SC","Category",7,"Category2","Group2")</f>
        <v>0</v>
      </c>
      <c r="AA95" s="77">
        <f>+GETPIVOTDATA(" Tot # Asc. Prof Old",'OLD Counts Pivot Table'!$A$3,"State","SC","Category",8,"Category2","Group2")</f>
        <v>0</v>
      </c>
      <c r="AB95" s="77">
        <f>+GETPIVOTDATA(" Tot # Asc. Prof Old",'OLD Counts Pivot Table'!$A$3,"State","SC","Category",9,"Category2","Group2")</f>
        <v>0</v>
      </c>
      <c r="AC95" s="77">
        <f>+GETPIVOTDATA(" Tot # Asc. Prof Old",'OLD Counts Pivot Table'!$A$3,"State","SC","Category",10,"Category2","Group2")</f>
        <v>22</v>
      </c>
      <c r="AD95" s="77">
        <f>+GETPIVOTDATA(" Tot # Asc. Prof Old",'OLD Counts Pivot Table'!$A$3,"State","SC","Category",11,"Category2","Group2")</f>
        <v>0</v>
      </c>
      <c r="AE95" s="78">
        <f>+GETPIVOTDATA(" Tot # Asc. Prof Old",'OLD Counts Pivot Table'!$A$3,"State","SC","Category2","Group2")</f>
        <v>22</v>
      </c>
      <c r="AF95" s="76">
        <f>+GETPIVOTDATA(" Tot # Asc. Prof Old",'OLD Counts Pivot Table'!$A$3,"State","SC","Category",12,"Category2","Technical Institutes")</f>
        <v>0</v>
      </c>
      <c r="AG95" s="77">
        <f>+GETPIVOTDATA(" Tot # Asc. Prof Old",'OLD Counts Pivot Table'!$A$3,"State","SC","Category",13,"Category2","Technical Institutes")</f>
        <v>0</v>
      </c>
      <c r="AH95" s="76">
        <f>+GETPIVOTDATA(" Tot # Asc. Prof Old",'OLD Counts Pivot Table'!$A$3,"State","AR","Category2","Technical Institutes")</f>
        <v>0</v>
      </c>
    </row>
    <row r="96" spans="1:36" x14ac:dyDescent="0.2">
      <c r="A96" s="10"/>
      <c r="B96" s="18" t="s">
        <v>101</v>
      </c>
      <c r="C96" s="12">
        <f t="shared" si="49"/>
        <v>0.27059882935614588</v>
      </c>
      <c r="D96" s="14">
        <f t="shared" si="49"/>
        <v>0</v>
      </c>
      <c r="E96" s="14">
        <f t="shared" si="49"/>
        <v>0.32412060301507539</v>
      </c>
      <c r="F96" s="14">
        <f t="shared" si="49"/>
        <v>0.37647058823529411</v>
      </c>
      <c r="G96" s="14">
        <f t="shared" si="49"/>
        <v>0.37041884816753928</v>
      </c>
      <c r="H96" s="40">
        <f t="shared" si="49"/>
        <v>0.32532347504621073</v>
      </c>
      <c r="I96" s="12">
        <f t="shared" si="49"/>
        <v>0.30765805877114871</v>
      </c>
      <c r="J96" s="12">
        <f t="shared" si="49"/>
        <v>0</v>
      </c>
      <c r="K96" s="14">
        <f t="shared" si="49"/>
        <v>0</v>
      </c>
      <c r="L96" s="14">
        <f t="shared" si="49"/>
        <v>0</v>
      </c>
      <c r="M96" s="14">
        <f t="shared" si="52"/>
        <v>0.15354330708661418</v>
      </c>
      <c r="N96" s="12">
        <f t="shared" si="50"/>
        <v>1.8831482375663931E-2</v>
      </c>
      <c r="O96" s="12">
        <f t="shared" si="50"/>
        <v>0</v>
      </c>
      <c r="P96" s="14">
        <f t="shared" si="50"/>
        <v>0</v>
      </c>
      <c r="Q96" s="12">
        <f t="shared" si="51"/>
        <v>0</v>
      </c>
      <c r="R96" s="56"/>
      <c r="S96" s="76">
        <f>+GETPIVOTDATA(" Tot # Ast. Prof Old",'OLD Counts Pivot Table'!$A$3,"State","SC","Category",1,"Category2","Four-Year")</f>
        <v>601</v>
      </c>
      <c r="T96" s="77">
        <f>+GETPIVOTDATA(" Tot # Ast. Prof Old",'OLD Counts Pivot Table'!$A$3,"State","SC","Category",2,"Category2","Four-Year")</f>
        <v>0</v>
      </c>
      <c r="U96" s="77">
        <f>+GETPIVOTDATA(" Tot # Ast. Prof Old",'OLD Counts Pivot Table'!$A$3,"State","SC","Category",3,"Category2","Four-Year")</f>
        <v>258</v>
      </c>
      <c r="V96" s="77">
        <f>+GETPIVOTDATA(" Tot # Ast. Prof Old",'OLD Counts Pivot Table'!$A$3,"State","SC","Category",4,"Category2","Four-Year")</f>
        <v>64</v>
      </c>
      <c r="W96" s="77">
        <f>+GETPIVOTDATA(" Tot # Ast. Prof Old",'OLD Counts Pivot Table'!$A$3,"State","SC","Category",5,"Category2","Four-Year")</f>
        <v>283</v>
      </c>
      <c r="X96" s="77">
        <f>+GETPIVOTDATA(" Tot # Ast. Prof Old",'OLD Counts Pivot Table'!$A$3,"State","SC","Category",6,"Category2","Four-Year")</f>
        <v>176</v>
      </c>
      <c r="Y96" s="78">
        <f>+GETPIVOTDATA(" Tot # Ast. Prof Old",'OLD Counts Pivot Table'!$A$3,"State","SC","Category2","Four-Year")</f>
        <v>1382</v>
      </c>
      <c r="Z96" s="76">
        <f>+GETPIVOTDATA(" Tot # Ast. Prof Old",'OLD Counts Pivot Table'!$A$3,"State","SC","Category",7,"Category2","Group2")</f>
        <v>0</v>
      </c>
      <c r="AA96" s="77">
        <f>+GETPIVOTDATA(" Tot # Ast. Prof Old",'OLD Counts Pivot Table'!$A$3,"State","SC","Category",8,"Category2","Group2")</f>
        <v>0</v>
      </c>
      <c r="AB96" s="77">
        <f>+GETPIVOTDATA(" Tot # Ast. Prof Old",'OLD Counts Pivot Table'!$A$3,"State","SC","Category",9,"Category2","Group2")</f>
        <v>0</v>
      </c>
      <c r="AC96" s="77">
        <f>+GETPIVOTDATA(" Tot # Ast. Prof Old",'OLD Counts Pivot Table'!$A$3,"State","SC","Category",10,"Category2","Group2")</f>
        <v>39</v>
      </c>
      <c r="AD96" s="77">
        <f>+GETPIVOTDATA(" Tot # Ast. Prof Old",'OLD Counts Pivot Table'!$A$3,"State","SC","Category",11,"Category2","Group2")</f>
        <v>0</v>
      </c>
      <c r="AE96" s="78">
        <f>+GETPIVOTDATA(" Tot # Ast. Prof Old",'OLD Counts Pivot Table'!$A$3,"State","SC","Category2","Group2")</f>
        <v>39</v>
      </c>
      <c r="AF96" s="76">
        <f>+GETPIVOTDATA(" Tot # Ast. Prof Old",'OLD Counts Pivot Table'!$A$3,"State","SC","Category",12,"Category2","Technical Institutes")</f>
        <v>0</v>
      </c>
      <c r="AG96" s="77">
        <f>+GETPIVOTDATA(" Tot # Ast. Prof Old",'OLD Counts Pivot Table'!$A$3,"State","SC","Category",13,"Category2","Technical Institutes")</f>
        <v>0</v>
      </c>
      <c r="AH96" s="76">
        <f>+GETPIVOTDATA(" Tot # Ast. Prof Old",'OLD Counts Pivot Table'!$A$3,"State","AR","Category2","Technical Institutes")</f>
        <v>0</v>
      </c>
    </row>
    <row r="97" spans="1:36" x14ac:dyDescent="0.2">
      <c r="A97" s="10"/>
      <c r="B97" s="18" t="s">
        <v>102</v>
      </c>
      <c r="C97" s="12">
        <f t="shared" si="49"/>
        <v>6.5285907248986946E-2</v>
      </c>
      <c r="D97" s="14">
        <f t="shared" si="49"/>
        <v>0</v>
      </c>
      <c r="E97" s="14">
        <f t="shared" si="49"/>
        <v>0.114321608040201</v>
      </c>
      <c r="F97" s="14">
        <f t="shared" si="49"/>
        <v>1.1764705882352941E-2</v>
      </c>
      <c r="G97" s="14">
        <f t="shared" si="49"/>
        <v>8.1151832460732987E-2</v>
      </c>
      <c r="H97" s="40">
        <f t="shared" si="49"/>
        <v>0.27171903881700554</v>
      </c>
      <c r="I97" s="12">
        <f t="shared" si="49"/>
        <v>9.9510240427426538E-2</v>
      </c>
      <c r="J97" s="12">
        <f t="shared" si="49"/>
        <v>0</v>
      </c>
      <c r="K97" s="14">
        <f t="shared" si="49"/>
        <v>0</v>
      </c>
      <c r="L97" s="14">
        <f t="shared" si="49"/>
        <v>0</v>
      </c>
      <c r="M97" s="14">
        <f t="shared" si="52"/>
        <v>0.1889763779527559</v>
      </c>
      <c r="N97" s="12">
        <f t="shared" si="50"/>
        <v>2.3177209077740221E-2</v>
      </c>
      <c r="O97" s="12">
        <f t="shared" si="50"/>
        <v>0</v>
      </c>
      <c r="P97" s="14">
        <f t="shared" si="50"/>
        <v>0</v>
      </c>
      <c r="Q97" s="12">
        <f t="shared" si="51"/>
        <v>0</v>
      </c>
      <c r="R97" s="56"/>
      <c r="S97" s="76">
        <f>+GETPIVOTDATA(" Tot # Instr. Old",'OLD Counts Pivot Table'!$A$3,"State","SC","Category",1,"Category2","Four-Year")</f>
        <v>145</v>
      </c>
      <c r="T97" s="77">
        <f>+GETPIVOTDATA(" Tot # Instr. Old",'OLD Counts Pivot Table'!$A$3,"State","SC","Category",2,"Category2","Four-Year")</f>
        <v>0</v>
      </c>
      <c r="U97" s="77">
        <f>+GETPIVOTDATA(" Tot # Instr. Old",'OLD Counts Pivot Table'!$A$3,"State","SC","Category",3,"Category2","Four-Year")</f>
        <v>91</v>
      </c>
      <c r="V97" s="77">
        <f>+GETPIVOTDATA(" Tot # Instr. Old",'OLD Counts Pivot Table'!$A$3,"State","SC","Category",4,"Category2","Four-Year")</f>
        <v>2</v>
      </c>
      <c r="W97" s="77">
        <f>+GETPIVOTDATA(" Tot # Instr. Old",'OLD Counts Pivot Table'!$A$3,"State","SC","Category",5,"Category2","Four-Year")</f>
        <v>62</v>
      </c>
      <c r="X97" s="77">
        <f>+GETPIVOTDATA(" Tot # Instr. Old",'OLD Counts Pivot Table'!$A$3,"State","SC","Category",6,"Category2","Four-Year")</f>
        <v>147</v>
      </c>
      <c r="Y97" s="78">
        <f>+GETPIVOTDATA(" Tot # Instr. Old",'OLD Counts Pivot Table'!$A$3,"State","SC","Category2","Four-Year")</f>
        <v>447</v>
      </c>
      <c r="Z97" s="76">
        <f>+GETPIVOTDATA(" Tot # Instr. Old",'OLD Counts Pivot Table'!$A$3,"State","SC","Category",7,"Category2","Group2")</f>
        <v>0</v>
      </c>
      <c r="AA97" s="77">
        <f>+GETPIVOTDATA(" Tot # Instr. Old",'OLD Counts Pivot Table'!$A$3,"State","SC","Category",8,"Category2","Group2")</f>
        <v>0</v>
      </c>
      <c r="AB97" s="77">
        <f>+GETPIVOTDATA(" Tot # Instr. Old",'OLD Counts Pivot Table'!$A$3,"State","SC","Category",9,"Category2","Group2")</f>
        <v>0</v>
      </c>
      <c r="AC97" s="77">
        <f>+GETPIVOTDATA(" Tot # Instr. Old",'OLD Counts Pivot Table'!$A$3,"State","SC","Category",10,"Category2","Group2")</f>
        <v>48</v>
      </c>
      <c r="AD97" s="77">
        <f>+GETPIVOTDATA(" Tot # Instr. Old",'OLD Counts Pivot Table'!$A$3,"State","SC","Category",11,"Category2","Group2")</f>
        <v>0</v>
      </c>
      <c r="AE97" s="78">
        <f>+GETPIVOTDATA(" Tot # Instr. Old",'OLD Counts Pivot Table'!$A$3,"State","SC","Category2","Group2")</f>
        <v>48</v>
      </c>
      <c r="AF97" s="76">
        <f>+GETPIVOTDATA(" Tot # Instr. Old",'OLD Counts Pivot Table'!$A$3,"State","SC","Category",12,"Category2","Technical Institutes")</f>
        <v>0</v>
      </c>
      <c r="AG97" s="77">
        <f>+GETPIVOTDATA(" Tot # Instr. Old",'OLD Counts Pivot Table'!$A$3,"State","SC","Category",13,"Category2","Technical Institutes")</f>
        <v>0</v>
      </c>
      <c r="AH97" s="76">
        <f>+GETPIVOTDATA(" Tot # Instr. Old",'OLD Counts Pivot Table'!$A$3,"State","AR","Category2","Technical Institutes")</f>
        <v>0</v>
      </c>
    </row>
    <row r="98" spans="1:36" x14ac:dyDescent="0.2">
      <c r="A98" s="10"/>
      <c r="B98" s="18" t="s">
        <v>83</v>
      </c>
      <c r="C98" s="12">
        <f t="shared" si="49"/>
        <v>9.5002251238180999E-2</v>
      </c>
      <c r="D98" s="14">
        <f t="shared" si="49"/>
        <v>0</v>
      </c>
      <c r="E98" s="14">
        <f t="shared" si="49"/>
        <v>0</v>
      </c>
      <c r="F98" s="14">
        <f t="shared" si="49"/>
        <v>0</v>
      </c>
      <c r="G98" s="14">
        <f t="shared" si="49"/>
        <v>9.5549738219895292E-2</v>
      </c>
      <c r="H98" s="40">
        <f t="shared" si="49"/>
        <v>1.1090573012939002E-2</v>
      </c>
      <c r="I98" s="12">
        <f t="shared" si="49"/>
        <v>6.4559216384683885E-2</v>
      </c>
      <c r="J98" s="12">
        <f t="shared" si="49"/>
        <v>0</v>
      </c>
      <c r="K98" s="14">
        <f t="shared" si="49"/>
        <v>1</v>
      </c>
      <c r="L98" s="14">
        <f t="shared" si="49"/>
        <v>1</v>
      </c>
      <c r="M98" s="14">
        <f t="shared" si="52"/>
        <v>0.50787401574803148</v>
      </c>
      <c r="N98" s="12">
        <f t="shared" si="50"/>
        <v>0.93964268469338486</v>
      </c>
      <c r="O98" s="12">
        <f t="shared" si="50"/>
        <v>0</v>
      </c>
      <c r="P98" s="14">
        <f t="shared" si="50"/>
        <v>0</v>
      </c>
      <c r="Q98" s="12">
        <f t="shared" si="51"/>
        <v>0</v>
      </c>
      <c r="R98" s="56"/>
      <c r="S98" s="76">
        <f>++GETPIVOTDATA(" Tot # Undes. Old",'OLD Counts Pivot Table'!$A$3,"State","SC","Category",1,"Category2","Four-Year")</f>
        <v>211</v>
      </c>
      <c r="T98" s="77">
        <f>+GETPIVOTDATA(" Tot # Undes. Old",'OLD Counts Pivot Table'!$A$3,"State","SC","Category",2,"Category2","Four-Year")</f>
        <v>0</v>
      </c>
      <c r="U98" s="77">
        <f>+GETPIVOTDATA(" Tot # Undes. Old",'OLD Counts Pivot Table'!$A$3,"State","SC","Category",3,"Category2","Four-Year")</f>
        <v>0</v>
      </c>
      <c r="V98" s="77">
        <f>+GETPIVOTDATA(" Tot # Undes. Old",'OLD Counts Pivot Table'!$A$3,"State","SC","Category",4,"Category2","Four-Year")</f>
        <v>0</v>
      </c>
      <c r="W98" s="77">
        <f>+GETPIVOTDATA(" Tot # Undes. Old",'OLD Counts Pivot Table'!$A$3,"State","SC","Category",5,"Category2","Four-Year")</f>
        <v>73</v>
      </c>
      <c r="X98" s="77">
        <f>+GETPIVOTDATA(" Tot # Undes. Old",'OLD Counts Pivot Table'!$A$3,"State","SC","Category",6,"Category2","Four-Year")</f>
        <v>6</v>
      </c>
      <c r="Y98" s="78">
        <f>+GETPIVOTDATA(" Tot # Undes. Old",'OLD Counts Pivot Table'!$A$3,"State","SC","Category2","Four-Year")</f>
        <v>290</v>
      </c>
      <c r="Z98" s="76">
        <f>+GETPIVOTDATA(" Tot # Undes. Old",'OLD Counts Pivot Table'!$A$3,"State","SC","Category",7,"Category2","Group2")</f>
        <v>0</v>
      </c>
      <c r="AA98" s="77">
        <f>+GETPIVOTDATA(" Tot # Undes. Old",'OLD Counts Pivot Table'!$A$3,"State","SC","Category",8,"Category2","Group2")</f>
        <v>1137</v>
      </c>
      <c r="AB98" s="77">
        <f>+GETPIVOTDATA(" Tot # Undes. Old",'OLD Counts Pivot Table'!$A$3,"State","SC","Category",9,"Category2","Group2")</f>
        <v>680</v>
      </c>
      <c r="AC98" s="77">
        <f>+GETPIVOTDATA(" Tot # Undes. Old",'OLD Counts Pivot Table'!$A$3,"State","SC","Category",10,"Category2","Group2")</f>
        <v>129</v>
      </c>
      <c r="AD98" s="77">
        <f>+GETPIVOTDATA(" Tot # Undes. Old",'OLD Counts Pivot Table'!$A$3,"State","SC","Category",11,"Category2","Group2")</f>
        <v>0</v>
      </c>
      <c r="AE98" s="78">
        <f>+GETPIVOTDATA(" Tot # Undes. Old",'OLD Counts Pivot Table'!$A$3,"State","SC","Category2","Group2")</f>
        <v>1946</v>
      </c>
      <c r="AF98" s="76">
        <f>+GETPIVOTDATA(" Tot # Undes. Old",'OLD Counts Pivot Table'!$A$3,"State","SC","Category",12,"Category2","Technical Institutes")</f>
        <v>0</v>
      </c>
      <c r="AG98" s="77">
        <f>+GETPIVOTDATA(" Tot # Undes. Old",'OLD Counts Pivot Table'!$A$3,"State","SC","Category",13,"Category2","Technical Institutes")</f>
        <v>0</v>
      </c>
      <c r="AH98" s="76">
        <f>+GETPIVOTDATA(" Tot # Undes. Old",'OLD Counts Pivot Table'!$A$3,"State","AR","Category2","Technical Institutes")</f>
        <v>0</v>
      </c>
    </row>
    <row r="99" spans="1:36" x14ac:dyDescent="0.2">
      <c r="A99" s="10"/>
      <c r="B99" s="18" t="s">
        <v>82</v>
      </c>
      <c r="C99" s="12">
        <f t="shared" si="49"/>
        <v>0</v>
      </c>
      <c r="D99" s="14">
        <f t="shared" si="49"/>
        <v>0</v>
      </c>
      <c r="E99" s="103">
        <f t="shared" si="49"/>
        <v>0</v>
      </c>
      <c r="F99" s="14">
        <f t="shared" si="49"/>
        <v>0</v>
      </c>
      <c r="G99" s="103">
        <f t="shared" si="49"/>
        <v>0</v>
      </c>
      <c r="H99" s="40">
        <f t="shared" si="49"/>
        <v>0</v>
      </c>
      <c r="I99" s="102">
        <f t="shared" si="49"/>
        <v>0</v>
      </c>
      <c r="J99" s="12">
        <f t="shared" si="49"/>
        <v>0</v>
      </c>
      <c r="K99" s="14">
        <f t="shared" si="49"/>
        <v>0</v>
      </c>
      <c r="L99" s="14">
        <f t="shared" si="49"/>
        <v>0</v>
      </c>
      <c r="M99" s="14">
        <f t="shared" si="52"/>
        <v>0</v>
      </c>
      <c r="N99" s="12">
        <f t="shared" si="50"/>
        <v>0</v>
      </c>
      <c r="O99" s="12">
        <f t="shared" si="50"/>
        <v>0</v>
      </c>
      <c r="P99" s="14">
        <f t="shared" si="50"/>
        <v>0</v>
      </c>
      <c r="Q99" s="12">
        <f t="shared" si="51"/>
        <v>0</v>
      </c>
      <c r="R99" s="56"/>
      <c r="S99" s="76">
        <f>+GETPIVOTDATA(" Tot # Single Rnk Old",'OLD Counts Pivot Table'!$A$3,"State","SC","Category",1,"Category2","Four-Year")</f>
        <v>0</v>
      </c>
      <c r="T99" s="77">
        <f>+GETPIVOTDATA(" Tot # Single Rnk Old",'OLD Counts Pivot Table'!$A$3,"State","SC","Category",2,"Category2","Four-Year")</f>
        <v>0</v>
      </c>
      <c r="U99" s="77">
        <f>+GETPIVOTDATA(" Tot # Single Rnk Old",'OLD Counts Pivot Table'!$A$3,"State","SC","Category",3,"Category2","Four-Year")</f>
        <v>0</v>
      </c>
      <c r="V99" s="77">
        <f>+GETPIVOTDATA(" Tot # Single Rnk Old",'OLD Counts Pivot Table'!$A$3,"State","SC","Category",4,"Category2","Four-Year")</f>
        <v>0</v>
      </c>
      <c r="W99" s="77">
        <f>+GETPIVOTDATA(" Tot # Single Rnk Old",'OLD Counts Pivot Table'!$A$3,"State","SC","Category",5,"Category2","Four-Year")</f>
        <v>0</v>
      </c>
      <c r="X99" s="77">
        <f>+GETPIVOTDATA(" Tot # Single Rnk Old",'OLD Counts Pivot Table'!$A$3,"State","SC","Category",6,"Category2","Four-Year")</f>
        <v>0</v>
      </c>
      <c r="Y99" s="78">
        <f>+GETPIVOTDATA(" Tot # Single Rnk Old",'OLD Counts Pivot Table'!$A$3,"State","SC","Category2","Four-Year")</f>
        <v>0</v>
      </c>
      <c r="Z99" s="76">
        <f>+GETPIVOTDATA(" Tot # Single Rnk Old",'OLD Counts Pivot Table'!$A$3,"State","SC","Category",7,"Category2","Group2")</f>
        <v>0</v>
      </c>
      <c r="AA99" s="77">
        <f>+GETPIVOTDATA(" Tot # Single Rnk Old",'OLD Counts Pivot Table'!$A$3,"State","SC","Category",8,"Category2","Group2")</f>
        <v>0</v>
      </c>
      <c r="AB99" s="77">
        <f>+GETPIVOTDATA(" Tot # Single Rnk Old",'OLD Counts Pivot Table'!$A$3,"State","SC","Category",9,"Category2","Group2")</f>
        <v>0</v>
      </c>
      <c r="AC99" s="77">
        <f>+GETPIVOTDATA(" Tot # Single Rnk Old",'OLD Counts Pivot Table'!$A$3,"State","SC","Category",10,"Category2","Group2")</f>
        <v>0</v>
      </c>
      <c r="AD99" s="77">
        <f>+GETPIVOTDATA(" Tot # Single Rnk Old",'OLD Counts Pivot Table'!$A$3,"State","SC","Category",11,"Category2","Group2")</f>
        <v>0</v>
      </c>
      <c r="AE99" s="78">
        <f>+GETPIVOTDATA(" Tot # Single Rnk Old",'OLD Counts Pivot Table'!$A$3,"State","SC","Category2","Group2")</f>
        <v>0</v>
      </c>
      <c r="AF99" s="76">
        <f>+GETPIVOTDATA(" Tot # Single Rnk Old",'OLD Counts Pivot Table'!$A$3,"State","SC","Category",12,"Category2","Technical Institutes")</f>
        <v>0</v>
      </c>
      <c r="AG99" s="77">
        <f>+GETPIVOTDATA(" Tot # Single Rnk Old",'OLD Counts Pivot Table'!$A$3,"State","SC","Category",13,"Category2","Technical Institutes")</f>
        <v>0</v>
      </c>
      <c r="AH99" s="76">
        <f>+GETPIVOTDATA(" Tot # Single Rnk Old",'OLD Counts Pivot Table'!$A$3,"State","AR","Category2","Technical Institutes")</f>
        <v>0</v>
      </c>
    </row>
    <row r="100" spans="1:36" s="33" customFormat="1" x14ac:dyDescent="0.25">
      <c r="A100" s="109"/>
      <c r="B100" s="110" t="s">
        <v>84</v>
      </c>
      <c r="C100" s="13">
        <f t="shared" si="49"/>
        <v>1</v>
      </c>
      <c r="D100" s="11">
        <f t="shared" si="49"/>
        <v>0</v>
      </c>
      <c r="E100" s="11">
        <f t="shared" si="49"/>
        <v>1</v>
      </c>
      <c r="F100" s="11">
        <f t="shared" si="49"/>
        <v>1</v>
      </c>
      <c r="G100" s="11">
        <f t="shared" si="49"/>
        <v>1</v>
      </c>
      <c r="H100" s="41">
        <f t="shared" si="49"/>
        <v>1</v>
      </c>
      <c r="I100" s="13">
        <f t="shared" si="49"/>
        <v>1</v>
      </c>
      <c r="J100" s="13">
        <f t="shared" si="49"/>
        <v>0</v>
      </c>
      <c r="K100" s="11">
        <f t="shared" si="49"/>
        <v>1</v>
      </c>
      <c r="L100" s="11">
        <f t="shared" si="49"/>
        <v>1</v>
      </c>
      <c r="M100" s="11">
        <f t="shared" si="52"/>
        <v>1</v>
      </c>
      <c r="N100" s="13">
        <f t="shared" si="50"/>
        <v>1</v>
      </c>
      <c r="O100" s="13">
        <f t="shared" si="50"/>
        <v>0</v>
      </c>
      <c r="P100" s="11">
        <f t="shared" si="50"/>
        <v>0</v>
      </c>
      <c r="Q100" s="13">
        <f t="shared" si="51"/>
        <v>0</v>
      </c>
      <c r="R100" s="57"/>
      <c r="S100" s="79">
        <f>+GETPIVOTDATA(" All Ranks # Old",'OLD Counts Pivot Table'!$A$3,"State","SC","Category",1,"Category2","Four-Year")</f>
        <v>2221</v>
      </c>
      <c r="T100" s="80">
        <f>+GETPIVOTDATA(" All Ranks # Old",'OLD Counts Pivot Table'!$A$3,"State","SC","Category",2,"Category2","Four-Year")</f>
        <v>0</v>
      </c>
      <c r="U100" s="80">
        <f>+GETPIVOTDATA(" All Ranks # Old",'OLD Counts Pivot Table'!$A$3,"State","SC","Category",3,"Category2","Four-Year")</f>
        <v>796</v>
      </c>
      <c r="V100" s="80">
        <f>+GETPIVOTDATA(" All Ranks # Old",'OLD Counts Pivot Table'!$A$3,"State","SC","Category",4,"Category2","Four-Year")</f>
        <v>170</v>
      </c>
      <c r="W100" s="80">
        <f>+GETPIVOTDATA(" All Ranks # Old",'OLD Counts Pivot Table'!$A$3,"State","SC","Category",5,"Category2","Four-Year")</f>
        <v>764</v>
      </c>
      <c r="X100" s="80">
        <f>+GETPIVOTDATA(" All Ranks # Old",'OLD Counts Pivot Table'!$A$3,"State","SC","Category",6,"Category2","Four-Year")</f>
        <v>541</v>
      </c>
      <c r="Y100" s="81">
        <f>+GETPIVOTDATA(" All Ranks # Old",'OLD Counts Pivot Table'!$A$3,"State","SC","Category2","Four-Year")</f>
        <v>4492</v>
      </c>
      <c r="Z100" s="79">
        <f>+GETPIVOTDATA(" All Ranks # Old",'OLD Counts Pivot Table'!$A$3,"State","SC","Category",7,"Category2","Group2")</f>
        <v>0</v>
      </c>
      <c r="AA100" s="80">
        <f>+GETPIVOTDATA(" All Ranks # Old",'OLD Counts Pivot Table'!$A$3,"State","SC","Category",8,"Category2","Group2")</f>
        <v>1137</v>
      </c>
      <c r="AB100" s="80">
        <f>+GETPIVOTDATA(" All Ranks # Old",'OLD Counts Pivot Table'!$A$3,"State","SC","Category",9,"Category2","Group2")</f>
        <v>680</v>
      </c>
      <c r="AC100" s="80">
        <f>+GETPIVOTDATA(" All Ranks # Old",'OLD Counts Pivot Table'!$A$3,"State","SC","Category",10,"Category2","Group2")</f>
        <v>254</v>
      </c>
      <c r="AD100" s="80">
        <f>+GETPIVOTDATA(" All Ranks # Old",'OLD Counts Pivot Table'!$A$3,"State","SC","Category",11,"Category2","Group2")</f>
        <v>0</v>
      </c>
      <c r="AE100" s="81">
        <f>+GETPIVOTDATA(" All Ranks # Old",'OLD Counts Pivot Table'!$A$3,"State","SC","Category2","Group2")</f>
        <v>2071</v>
      </c>
      <c r="AF100" s="79">
        <f>+GETPIVOTDATA(" All Ranks # Old",'OLD Counts Pivot Table'!$A$3,"State","SC","Category",12,"Category2","Technical Institutes")</f>
        <v>0</v>
      </c>
      <c r="AG100" s="80">
        <f>+GETPIVOTDATA(" All Ranks # Old",'OLD Counts Pivot Table'!$A$3,"State","SC","Category",13,"Category2","Technical Institutes")</f>
        <v>0</v>
      </c>
      <c r="AH100" s="79">
        <f>+GETPIVOTDATA(" All Ranks # Old",'OLD Counts Pivot Table'!$A$3,"State","AR","Category2","Technical Institutes")</f>
        <v>0</v>
      </c>
      <c r="AI100" s="82"/>
      <c r="AJ100" s="82"/>
    </row>
    <row r="101" spans="1:36" x14ac:dyDescent="0.2">
      <c r="A101" s="18" t="s">
        <v>78</v>
      </c>
      <c r="B101" s="15" t="s">
        <v>99</v>
      </c>
      <c r="C101" s="16">
        <f t="shared" ref="C101:M107" si="53">IF(S$107&gt;0,(S101/S$107),0)</f>
        <v>0.32051800890327803</v>
      </c>
      <c r="D101" s="17">
        <f t="shared" si="53"/>
        <v>0.27577937649880097</v>
      </c>
      <c r="E101" s="17">
        <f t="shared" si="53"/>
        <v>0.3299452697419859</v>
      </c>
      <c r="F101" s="17">
        <f t="shared" si="53"/>
        <v>0</v>
      </c>
      <c r="G101" s="17">
        <f t="shared" si="53"/>
        <v>0.2805755395683453</v>
      </c>
      <c r="H101" s="39">
        <f t="shared" si="53"/>
        <v>0</v>
      </c>
      <c r="I101" s="16">
        <f t="shared" si="53"/>
        <v>0.3195317959468903</v>
      </c>
      <c r="J101" s="16">
        <f t="shared" si="53"/>
        <v>0</v>
      </c>
      <c r="K101" s="17">
        <f t="shared" si="53"/>
        <v>0.11470281543274244</v>
      </c>
      <c r="L101" s="17">
        <f t="shared" si="53"/>
        <v>0.1376470588235294</v>
      </c>
      <c r="M101" s="17">
        <f t="shared" si="53"/>
        <v>0</v>
      </c>
      <c r="N101" s="16">
        <f t="shared" ref="N101:P107" si="54">IF(AE$107&gt;0,(AE101/AE$107),0)</f>
        <v>0.12548369264787176</v>
      </c>
      <c r="O101" s="91">
        <f t="shared" si="54"/>
        <v>0</v>
      </c>
      <c r="P101" s="17">
        <f t="shared" si="54"/>
        <v>0</v>
      </c>
      <c r="Q101" s="91">
        <f t="shared" ref="Q101:Q107" si="55">IF(AH$107&gt;0,(AH101/AH$107),0)</f>
        <v>0</v>
      </c>
      <c r="R101" s="83"/>
      <c r="S101" s="73">
        <f>+GETPIVOTDATA(" Total # Prof Old",'OLD Counts Pivot Table'!$A$3,"State","TN","Category",1,"Category2","Four-Year")</f>
        <v>792</v>
      </c>
      <c r="T101" s="74">
        <f>+GETPIVOTDATA(" Total # Prof Old",'OLD Counts Pivot Table'!$A$3,"State","TN","Category",2,"Category2","Four-Year")</f>
        <v>115</v>
      </c>
      <c r="U101" s="74">
        <f>+GETPIVOTDATA(" Total # Prof Old",'OLD Counts Pivot Table'!$A$3,"State","TN","Category",3,"Category2","Four-Year")</f>
        <v>844</v>
      </c>
      <c r="V101" s="74">
        <f>+GETPIVOTDATA(" Total # Prof Old",'OLD Counts Pivot Table'!$A$3,"State","TN","Category",4,"Category2","Four-Year")</f>
        <v>0</v>
      </c>
      <c r="W101" s="74">
        <f>+GETPIVOTDATA(" Total # Prof Old",'OLD Counts Pivot Table'!$A$3,"State","TN","Category",5,"Category2","Four-Year")</f>
        <v>78</v>
      </c>
      <c r="X101" s="74">
        <f>+GETPIVOTDATA(" Total # Prof Old",'OLD Counts Pivot Table'!$A$3,"State","TN","Category",6,"Category2","Four-Year")</f>
        <v>0</v>
      </c>
      <c r="Y101" s="75">
        <f>+GETPIVOTDATA(" Total # Prof Old",'OLD Counts Pivot Table'!$A$3,"State","TN","Category2","Four-Year")</f>
        <v>1829</v>
      </c>
      <c r="Z101" s="73">
        <f>+GETPIVOTDATA(" Total # Prof Old",'OLD Counts Pivot Table'!$A$3,"State","TN","Category",7,"Category2","Group2")</f>
        <v>0</v>
      </c>
      <c r="AA101" s="74">
        <f>+GETPIVOTDATA(" Total # Prof Old",'OLD Counts Pivot Table'!$A$3,"State","TN","Category",8,"Category2","Group2")</f>
        <v>110</v>
      </c>
      <c r="AB101" s="74">
        <f>+GETPIVOTDATA(" Total # Prof Old",'OLD Counts Pivot Table'!$A$3,"State","TN","Category",9,"Category2","Group2")</f>
        <v>117</v>
      </c>
      <c r="AC101" s="74">
        <f>+GETPIVOTDATA(" Total # Prof Old",'OLD Counts Pivot Table'!$A$3,"State","TN","Category",10,"Category2","Group2")</f>
        <v>0</v>
      </c>
      <c r="AD101" s="74">
        <f>+GETPIVOTDATA(" Total # Prof Old",'OLD Counts Pivot Table'!$A$3,"State","TN","Category",11,"Category2","Group2")</f>
        <v>0</v>
      </c>
      <c r="AE101" s="75">
        <f>+GETPIVOTDATA(" Total # Prof Old",'OLD Counts Pivot Table'!$A$3,"State","TN","Category2","Group2")</f>
        <v>227</v>
      </c>
      <c r="AF101" s="73">
        <f>+GETPIVOTDATA(" Total # Prof Old",'OLD Counts Pivot Table'!$A$3,"State","TN","Category",12,"Category2","Technical Institutes")</f>
        <v>0</v>
      </c>
      <c r="AG101" s="74">
        <f>+GETPIVOTDATA(" Total # Prof Old",'OLD Counts Pivot Table'!$A$3,"State","TN","Category",13,"Category2","Technical Institutes")</f>
        <v>0</v>
      </c>
      <c r="AH101" s="73">
        <f>+GETPIVOTDATA(" Total # Prof Old",'OLD Counts Pivot Table'!$A$3,"State","AR","Category2","Technical Institutes")</f>
        <v>0</v>
      </c>
    </row>
    <row r="102" spans="1:36" x14ac:dyDescent="0.2">
      <c r="A102" s="10"/>
      <c r="B102" s="18" t="s">
        <v>100</v>
      </c>
      <c r="C102" s="12">
        <f t="shared" si="53"/>
        <v>0.26669364629704573</v>
      </c>
      <c r="D102" s="14">
        <f t="shared" si="53"/>
        <v>0.29976019184652281</v>
      </c>
      <c r="E102" s="14">
        <f t="shared" si="53"/>
        <v>0.2529319781078968</v>
      </c>
      <c r="F102" s="14">
        <f t="shared" si="53"/>
        <v>0</v>
      </c>
      <c r="G102" s="14">
        <f t="shared" si="53"/>
        <v>0.20503597122302158</v>
      </c>
      <c r="H102" s="40">
        <f t="shared" si="53"/>
        <v>0</v>
      </c>
      <c r="I102" s="12">
        <f t="shared" si="53"/>
        <v>0.25995807127882598</v>
      </c>
      <c r="J102" s="12">
        <f t="shared" si="53"/>
        <v>0</v>
      </c>
      <c r="K102" s="14">
        <f t="shared" si="53"/>
        <v>0.43482794577685091</v>
      </c>
      <c r="L102" s="14">
        <f t="shared" si="53"/>
        <v>0.42941176470588233</v>
      </c>
      <c r="M102" s="14">
        <f t="shared" ref="M102:M107" si="56">IF(AC$107&gt;0,(AC102/AC$107),0)</f>
        <v>0</v>
      </c>
      <c r="N102" s="12">
        <f t="shared" si="54"/>
        <v>0.43228302929795465</v>
      </c>
      <c r="O102" s="12">
        <f t="shared" si="54"/>
        <v>0</v>
      </c>
      <c r="P102" s="14">
        <f t="shared" si="54"/>
        <v>0</v>
      </c>
      <c r="Q102" s="12">
        <f t="shared" si="55"/>
        <v>0</v>
      </c>
      <c r="R102" s="56"/>
      <c r="S102" s="76">
        <f>+GETPIVOTDATA(" Tot # Asc. Prof Old",'OLD Counts Pivot Table'!$A$3,"State","TN","Category",1,"Category2","Four-Year")</f>
        <v>659</v>
      </c>
      <c r="T102" s="77">
        <f>+GETPIVOTDATA(" Tot # Asc. Prof Old",'OLD Counts Pivot Table'!$A$3,"State","TN","Category",2,"Category2","Four-Year")</f>
        <v>125</v>
      </c>
      <c r="U102" s="77">
        <f>+GETPIVOTDATA(" Tot # Asc. Prof Old",'OLD Counts Pivot Table'!$A$3,"State","TN","Category",3,"Category2","Four-Year")</f>
        <v>647</v>
      </c>
      <c r="V102" s="77">
        <f>+GETPIVOTDATA(" Tot # Asc. Prof Old",'OLD Counts Pivot Table'!$A$3,"State","TN","Category",4,"Category2","Four-Year")</f>
        <v>0</v>
      </c>
      <c r="W102" s="77">
        <f>+GETPIVOTDATA(" Tot # Asc. Prof Old",'OLD Counts Pivot Table'!$A$3,"State","TN","Category",5,"Category2","Four-Year")</f>
        <v>57</v>
      </c>
      <c r="X102" s="77">
        <f>+GETPIVOTDATA(" Tot # Asc. Prof Old",'OLD Counts Pivot Table'!$A$3,"State","TN","Category",6,"Category2","Four-Year")</f>
        <v>0</v>
      </c>
      <c r="Y102" s="78">
        <f>+GETPIVOTDATA(" Tot # Asc. Prof Old",'OLD Counts Pivot Table'!$A$3,"State","TN","Category2","Four-Year")</f>
        <v>1488</v>
      </c>
      <c r="Z102" s="76">
        <f>+GETPIVOTDATA(" Tot # Asc. Prof Old",'OLD Counts Pivot Table'!$A$3,"State","TN","Category",7,"Category2","Group2")</f>
        <v>0</v>
      </c>
      <c r="AA102" s="77">
        <f>+GETPIVOTDATA(" Tot # Asc. Prof Old",'OLD Counts Pivot Table'!$A$3,"State","TN","Category",8,"Category2","Group2")</f>
        <v>417</v>
      </c>
      <c r="AB102" s="77">
        <f>+GETPIVOTDATA(" Tot # Asc. Prof Old",'OLD Counts Pivot Table'!$A$3,"State","TN","Category",9,"Category2","Group2")</f>
        <v>365</v>
      </c>
      <c r="AC102" s="77">
        <f>+GETPIVOTDATA(" Tot # Asc. Prof Old",'OLD Counts Pivot Table'!$A$3,"State","TN","Category",10,"Category2","Group2")</f>
        <v>0</v>
      </c>
      <c r="AD102" s="77">
        <f>+GETPIVOTDATA(" Tot # Asc. Prof Old",'OLD Counts Pivot Table'!$A$3,"State","TN","Category",11,"Category2","Group2")</f>
        <v>0</v>
      </c>
      <c r="AE102" s="78">
        <f>+GETPIVOTDATA(" Tot # Asc. Prof Old",'OLD Counts Pivot Table'!$A$3,"State","TN","Category2","Group2")</f>
        <v>782</v>
      </c>
      <c r="AF102" s="76">
        <f>+GETPIVOTDATA(" Tot # Asc. Prof Old",'OLD Counts Pivot Table'!$A$3,"State","TN","Category",12,"Category2","Technical Institutes")</f>
        <v>0</v>
      </c>
      <c r="AG102" s="77">
        <f>+GETPIVOTDATA(" Tot # Asc. Prof Old",'OLD Counts Pivot Table'!$A$3,"State","TN","Category",13,"Category2","Technical Institutes")</f>
        <v>0</v>
      </c>
      <c r="AH102" s="76">
        <f>+GETPIVOTDATA(" Tot # Asc. Prof Old",'OLD Counts Pivot Table'!$A$3,"State","AR","Category2","Technical Institutes")</f>
        <v>0</v>
      </c>
    </row>
    <row r="103" spans="1:36" x14ac:dyDescent="0.2">
      <c r="A103" s="10"/>
      <c r="B103" s="18" t="s">
        <v>101</v>
      </c>
      <c r="C103" s="12">
        <f t="shared" si="53"/>
        <v>0.24281667341157426</v>
      </c>
      <c r="D103" s="14">
        <f t="shared" si="53"/>
        <v>0.33573141486810554</v>
      </c>
      <c r="E103" s="14">
        <f t="shared" si="53"/>
        <v>0.26700547302580141</v>
      </c>
      <c r="F103" s="14">
        <f t="shared" si="53"/>
        <v>0</v>
      </c>
      <c r="G103" s="14">
        <f t="shared" si="53"/>
        <v>0.29136690647482016</v>
      </c>
      <c r="H103" s="40">
        <f t="shared" si="53"/>
        <v>0</v>
      </c>
      <c r="I103" s="12">
        <f t="shared" si="53"/>
        <v>0.26275331935709295</v>
      </c>
      <c r="J103" s="12">
        <f t="shared" si="53"/>
        <v>0</v>
      </c>
      <c r="K103" s="14">
        <f t="shared" si="53"/>
        <v>0.1835245046923879</v>
      </c>
      <c r="L103" s="14">
        <f t="shared" si="53"/>
        <v>0.22117647058823531</v>
      </c>
      <c r="M103" s="14">
        <f t="shared" si="56"/>
        <v>0</v>
      </c>
      <c r="N103" s="12">
        <f t="shared" si="54"/>
        <v>0.20121614151464898</v>
      </c>
      <c r="O103" s="12">
        <f t="shared" si="54"/>
        <v>0</v>
      </c>
      <c r="P103" s="14">
        <f t="shared" si="54"/>
        <v>0</v>
      </c>
      <c r="Q103" s="12">
        <f t="shared" si="55"/>
        <v>0</v>
      </c>
      <c r="R103" s="56"/>
      <c r="S103" s="76">
        <f>+GETPIVOTDATA(" Tot # Ast. Prof Old",'OLD Counts Pivot Table'!$A$3,"State","TN","Category",1,"Category2","Four-Year")</f>
        <v>600</v>
      </c>
      <c r="T103" s="77">
        <f>+GETPIVOTDATA(" Tot # Ast. Prof Old",'OLD Counts Pivot Table'!$A$3,"State","TN","Category",2,"Category2","Four-Year")</f>
        <v>140</v>
      </c>
      <c r="U103" s="77">
        <f>+GETPIVOTDATA(" Tot # Ast. Prof Old",'OLD Counts Pivot Table'!$A$3,"State","TN","Category",3,"Category2","Four-Year")</f>
        <v>683</v>
      </c>
      <c r="V103" s="77">
        <f>+GETPIVOTDATA(" Tot # Ast. Prof Old",'OLD Counts Pivot Table'!$A$3,"State","TN","Category",4,"Category2","Four-Year")</f>
        <v>0</v>
      </c>
      <c r="W103" s="77">
        <f>+GETPIVOTDATA(" Tot # Ast. Prof Old",'OLD Counts Pivot Table'!$A$3,"State","TN","Category",5,"Category2","Four-Year")</f>
        <v>81</v>
      </c>
      <c r="X103" s="77">
        <f>+GETPIVOTDATA(" Tot # Ast. Prof Old",'OLD Counts Pivot Table'!$A$3,"State","TN","Category",6,"Category2","Four-Year")</f>
        <v>0</v>
      </c>
      <c r="Y103" s="78">
        <f>+GETPIVOTDATA(" Tot # Ast. Prof Old",'OLD Counts Pivot Table'!$A$3,"State","TN","Category2","Four-Year")</f>
        <v>1504</v>
      </c>
      <c r="Z103" s="76">
        <f>+GETPIVOTDATA(" Tot # Ast. Prof Old",'OLD Counts Pivot Table'!$A$3,"State","TN","Category",7,"Category2","Group2")</f>
        <v>0</v>
      </c>
      <c r="AA103" s="77">
        <f>+GETPIVOTDATA(" Tot # Ast. Prof Old",'OLD Counts Pivot Table'!$A$3,"State","TN","Category",8,"Category2","Group2")</f>
        <v>176</v>
      </c>
      <c r="AB103" s="77">
        <f>+GETPIVOTDATA(" Tot # Ast. Prof Old",'OLD Counts Pivot Table'!$A$3,"State","TN","Category",9,"Category2","Group2")</f>
        <v>188</v>
      </c>
      <c r="AC103" s="77">
        <f>+GETPIVOTDATA(" Tot # Ast. Prof Old",'OLD Counts Pivot Table'!$A$3,"State","TN","Category",10,"Category2","Group2")</f>
        <v>0</v>
      </c>
      <c r="AD103" s="77">
        <f>+GETPIVOTDATA(" Tot # Ast. Prof Old",'OLD Counts Pivot Table'!$A$3,"State","TN","Category",11,"Category2","Group2")</f>
        <v>0</v>
      </c>
      <c r="AE103" s="78">
        <f>+GETPIVOTDATA(" Tot # Ast. Prof Old",'OLD Counts Pivot Table'!$A$3,"State","TN","Category2","Group2")</f>
        <v>364</v>
      </c>
      <c r="AF103" s="76">
        <f>+GETPIVOTDATA(" Tot # Ast. Prof Old",'OLD Counts Pivot Table'!$A$3,"State","TN","Category",12,"Category2","Technical Institutes")</f>
        <v>0</v>
      </c>
      <c r="AG103" s="77">
        <f>+GETPIVOTDATA(" Tot # Ast. Prof Old",'OLD Counts Pivot Table'!$A$3,"State","TN","Category",13,"Category2","Technical Institutes")</f>
        <v>0</v>
      </c>
      <c r="AH103" s="76">
        <f>+GETPIVOTDATA(" Tot # Ast. Prof Old",'OLD Counts Pivot Table'!$A$3,"State","AR","Category2","Technical Institutes")</f>
        <v>0</v>
      </c>
    </row>
    <row r="104" spans="1:36" x14ac:dyDescent="0.2">
      <c r="A104" s="10"/>
      <c r="B104" s="18" t="s">
        <v>102</v>
      </c>
      <c r="C104" s="12">
        <f t="shared" si="53"/>
        <v>5.7871307163091863E-2</v>
      </c>
      <c r="D104" s="14">
        <f t="shared" si="53"/>
        <v>7.4340527577937646E-2</v>
      </c>
      <c r="E104" s="14">
        <f t="shared" si="53"/>
        <v>9.4605160281469897E-2</v>
      </c>
      <c r="F104" s="14">
        <f t="shared" si="53"/>
        <v>0</v>
      </c>
      <c r="G104" s="14">
        <f t="shared" si="53"/>
        <v>6.1151079136690649E-2</v>
      </c>
      <c r="H104" s="40">
        <f t="shared" si="53"/>
        <v>0</v>
      </c>
      <c r="I104" s="12">
        <f t="shared" si="53"/>
        <v>7.5646401118099227E-2</v>
      </c>
      <c r="J104" s="12">
        <f t="shared" si="53"/>
        <v>0</v>
      </c>
      <c r="K104" s="14">
        <f t="shared" si="53"/>
        <v>0.26694473409801878</v>
      </c>
      <c r="L104" s="14">
        <f t="shared" si="53"/>
        <v>0.2023529411764706</v>
      </c>
      <c r="M104" s="14">
        <f t="shared" si="56"/>
        <v>0</v>
      </c>
      <c r="N104" s="12">
        <f t="shared" si="54"/>
        <v>0.23659480375898287</v>
      </c>
      <c r="O104" s="12">
        <f t="shared" si="54"/>
        <v>0</v>
      </c>
      <c r="P104" s="14">
        <f t="shared" si="54"/>
        <v>0</v>
      </c>
      <c r="Q104" s="12">
        <f t="shared" si="55"/>
        <v>0</v>
      </c>
      <c r="R104" s="56"/>
      <c r="S104" s="76">
        <f>+GETPIVOTDATA(" Tot # Instr. Old",'OLD Counts Pivot Table'!$A$3,"State","TN","Category",1,"Category2","Four-Year")</f>
        <v>143</v>
      </c>
      <c r="T104" s="77">
        <f>+GETPIVOTDATA(" Tot # Instr. Old",'OLD Counts Pivot Table'!$A$3,"State","TN","Category",2,"Category2","Four-Year")</f>
        <v>31</v>
      </c>
      <c r="U104" s="77">
        <f>+GETPIVOTDATA(" Tot # Instr. Old",'OLD Counts Pivot Table'!$A$3,"State","TN","Category",3,"Category2","Four-Year")</f>
        <v>242</v>
      </c>
      <c r="V104" s="77">
        <f>+GETPIVOTDATA(" Tot # Instr. Old",'OLD Counts Pivot Table'!$A$3,"State","TN","Category",4,"Category2","Four-Year")</f>
        <v>0</v>
      </c>
      <c r="W104" s="77">
        <f>+GETPIVOTDATA(" Tot # Instr. Old",'OLD Counts Pivot Table'!$A$3,"State","TN","Category",5,"Category2","Four-Year")</f>
        <v>17</v>
      </c>
      <c r="X104" s="77">
        <f>+GETPIVOTDATA(" Tot # Instr. Old",'OLD Counts Pivot Table'!$A$3,"State","TN","Category",6,"Category2","Four-Year")</f>
        <v>0</v>
      </c>
      <c r="Y104" s="78">
        <f>+GETPIVOTDATA(" Tot # Instr. Old",'OLD Counts Pivot Table'!$A$3,"State","TN","Category2","Four-Year")</f>
        <v>433</v>
      </c>
      <c r="Z104" s="76">
        <f>+GETPIVOTDATA(" Tot # Instr. Old",'OLD Counts Pivot Table'!$A$3,"State","TN","Category",7,"Category2","Group2")</f>
        <v>0</v>
      </c>
      <c r="AA104" s="77">
        <f>+GETPIVOTDATA(" Tot # Instr. Old",'OLD Counts Pivot Table'!$A$3,"State","TN","Category",8,"Category2","Group2")</f>
        <v>256</v>
      </c>
      <c r="AB104" s="77">
        <f>+GETPIVOTDATA(" Tot # Instr. Old",'OLD Counts Pivot Table'!$A$3,"State","TN","Category",9,"Category2","Group2")</f>
        <v>172</v>
      </c>
      <c r="AC104" s="77">
        <f>+GETPIVOTDATA(" Tot # Instr. Old",'OLD Counts Pivot Table'!$A$3,"State","TN","Category",10,"Category2","Group2")</f>
        <v>0</v>
      </c>
      <c r="AD104" s="77">
        <f>+GETPIVOTDATA(" Tot # Instr. Old",'OLD Counts Pivot Table'!$A$3,"State","TN","Category",11,"Category2","Group2")</f>
        <v>0</v>
      </c>
      <c r="AE104" s="78">
        <f>+GETPIVOTDATA(" Tot # Instr. Old",'OLD Counts Pivot Table'!$A$3,"State","TN","Category2","Group2")</f>
        <v>428</v>
      </c>
      <c r="AF104" s="76">
        <f>+GETPIVOTDATA(" Tot # Instr. Old",'OLD Counts Pivot Table'!$A$3,"State","TN","Category",12,"Category2","Technical Institutes")</f>
        <v>0</v>
      </c>
      <c r="AG104" s="77">
        <f>+GETPIVOTDATA(" Tot # Instr. Old",'OLD Counts Pivot Table'!$A$3,"State","TN","Category",13,"Category2","Technical Institutes")</f>
        <v>0</v>
      </c>
      <c r="AH104" s="76">
        <f>+GETPIVOTDATA(" Tot # Instr. Old",'OLD Counts Pivot Table'!$A$3,"State","AR","Category2","Technical Institutes")</f>
        <v>0</v>
      </c>
    </row>
    <row r="105" spans="1:36" x14ac:dyDescent="0.2">
      <c r="A105" s="10"/>
      <c r="B105" s="18" t="s">
        <v>83</v>
      </c>
      <c r="C105" s="12">
        <f t="shared" si="53"/>
        <v>0.11210036422501012</v>
      </c>
      <c r="D105" s="14">
        <f t="shared" si="53"/>
        <v>1.4388489208633094E-2</v>
      </c>
      <c r="E105" s="14">
        <f t="shared" si="53"/>
        <v>5.5512118842845973E-2</v>
      </c>
      <c r="F105" s="14">
        <f t="shared" si="53"/>
        <v>0</v>
      </c>
      <c r="G105" s="14">
        <f t="shared" si="53"/>
        <v>0.16187050359712229</v>
      </c>
      <c r="H105" s="40">
        <f t="shared" si="53"/>
        <v>0</v>
      </c>
      <c r="I105" s="12">
        <f t="shared" si="53"/>
        <v>8.2110412299091551E-2</v>
      </c>
      <c r="J105" s="12">
        <f t="shared" si="53"/>
        <v>0</v>
      </c>
      <c r="K105" s="153">
        <f t="shared" si="53"/>
        <v>0</v>
      </c>
      <c r="L105" s="14">
        <f t="shared" si="53"/>
        <v>9.4117647058823521E-3</v>
      </c>
      <c r="M105" s="14">
        <f t="shared" si="56"/>
        <v>0</v>
      </c>
      <c r="N105" s="154">
        <f t="shared" si="54"/>
        <v>4.4223327805417356E-3</v>
      </c>
      <c r="O105" s="12">
        <f t="shared" si="54"/>
        <v>0</v>
      </c>
      <c r="P105" s="14">
        <f t="shared" si="54"/>
        <v>0</v>
      </c>
      <c r="Q105" s="12">
        <f t="shared" si="55"/>
        <v>0</v>
      </c>
      <c r="R105" s="56"/>
      <c r="S105" s="76">
        <f>++GETPIVOTDATA(" Tot # Undes. Old",'OLD Counts Pivot Table'!$A$3,"State","TN","Category",1,"Category2","Four-Year")</f>
        <v>277</v>
      </c>
      <c r="T105" s="77">
        <f>+GETPIVOTDATA(" Tot # Undes. Old",'OLD Counts Pivot Table'!$A$3,"State","TN","Category",2,"Category2","Four-Year")</f>
        <v>6</v>
      </c>
      <c r="U105" s="77">
        <f>+GETPIVOTDATA(" Tot # Undes. Old",'OLD Counts Pivot Table'!$A$3,"State","TN","Category",3,"Category2","Four-Year")</f>
        <v>142</v>
      </c>
      <c r="V105" s="77">
        <f>+GETPIVOTDATA(" Tot # Undes. Old",'OLD Counts Pivot Table'!$A$3,"State","TN","Category",4,"Category2","Four-Year")</f>
        <v>0</v>
      </c>
      <c r="W105" s="77">
        <f>+GETPIVOTDATA(" Tot # Undes. Old",'OLD Counts Pivot Table'!$A$3,"State","TN","Category",5,"Category2","Four-Year")</f>
        <v>45</v>
      </c>
      <c r="X105" s="77">
        <f>+GETPIVOTDATA(" Tot # Undes. Old",'OLD Counts Pivot Table'!$A$3,"State","TN","Category",6,"Category2","Four-Year")</f>
        <v>0</v>
      </c>
      <c r="Y105" s="78">
        <f>+GETPIVOTDATA(" Tot # Undes. Old",'OLD Counts Pivot Table'!$A$3,"State","TN","Category2","Four-Year")</f>
        <v>470</v>
      </c>
      <c r="Z105" s="76">
        <f>+GETPIVOTDATA(" Tot # Undes. Old",'OLD Counts Pivot Table'!$A$3,"State","TN","Category",7,"Category2","Group2")</f>
        <v>0</v>
      </c>
      <c r="AA105" s="77">
        <f>+GETPIVOTDATA(" Tot # Undes. Old",'OLD Counts Pivot Table'!$A$3,"State","TN","Category",8,"Category2","Group2")</f>
        <v>0</v>
      </c>
      <c r="AB105" s="77">
        <f>+GETPIVOTDATA(" Tot # Undes. Old",'OLD Counts Pivot Table'!$A$3,"State","TN","Category",9,"Category2","Group2")</f>
        <v>8</v>
      </c>
      <c r="AC105" s="77">
        <f>+GETPIVOTDATA(" Tot # Undes. Old",'OLD Counts Pivot Table'!$A$3,"State","TN","Category",10,"Category2","Group2")</f>
        <v>0</v>
      </c>
      <c r="AD105" s="77">
        <f>+GETPIVOTDATA(" Tot # Undes. Old",'OLD Counts Pivot Table'!$A$3,"State","TN","Category",11,"Category2","Group2")</f>
        <v>0</v>
      </c>
      <c r="AE105" s="78">
        <f>+GETPIVOTDATA(" Tot # Undes. Old",'OLD Counts Pivot Table'!$A$3,"State","TN","Category2","Group2")</f>
        <v>8</v>
      </c>
      <c r="AF105" s="76">
        <f>+GETPIVOTDATA(" Tot # Undes. Old",'OLD Counts Pivot Table'!$A$3,"State","TN","Category",12,"Category2","Technical Institutes")</f>
        <v>0</v>
      </c>
      <c r="AG105" s="77">
        <f>+GETPIVOTDATA(" Tot # Undes. Old",'OLD Counts Pivot Table'!$A$3,"State","TN","Category",13,"Category2","Technical Institutes")</f>
        <v>0</v>
      </c>
      <c r="AH105" s="76">
        <f>+GETPIVOTDATA(" Tot # Undes. Old",'OLD Counts Pivot Table'!$A$3,"State","AR","Category2","Technical Institutes")</f>
        <v>0</v>
      </c>
    </row>
    <row r="106" spans="1:36" x14ac:dyDescent="0.2">
      <c r="A106" s="10"/>
      <c r="B106" s="18" t="s">
        <v>82</v>
      </c>
      <c r="C106" s="12">
        <f t="shared" si="53"/>
        <v>0</v>
      </c>
      <c r="D106" s="14">
        <f t="shared" si="53"/>
        <v>0</v>
      </c>
      <c r="E106" s="103">
        <f t="shared" si="53"/>
        <v>0</v>
      </c>
      <c r="F106" s="14">
        <f t="shared" si="53"/>
        <v>0</v>
      </c>
      <c r="G106" s="103">
        <f t="shared" si="53"/>
        <v>0</v>
      </c>
      <c r="H106" s="40">
        <f t="shared" si="53"/>
        <v>0</v>
      </c>
      <c r="I106" s="102">
        <f t="shared" si="53"/>
        <v>0</v>
      </c>
      <c r="J106" s="12">
        <f t="shared" si="53"/>
        <v>0</v>
      </c>
      <c r="K106" s="14">
        <f t="shared" si="53"/>
        <v>0</v>
      </c>
      <c r="L106" s="14">
        <f t="shared" si="53"/>
        <v>0</v>
      </c>
      <c r="M106" s="14">
        <f t="shared" si="56"/>
        <v>0</v>
      </c>
      <c r="N106" s="12">
        <f t="shared" si="54"/>
        <v>0</v>
      </c>
      <c r="O106" s="12">
        <f t="shared" si="54"/>
        <v>0</v>
      </c>
      <c r="P106" s="14">
        <f t="shared" si="54"/>
        <v>1</v>
      </c>
      <c r="Q106" s="12">
        <f t="shared" si="55"/>
        <v>0</v>
      </c>
      <c r="R106" s="56"/>
      <c r="S106" s="76">
        <f>+GETPIVOTDATA(" Tot # Single Rnk Old",'OLD Counts Pivot Table'!$A$3,"State","TN","Category",1,"Category2","Four-Year")</f>
        <v>0</v>
      </c>
      <c r="T106" s="77">
        <f>+GETPIVOTDATA(" Tot # Single Rnk Old",'OLD Counts Pivot Table'!$A$3,"State","TN","Category",2,"Category2","Four-Year")</f>
        <v>0</v>
      </c>
      <c r="U106" s="77">
        <f>+GETPIVOTDATA(" Tot # Single Rnk Old",'OLD Counts Pivot Table'!$A$3,"State","TN","Category",3,"Category2","Four-Year")</f>
        <v>0</v>
      </c>
      <c r="V106" s="77">
        <f>+GETPIVOTDATA(" Tot # Single Rnk Old",'OLD Counts Pivot Table'!$A$3,"State","TN","Category",4,"Category2","Four-Year")</f>
        <v>0</v>
      </c>
      <c r="W106" s="77">
        <f>+GETPIVOTDATA(" Tot # Single Rnk Old",'OLD Counts Pivot Table'!$A$3,"State","TN","Category",5,"Category2","Four-Year")</f>
        <v>0</v>
      </c>
      <c r="X106" s="77">
        <f>+GETPIVOTDATA(" Tot # Single Rnk Old",'OLD Counts Pivot Table'!$A$3,"State","TN","Category",6,"Category2","Four-Year")</f>
        <v>0</v>
      </c>
      <c r="Y106" s="78">
        <f>+GETPIVOTDATA(" Tot # Single Rnk Old",'OLD Counts Pivot Table'!$A$3,"State","TN","Category2","Four-Year")</f>
        <v>0</v>
      </c>
      <c r="Z106" s="76">
        <f>+GETPIVOTDATA(" Tot # Single Rnk Old",'OLD Counts Pivot Table'!$A$3,"State","TN","Category",7,"Category2","Group2")</f>
        <v>0</v>
      </c>
      <c r="AA106" s="77">
        <f>+GETPIVOTDATA(" Tot # Single Rnk Old",'OLD Counts Pivot Table'!$A$3,"State","TN","Category",8,"Category2","Group2")</f>
        <v>0</v>
      </c>
      <c r="AB106" s="77">
        <f>+GETPIVOTDATA(" Tot # Single Rnk Old",'OLD Counts Pivot Table'!$A$3,"State","TN","Category",9,"Category2","Group2")</f>
        <v>0</v>
      </c>
      <c r="AC106" s="77">
        <f>+GETPIVOTDATA(" Tot # Single Rnk Old",'OLD Counts Pivot Table'!$A$3,"State","TN","Category",10,"Category2","Group2")</f>
        <v>0</v>
      </c>
      <c r="AD106" s="77">
        <f>+GETPIVOTDATA(" Tot # Single Rnk Old",'OLD Counts Pivot Table'!$A$3,"State","TN","Category",11,"Category2","Group2")</f>
        <v>0</v>
      </c>
      <c r="AE106" s="78">
        <f>+GETPIVOTDATA(" Tot # Single Rnk Old",'OLD Counts Pivot Table'!$A$3,"State","TN","Category2","Group2")</f>
        <v>0</v>
      </c>
      <c r="AF106" s="76">
        <f>+GETPIVOTDATA(" Tot # Single Rnk Old",'OLD Counts Pivot Table'!$A$3,"State","TN","Category",12,"Category2","Technical Institutes")</f>
        <v>0</v>
      </c>
      <c r="AG106" s="77">
        <f>+GETPIVOTDATA(" Tot # Single Rnk Old",'OLD Counts Pivot Table'!$A$3,"State","TN","Category",13,"Category2","Technical Institutes")</f>
        <v>529</v>
      </c>
      <c r="AH106" s="76">
        <f>+GETPIVOTDATA(" Tot # Single Rnk Old",'OLD Counts Pivot Table'!$A$3,"State","AR","Category2","Technical Institutes")</f>
        <v>0</v>
      </c>
    </row>
    <row r="107" spans="1:36" s="33" customFormat="1" x14ac:dyDescent="0.25">
      <c r="A107" s="109"/>
      <c r="B107" s="110" t="s">
        <v>84</v>
      </c>
      <c r="C107" s="13">
        <f t="shared" si="53"/>
        <v>1</v>
      </c>
      <c r="D107" s="11">
        <f t="shared" si="53"/>
        <v>1</v>
      </c>
      <c r="E107" s="11">
        <f t="shared" si="53"/>
        <v>1</v>
      </c>
      <c r="F107" s="11">
        <f t="shared" si="53"/>
        <v>0</v>
      </c>
      <c r="G107" s="11">
        <f t="shared" si="53"/>
        <v>1</v>
      </c>
      <c r="H107" s="41">
        <f t="shared" si="53"/>
        <v>0</v>
      </c>
      <c r="I107" s="13">
        <f t="shared" si="53"/>
        <v>1</v>
      </c>
      <c r="J107" s="13">
        <f t="shared" si="53"/>
        <v>0</v>
      </c>
      <c r="K107" s="11">
        <f t="shared" si="53"/>
        <v>1</v>
      </c>
      <c r="L107" s="11">
        <f t="shared" si="53"/>
        <v>1</v>
      </c>
      <c r="M107" s="11">
        <f t="shared" si="56"/>
        <v>0</v>
      </c>
      <c r="N107" s="13">
        <f t="shared" si="54"/>
        <v>1</v>
      </c>
      <c r="O107" s="13">
        <f t="shared" si="54"/>
        <v>0</v>
      </c>
      <c r="P107" s="11">
        <f t="shared" si="54"/>
        <v>1</v>
      </c>
      <c r="Q107" s="13">
        <f t="shared" si="55"/>
        <v>0</v>
      </c>
      <c r="R107" s="57"/>
      <c r="S107" s="79">
        <f>+GETPIVOTDATA(" All Ranks # Old",'OLD Counts Pivot Table'!$A$3,"State","TN","Category",1,"Category2","Four-Year")</f>
        <v>2471</v>
      </c>
      <c r="T107" s="80">
        <f>+GETPIVOTDATA(" All Ranks # Old",'OLD Counts Pivot Table'!$A$3,"State","TN","Category",2,"Category2","Four-Year")</f>
        <v>417</v>
      </c>
      <c r="U107" s="80">
        <f>+GETPIVOTDATA(" All Ranks # Old",'OLD Counts Pivot Table'!$A$3,"State","TN","Category",3,"Category2","Four-Year")</f>
        <v>2558</v>
      </c>
      <c r="V107" s="80">
        <f>+GETPIVOTDATA(" All Ranks # Old",'OLD Counts Pivot Table'!$A$3,"State","TN","Category",4,"Category2","Four-Year")</f>
        <v>0</v>
      </c>
      <c r="W107" s="80">
        <f>+GETPIVOTDATA(" All Ranks # Old",'OLD Counts Pivot Table'!$A$3,"State","TN","Category",5,"Category2","Four-Year")</f>
        <v>278</v>
      </c>
      <c r="X107" s="80">
        <f>+GETPIVOTDATA(" All Ranks # Old",'OLD Counts Pivot Table'!$A$3,"State","TN","Category",6,"Category2","Four-Year")</f>
        <v>0</v>
      </c>
      <c r="Y107" s="81">
        <f>+GETPIVOTDATA(" All Ranks # Old",'OLD Counts Pivot Table'!$A$3,"State","TN","Category2","Four-Year")</f>
        <v>5724</v>
      </c>
      <c r="Z107" s="79">
        <f>+GETPIVOTDATA(" All Ranks # Old",'OLD Counts Pivot Table'!$A$3,"State","TN","Category",7,"Category2","Group2")</f>
        <v>0</v>
      </c>
      <c r="AA107" s="80">
        <f>+GETPIVOTDATA(" All Ranks # Old",'OLD Counts Pivot Table'!$A$3,"State","TN","Category",8,"Category2","Group2")</f>
        <v>959</v>
      </c>
      <c r="AB107" s="80">
        <f>+GETPIVOTDATA(" All Ranks # Old",'OLD Counts Pivot Table'!$A$3,"State","TN","Category",9,"Category2","Group2")</f>
        <v>850</v>
      </c>
      <c r="AC107" s="80">
        <f>+GETPIVOTDATA(" All Ranks # Old",'OLD Counts Pivot Table'!$A$3,"State","TN","Category",10,"Category2","Group2")</f>
        <v>0</v>
      </c>
      <c r="AD107" s="80">
        <f>+GETPIVOTDATA(" All Ranks # Old",'OLD Counts Pivot Table'!$A$3,"State","TN","Category",11,"Category2","Group2")</f>
        <v>0</v>
      </c>
      <c r="AE107" s="81">
        <f>+GETPIVOTDATA(" All Ranks # Old",'OLD Counts Pivot Table'!$A$3,"State","TN","Category2","Group2")</f>
        <v>1809</v>
      </c>
      <c r="AF107" s="79">
        <f>+GETPIVOTDATA(" All Ranks # Old",'OLD Counts Pivot Table'!$A$3,"State","TN","Category",12,"Category2","Technical Institutes")</f>
        <v>0</v>
      </c>
      <c r="AG107" s="80">
        <f>+GETPIVOTDATA(" All Ranks # Old",'OLD Counts Pivot Table'!$A$3,"State","TN","Category",13,"Category2","Technical Institutes")</f>
        <v>529</v>
      </c>
      <c r="AH107" s="79">
        <f>+GETPIVOTDATA(" All Ranks # Old",'OLD Counts Pivot Table'!$A$3,"State","AR","Category2","Technical Institutes")</f>
        <v>0</v>
      </c>
      <c r="AI107" s="82"/>
      <c r="AJ107" s="82"/>
    </row>
    <row r="108" spans="1:36" x14ac:dyDescent="0.2">
      <c r="A108" s="18" t="s">
        <v>77</v>
      </c>
      <c r="B108" s="15" t="s">
        <v>99</v>
      </c>
      <c r="C108" s="16">
        <f t="shared" ref="C108:M114" si="57">IF(S$114&gt;0,(S108/S$114),0)</f>
        <v>0.32923570283270975</v>
      </c>
      <c r="D108" s="17">
        <f t="shared" si="57"/>
        <v>0.20113460546673542</v>
      </c>
      <c r="E108" s="17">
        <f t="shared" si="57"/>
        <v>0.21017947279865395</v>
      </c>
      <c r="F108" s="17">
        <f t="shared" si="57"/>
        <v>0.29213483146067415</v>
      </c>
      <c r="G108" s="17">
        <f t="shared" si="57"/>
        <v>0.16838487972508592</v>
      </c>
      <c r="H108" s="39">
        <f t="shared" si="57"/>
        <v>0.24</v>
      </c>
      <c r="I108" s="16">
        <f t="shared" si="57"/>
        <v>0.26817583574624904</v>
      </c>
      <c r="J108" s="16">
        <f t="shared" si="57"/>
        <v>8.5751978891820582E-2</v>
      </c>
      <c r="K108" s="17">
        <f t="shared" si="57"/>
        <v>0.19353321575543797</v>
      </c>
      <c r="L108" s="17">
        <f t="shared" si="57"/>
        <v>0.16673283048828899</v>
      </c>
      <c r="M108" s="17">
        <f t="shared" si="57"/>
        <v>0.11196911196911197</v>
      </c>
      <c r="N108" s="16">
        <f t="shared" ref="N108:P114" si="58">IF(AE$114&gt;0,(AE108/AE$114),0)</f>
        <v>0.17796747967479676</v>
      </c>
      <c r="O108" s="91">
        <f t="shared" si="58"/>
        <v>0</v>
      </c>
      <c r="P108" s="17">
        <f t="shared" si="58"/>
        <v>0</v>
      </c>
      <c r="Q108" s="91">
        <f t="shared" ref="Q108:Q114" si="59">IF(AH$114&gt;0,(AH108/AH$114),0)</f>
        <v>0</v>
      </c>
      <c r="R108" s="83"/>
      <c r="S108" s="73">
        <f>+GETPIVOTDATA(" Total # Prof Old",'OLD Counts Pivot Table'!$A$3,"State","TX","Category",1,"Category2","Four-Year")</f>
        <v>3080</v>
      </c>
      <c r="T108" s="74">
        <f>+GETPIVOTDATA(" Total # Prof Old",'OLD Counts Pivot Table'!$A$3,"State","TX","Category",2,"Category2","Four-Year")</f>
        <v>390</v>
      </c>
      <c r="U108" s="74">
        <f>+GETPIVOTDATA(" Total # Prof Old",'OLD Counts Pivot Table'!$A$3,"State","TX","Category",3,"Category2","Four-Year")</f>
        <v>1499</v>
      </c>
      <c r="V108" s="74">
        <f>+GETPIVOTDATA(" Total # Prof Old",'OLD Counts Pivot Table'!$A$3,"State","TX","Category",4,"Category2","Four-Year")</f>
        <v>52</v>
      </c>
      <c r="W108" s="74">
        <f>+GETPIVOTDATA(" Total # Prof Old",'OLD Counts Pivot Table'!$A$3,"State","TX","Category",5,"Category2","Four-Year")</f>
        <v>49</v>
      </c>
      <c r="X108" s="74">
        <f>+GETPIVOTDATA(" Total # Prof Old",'OLD Counts Pivot Table'!$A$3,"State","TX","Category",6,"Category2","Four-Year")</f>
        <v>24</v>
      </c>
      <c r="Y108" s="75">
        <f>+GETPIVOTDATA(" Total # Prof Old",'OLD Counts Pivot Table'!$A$3,"State","TX","Category2","Four-Year")</f>
        <v>5094</v>
      </c>
      <c r="Z108" s="73">
        <f>+GETPIVOTDATA(" Total # Prof Old",'OLD Counts Pivot Table'!$A$3,"State","TX","Category",7,"Category2","Group2")</f>
        <v>65</v>
      </c>
      <c r="AA108" s="74">
        <f>+GETPIVOTDATA(" Total # Prof Old",'OLD Counts Pivot Table'!$A$3,"State","TX","Category",8,"Category2","Group2")</f>
        <v>1646</v>
      </c>
      <c r="AB108" s="74">
        <f>+GETPIVOTDATA(" Total # Prof Old",'OLD Counts Pivot Table'!$A$3,"State","TX","Category",9,"Category2","Group2")</f>
        <v>420</v>
      </c>
      <c r="AC108" s="74">
        <f>+GETPIVOTDATA(" Total # Prof Old",'OLD Counts Pivot Table'!$A$3,"State","TX","Category",10,"Category2","Group2")</f>
        <v>58</v>
      </c>
      <c r="AD108" s="74">
        <f>+GETPIVOTDATA(" Total # Prof Old",'OLD Counts Pivot Table'!$A$3,"State","TX","Category",11,"Category2","Group2")</f>
        <v>0</v>
      </c>
      <c r="AE108" s="75">
        <f>+GETPIVOTDATA(" Total # Prof Old",'OLD Counts Pivot Table'!$A$3,"State","TX","Category2","Group2")</f>
        <v>2189</v>
      </c>
      <c r="AF108" s="73">
        <f>+GETPIVOTDATA(" Total # Prof Old",'OLD Counts Pivot Table'!$A$3,"State","TX","Category",12,"Category2","Technical Institutes")</f>
        <v>0</v>
      </c>
      <c r="AG108" s="74">
        <f>+GETPIVOTDATA(" Total # Prof Old",'OLD Counts Pivot Table'!$A$3,"State","TX","Category",13,"Category2","Technical Institutes")</f>
        <v>0</v>
      </c>
      <c r="AH108" s="73">
        <f>+GETPIVOTDATA(" Total # Prof Old",'OLD Counts Pivot Table'!$A$3,"State","AR","Category2","Technical Institutes")</f>
        <v>0</v>
      </c>
    </row>
    <row r="109" spans="1:36" x14ac:dyDescent="0.2">
      <c r="A109" s="10"/>
      <c r="B109" s="18" t="s">
        <v>100</v>
      </c>
      <c r="C109" s="12">
        <f t="shared" si="57"/>
        <v>0.24094067343666489</v>
      </c>
      <c r="D109" s="14">
        <f t="shared" si="57"/>
        <v>0.24600309437854564</v>
      </c>
      <c r="E109" s="14">
        <f t="shared" si="57"/>
        <v>0.2316320807627594</v>
      </c>
      <c r="F109" s="14">
        <f t="shared" si="57"/>
        <v>0.29775280898876405</v>
      </c>
      <c r="G109" s="14">
        <f t="shared" si="57"/>
        <v>0.32302405498281789</v>
      </c>
      <c r="H109" s="40">
        <f t="shared" si="57"/>
        <v>0.14000000000000001</v>
      </c>
      <c r="I109" s="12">
        <f t="shared" si="57"/>
        <v>0.23922084759147144</v>
      </c>
      <c r="J109" s="12">
        <f t="shared" si="57"/>
        <v>8.7071240105540904E-2</v>
      </c>
      <c r="K109" s="14">
        <f t="shared" si="57"/>
        <v>0.11228689006466784</v>
      </c>
      <c r="L109" s="14">
        <f t="shared" si="57"/>
        <v>5.9944422389837236E-2</v>
      </c>
      <c r="M109" s="14">
        <f t="shared" ref="M109:M114" si="60">IF(AC$114&gt;0,(AC109/AC$114),0)</f>
        <v>4.633204633204633E-2</v>
      </c>
      <c r="N109" s="12">
        <f t="shared" si="58"/>
        <v>9.7235772357723571E-2</v>
      </c>
      <c r="O109" s="12">
        <f t="shared" si="58"/>
        <v>0</v>
      </c>
      <c r="P109" s="14">
        <f t="shared" si="58"/>
        <v>0</v>
      </c>
      <c r="Q109" s="12">
        <f t="shared" si="59"/>
        <v>0</v>
      </c>
      <c r="R109" s="56"/>
      <c r="S109" s="76">
        <f>+GETPIVOTDATA(" Tot # Asc. Prof Old",'OLD Counts Pivot Table'!$A$3,"State","TX","Category",1,"Category2","Four-Year")</f>
        <v>2254</v>
      </c>
      <c r="T109" s="77">
        <f>+GETPIVOTDATA(" Tot # Asc. Prof Old",'OLD Counts Pivot Table'!$A$3,"State","TX","Category",2,"Category2","Four-Year")</f>
        <v>477</v>
      </c>
      <c r="U109" s="77">
        <f>+GETPIVOTDATA(" Tot # Asc. Prof Old",'OLD Counts Pivot Table'!$A$3,"State","TX","Category",3,"Category2","Four-Year")</f>
        <v>1652</v>
      </c>
      <c r="V109" s="77">
        <f>+GETPIVOTDATA(" Tot # Asc. Prof Old",'OLD Counts Pivot Table'!$A$3,"State","TX","Category",4,"Category2","Four-Year")</f>
        <v>53</v>
      </c>
      <c r="W109" s="77">
        <f>+GETPIVOTDATA(" Tot # Asc. Prof Old",'OLD Counts Pivot Table'!$A$3,"State","TX","Category",5,"Category2","Four-Year")</f>
        <v>94</v>
      </c>
      <c r="X109" s="77">
        <f>+GETPIVOTDATA(" Tot # Asc. Prof Old",'OLD Counts Pivot Table'!$A$3,"State","TX","Category",6,"Category2","Four-Year")</f>
        <v>14</v>
      </c>
      <c r="Y109" s="78">
        <f>+GETPIVOTDATA(" Tot # Asc. Prof Old",'OLD Counts Pivot Table'!$A$3,"State","TX","Category2","Four-Year")</f>
        <v>4544</v>
      </c>
      <c r="Z109" s="76">
        <f>+GETPIVOTDATA(" Tot # Asc. Prof Old",'OLD Counts Pivot Table'!$A$3,"State","TX","Category",7,"Category2","Group2")</f>
        <v>66</v>
      </c>
      <c r="AA109" s="77">
        <f>+GETPIVOTDATA(" Tot # Asc. Prof Old",'OLD Counts Pivot Table'!$A$3,"State","TX","Category",8,"Category2","Group2")</f>
        <v>955</v>
      </c>
      <c r="AB109" s="77">
        <f>+GETPIVOTDATA(" Tot # Asc. Prof Old",'OLD Counts Pivot Table'!$A$3,"State","TX","Category",9,"Category2","Group2")</f>
        <v>151</v>
      </c>
      <c r="AC109" s="77">
        <f>+GETPIVOTDATA(" Tot # Asc. Prof Old",'OLD Counts Pivot Table'!$A$3,"State","TX","Category",10,"Category2","Group2")</f>
        <v>24</v>
      </c>
      <c r="AD109" s="77">
        <f>+GETPIVOTDATA(" Tot # Asc. Prof Old",'OLD Counts Pivot Table'!$A$3,"State","TX","Category",11,"Category2","Group2")</f>
        <v>0</v>
      </c>
      <c r="AE109" s="78">
        <f>+GETPIVOTDATA(" Tot # Asc. Prof Old",'OLD Counts Pivot Table'!$A$3,"State","TX","Category2","Group2")</f>
        <v>1196</v>
      </c>
      <c r="AF109" s="76">
        <f>+GETPIVOTDATA(" Tot # Asc. Prof Old",'OLD Counts Pivot Table'!$A$3,"State","TX","Category",12,"Category2","Technical Institutes")</f>
        <v>0</v>
      </c>
      <c r="AG109" s="77">
        <f>+GETPIVOTDATA(" Tot # Asc. Prof Old",'OLD Counts Pivot Table'!$A$3,"State","TX","Category",13,"Category2","Technical Institutes")</f>
        <v>0</v>
      </c>
      <c r="AH109" s="76">
        <f>+GETPIVOTDATA(" Tot # Asc. Prof Old",'OLD Counts Pivot Table'!$A$3,"State","AR","Category2","Technical Institutes")</f>
        <v>0</v>
      </c>
    </row>
    <row r="110" spans="1:36" x14ac:dyDescent="0.2">
      <c r="A110" s="10"/>
      <c r="B110" s="18" t="s">
        <v>101</v>
      </c>
      <c r="C110" s="12">
        <f t="shared" si="57"/>
        <v>0.22191341528594336</v>
      </c>
      <c r="D110" s="14">
        <f t="shared" si="57"/>
        <v>0.21763795771015987</v>
      </c>
      <c r="E110" s="14">
        <f t="shared" si="57"/>
        <v>0.30804823331463826</v>
      </c>
      <c r="F110" s="14">
        <f t="shared" si="57"/>
        <v>0.2752808988764045</v>
      </c>
      <c r="G110" s="14">
        <f t="shared" si="57"/>
        <v>0.33333333333333331</v>
      </c>
      <c r="H110" s="40">
        <f t="shared" si="57"/>
        <v>0.18</v>
      </c>
      <c r="I110" s="12">
        <f t="shared" si="57"/>
        <v>0.25580415898920766</v>
      </c>
      <c r="J110" s="12">
        <f t="shared" si="57"/>
        <v>0.10158311345646438</v>
      </c>
      <c r="K110" s="14">
        <f t="shared" si="57"/>
        <v>9.0652557319223989E-2</v>
      </c>
      <c r="L110" s="14">
        <f t="shared" si="57"/>
        <v>5.5577610162763004E-2</v>
      </c>
      <c r="M110" s="14">
        <f t="shared" si="60"/>
        <v>9.45945945945946E-2</v>
      </c>
      <c r="N110" s="12">
        <f t="shared" si="58"/>
        <v>8.4308943089430891E-2</v>
      </c>
      <c r="O110" s="12">
        <f t="shared" si="58"/>
        <v>0</v>
      </c>
      <c r="P110" s="14">
        <f t="shared" si="58"/>
        <v>0</v>
      </c>
      <c r="Q110" s="12">
        <f t="shared" si="59"/>
        <v>0</v>
      </c>
      <c r="R110" s="56"/>
      <c r="S110" s="76">
        <f>+GETPIVOTDATA(" Tot # Ast. Prof Old",'OLD Counts Pivot Table'!$A$3,"State","TX","Category",1,"Category2","Four-Year")</f>
        <v>2076</v>
      </c>
      <c r="T110" s="77">
        <f>+GETPIVOTDATA(" Tot # Ast. Prof Old",'OLD Counts Pivot Table'!$A$3,"State","TX","Category",2,"Category2","Four-Year")</f>
        <v>422</v>
      </c>
      <c r="U110" s="77">
        <f>+GETPIVOTDATA(" Tot # Ast. Prof Old",'OLD Counts Pivot Table'!$A$3,"State","TX","Category",3,"Category2","Four-Year")</f>
        <v>2197</v>
      </c>
      <c r="V110" s="77">
        <f>+GETPIVOTDATA(" Tot # Ast. Prof Old",'OLD Counts Pivot Table'!$A$3,"State","TX","Category",4,"Category2","Four-Year")</f>
        <v>49</v>
      </c>
      <c r="W110" s="77">
        <f>+GETPIVOTDATA(" Tot # Ast. Prof Old",'OLD Counts Pivot Table'!$A$3,"State","TX","Category",5,"Category2","Four-Year")</f>
        <v>97</v>
      </c>
      <c r="X110" s="77">
        <f>+GETPIVOTDATA(" Tot # Ast. Prof Old",'OLD Counts Pivot Table'!$A$3,"State","TX","Category",6,"Category2","Four-Year")</f>
        <v>18</v>
      </c>
      <c r="Y110" s="78">
        <f>+GETPIVOTDATA(" Tot # Ast. Prof Old",'OLD Counts Pivot Table'!$A$3,"State","TX","Category2","Four-Year")</f>
        <v>4859</v>
      </c>
      <c r="Z110" s="76">
        <f>+GETPIVOTDATA(" Tot # Ast. Prof Old",'OLD Counts Pivot Table'!$A$3,"State","TX","Category",7,"Category2","Group2")</f>
        <v>77</v>
      </c>
      <c r="AA110" s="77">
        <f>+GETPIVOTDATA(" Tot # Ast. Prof Old",'OLD Counts Pivot Table'!$A$3,"State","TX","Category",8,"Category2","Group2")</f>
        <v>771</v>
      </c>
      <c r="AB110" s="77">
        <f>+GETPIVOTDATA(" Tot # Ast. Prof Old",'OLD Counts Pivot Table'!$A$3,"State","TX","Category",9,"Category2","Group2")</f>
        <v>140</v>
      </c>
      <c r="AC110" s="77">
        <f>+GETPIVOTDATA(" Tot # Ast. Prof Old",'OLD Counts Pivot Table'!$A$3,"State","TX","Category",10,"Category2","Group2")</f>
        <v>49</v>
      </c>
      <c r="AD110" s="77">
        <f>+GETPIVOTDATA(" Tot # Ast. Prof Old",'OLD Counts Pivot Table'!$A$3,"State","TX","Category",11,"Category2","Group2")</f>
        <v>0</v>
      </c>
      <c r="AE110" s="78">
        <f>+GETPIVOTDATA(" Tot # Ast. Prof Old",'OLD Counts Pivot Table'!$A$3,"State","TX","Category2","Group2")</f>
        <v>1037</v>
      </c>
      <c r="AF110" s="76">
        <f>+GETPIVOTDATA(" Tot # Ast. Prof Old",'OLD Counts Pivot Table'!$A$3,"State","TX","Category",12,"Category2","Technical Institutes")</f>
        <v>0</v>
      </c>
      <c r="AG110" s="77">
        <f>+GETPIVOTDATA(" Tot # Ast. Prof Old",'OLD Counts Pivot Table'!$A$3,"State","TX","Category",13,"Category2","Technical Institutes")</f>
        <v>0</v>
      </c>
      <c r="AH110" s="76">
        <f>+GETPIVOTDATA(" Tot # Ast. Prof Old",'OLD Counts Pivot Table'!$A$3,"State","AR","Category2","Technical Institutes")</f>
        <v>0</v>
      </c>
    </row>
    <row r="111" spans="1:36" x14ac:dyDescent="0.2">
      <c r="A111" s="10"/>
      <c r="B111" s="18" t="s">
        <v>102</v>
      </c>
      <c r="C111" s="12">
        <f t="shared" si="57"/>
        <v>3.2602886157135219E-2</v>
      </c>
      <c r="D111" s="14">
        <f t="shared" si="57"/>
        <v>5.6730273336771534E-3</v>
      </c>
      <c r="E111" s="14">
        <f t="shared" si="57"/>
        <v>8.1323611890072908E-2</v>
      </c>
      <c r="F111" s="14">
        <f t="shared" si="57"/>
        <v>6.1797752808988762E-2</v>
      </c>
      <c r="G111" s="14">
        <f t="shared" si="57"/>
        <v>2.4054982817869417E-2</v>
      </c>
      <c r="H111" s="40">
        <f t="shared" si="57"/>
        <v>0</v>
      </c>
      <c r="I111" s="12">
        <f t="shared" si="57"/>
        <v>4.8117925769939458E-2</v>
      </c>
      <c r="J111" s="12">
        <f t="shared" si="57"/>
        <v>0.71503957783641159</v>
      </c>
      <c r="K111" s="14">
        <f t="shared" si="57"/>
        <v>0.29958847736625516</v>
      </c>
      <c r="L111" s="14">
        <f t="shared" si="57"/>
        <v>0.37514886859865026</v>
      </c>
      <c r="M111" s="14">
        <f t="shared" si="60"/>
        <v>0.74710424710424705</v>
      </c>
      <c r="N111" s="12">
        <f t="shared" si="58"/>
        <v>0.35951219512195121</v>
      </c>
      <c r="O111" s="12">
        <f t="shared" si="58"/>
        <v>0</v>
      </c>
      <c r="P111" s="14">
        <f t="shared" si="58"/>
        <v>0</v>
      </c>
      <c r="Q111" s="12">
        <f t="shared" si="59"/>
        <v>0</v>
      </c>
      <c r="R111" s="56"/>
      <c r="S111" s="76">
        <f>+GETPIVOTDATA(" Tot # Instr. Old",'OLD Counts Pivot Table'!$A$3,"State","TX","Category",1,"Category2","Four-Year")</f>
        <v>305</v>
      </c>
      <c r="T111" s="77">
        <f>+GETPIVOTDATA(" Tot # Instr. Old",'OLD Counts Pivot Table'!$A$3,"State","TX","Category",2,"Category2","Four-Year")</f>
        <v>11</v>
      </c>
      <c r="U111" s="77">
        <f>+GETPIVOTDATA(" Tot # Instr. Old",'OLD Counts Pivot Table'!$A$3,"State","TX","Category",3,"Category2","Four-Year")</f>
        <v>580</v>
      </c>
      <c r="V111" s="77">
        <f>+GETPIVOTDATA(" Tot # Instr. Old",'OLD Counts Pivot Table'!$A$3,"State","TX","Category",4,"Category2","Four-Year")</f>
        <v>11</v>
      </c>
      <c r="W111" s="77">
        <f>+GETPIVOTDATA(" Tot # Instr. Old",'OLD Counts Pivot Table'!$A$3,"State","TX","Category",5,"Category2","Four-Year")</f>
        <v>7</v>
      </c>
      <c r="X111" s="77">
        <f>+GETPIVOTDATA(" Tot # Instr. Old",'OLD Counts Pivot Table'!$A$3,"State","TX","Category",6,"Category2","Four-Year")</f>
        <v>0</v>
      </c>
      <c r="Y111" s="78">
        <f>+GETPIVOTDATA(" Tot # Instr. Old",'OLD Counts Pivot Table'!$A$3,"State","TX","Category2","Four-Year")</f>
        <v>914</v>
      </c>
      <c r="Z111" s="76">
        <f>+GETPIVOTDATA(" Tot # Instr. Old",'OLD Counts Pivot Table'!$A$3,"State","TX","Category",7,"Category2","Group2")</f>
        <v>542</v>
      </c>
      <c r="AA111" s="77">
        <f>+GETPIVOTDATA(" Tot # Instr. Old",'OLD Counts Pivot Table'!$A$3,"State","TX","Category",8,"Category2","Group2")</f>
        <v>2548</v>
      </c>
      <c r="AB111" s="77">
        <f>+GETPIVOTDATA(" Tot # Instr. Old",'OLD Counts Pivot Table'!$A$3,"State","TX","Category",9,"Category2","Group2")</f>
        <v>945</v>
      </c>
      <c r="AC111" s="77">
        <f>+GETPIVOTDATA(" Tot # Instr. Old",'OLD Counts Pivot Table'!$A$3,"State","TX","Category",10,"Category2","Group2")</f>
        <v>387</v>
      </c>
      <c r="AD111" s="77">
        <f>+GETPIVOTDATA(" Tot # Instr. Old",'OLD Counts Pivot Table'!$A$3,"State","TX","Category",11,"Category2","Group2")</f>
        <v>0</v>
      </c>
      <c r="AE111" s="78">
        <f>+GETPIVOTDATA(" Tot # Instr. Old",'OLD Counts Pivot Table'!$A$3,"State","TX","Category2","Group2")</f>
        <v>4422</v>
      </c>
      <c r="AF111" s="76">
        <f>+GETPIVOTDATA(" Tot # Instr. Old",'OLD Counts Pivot Table'!$A$3,"State","TX","Category",12,"Category2","Technical Institutes")</f>
        <v>0</v>
      </c>
      <c r="AG111" s="77">
        <f>+GETPIVOTDATA(" Tot # Instr. Old",'OLD Counts Pivot Table'!$A$3,"State","TX","Category",13,"Category2","Technical Institutes")</f>
        <v>0</v>
      </c>
      <c r="AH111" s="76">
        <f>+GETPIVOTDATA(" Tot # Instr. Old",'OLD Counts Pivot Table'!$A$3,"State","AR","Category2","Technical Institutes")</f>
        <v>0</v>
      </c>
    </row>
    <row r="112" spans="1:36" x14ac:dyDescent="0.2">
      <c r="A112" s="10"/>
      <c r="B112" s="18" t="s">
        <v>83</v>
      </c>
      <c r="C112" s="12">
        <f t="shared" si="57"/>
        <v>0.17530732228754678</v>
      </c>
      <c r="D112" s="14">
        <f t="shared" si="57"/>
        <v>0.32955131511088187</v>
      </c>
      <c r="E112" s="14">
        <f t="shared" si="57"/>
        <v>0.16881660123387549</v>
      </c>
      <c r="F112" s="14">
        <f t="shared" si="57"/>
        <v>7.3033707865168537E-2</v>
      </c>
      <c r="G112" s="14">
        <f t="shared" si="57"/>
        <v>0.15120274914089346</v>
      </c>
      <c r="H112" s="40">
        <f t="shared" si="57"/>
        <v>0.44</v>
      </c>
      <c r="I112" s="12">
        <f t="shared" si="57"/>
        <v>0.18868123190313241</v>
      </c>
      <c r="J112" s="12">
        <f t="shared" si="57"/>
        <v>0</v>
      </c>
      <c r="K112" s="14">
        <f t="shared" si="57"/>
        <v>9.0534979423868307E-3</v>
      </c>
      <c r="L112" s="153">
        <f t="shared" si="57"/>
        <v>0</v>
      </c>
      <c r="M112" s="153">
        <f t="shared" si="60"/>
        <v>0</v>
      </c>
      <c r="N112" s="12">
        <f t="shared" si="58"/>
        <v>6.260162601626016E-3</v>
      </c>
      <c r="O112" s="12">
        <f t="shared" si="58"/>
        <v>0</v>
      </c>
      <c r="P112" s="14">
        <f t="shared" si="58"/>
        <v>0</v>
      </c>
      <c r="Q112" s="12">
        <f t="shared" si="59"/>
        <v>0</v>
      </c>
      <c r="R112" s="56"/>
      <c r="S112" s="76">
        <f>++GETPIVOTDATA(" Tot # Undes. Old",'OLD Counts Pivot Table'!$A$3,"State","TX","Category",1,"Category2","Four-Year")</f>
        <v>1640</v>
      </c>
      <c r="T112" s="77">
        <f>+GETPIVOTDATA(" Tot # Undes. Old",'OLD Counts Pivot Table'!$A$3,"State","TX","Category",2,"Category2","Four-Year")</f>
        <v>639</v>
      </c>
      <c r="U112" s="77">
        <f>+GETPIVOTDATA(" Tot # Undes. Old",'OLD Counts Pivot Table'!$A$3,"State","TX","Category",3,"Category2","Four-Year")</f>
        <v>1204</v>
      </c>
      <c r="V112" s="77">
        <f>+GETPIVOTDATA(" Tot # Undes. Old",'OLD Counts Pivot Table'!$A$3,"State","TX","Category",4,"Category2","Four-Year")</f>
        <v>13</v>
      </c>
      <c r="W112" s="77">
        <f>+GETPIVOTDATA(" Tot # Undes. Old",'OLD Counts Pivot Table'!$A$3,"State","TX","Category",5,"Category2","Four-Year")</f>
        <v>44</v>
      </c>
      <c r="X112" s="77">
        <f>+GETPIVOTDATA(" Tot # Undes. Old",'OLD Counts Pivot Table'!$A$3,"State","TX","Category",6,"Category2","Four-Year")</f>
        <v>44</v>
      </c>
      <c r="Y112" s="78">
        <f>+GETPIVOTDATA(" Tot # Undes. Old",'OLD Counts Pivot Table'!$A$3,"State","TX","Category2","Four-Year")</f>
        <v>3584</v>
      </c>
      <c r="Z112" s="76">
        <f>+GETPIVOTDATA(" Tot # Undes. Old",'OLD Counts Pivot Table'!$A$3,"State","TX","Category",7,"Category2","Group2")</f>
        <v>0</v>
      </c>
      <c r="AA112" s="77">
        <f>+GETPIVOTDATA(" Tot # Undes. Old",'OLD Counts Pivot Table'!$A$3,"State","TX","Category",8,"Category2","Group2")</f>
        <v>77</v>
      </c>
      <c r="AB112" s="77">
        <f>+GETPIVOTDATA(" Tot # Undes. Old",'OLD Counts Pivot Table'!$A$3,"State","TX","Category",9,"Category2","Group2")</f>
        <v>0</v>
      </c>
      <c r="AC112" s="77">
        <f>+GETPIVOTDATA(" Tot # Undes. Old",'OLD Counts Pivot Table'!$A$3,"State","TX","Category",10,"Category2","Group2")</f>
        <v>0</v>
      </c>
      <c r="AD112" s="77">
        <f>+GETPIVOTDATA(" Tot # Undes. Old",'OLD Counts Pivot Table'!$A$3,"State","TX","Category",11,"Category2","Group2")</f>
        <v>0</v>
      </c>
      <c r="AE112" s="78">
        <f>+GETPIVOTDATA(" Tot # Undes. Old",'OLD Counts Pivot Table'!$A$3,"State","TX","Category2","Group2")</f>
        <v>77</v>
      </c>
      <c r="AF112" s="76">
        <f>+GETPIVOTDATA(" Tot # Undes. Old",'OLD Counts Pivot Table'!$A$3,"State","TX","Category",12,"Category2","Technical Institutes")</f>
        <v>0</v>
      </c>
      <c r="AG112" s="77">
        <f>+GETPIVOTDATA(" Tot # Undes. Old",'OLD Counts Pivot Table'!$A$3,"State","TX","Category",13,"Category2","Technical Institutes")</f>
        <v>0</v>
      </c>
      <c r="AH112" s="76">
        <f>+GETPIVOTDATA(" Tot # Undes. Old",'OLD Counts Pivot Table'!$A$3,"State","AR","Category2","Technical Institutes")</f>
        <v>0</v>
      </c>
    </row>
    <row r="113" spans="1:36" x14ac:dyDescent="0.2">
      <c r="A113" s="10"/>
      <c r="B113" s="18" t="s">
        <v>82</v>
      </c>
      <c r="C113" s="12">
        <f t="shared" si="57"/>
        <v>0</v>
      </c>
      <c r="D113" s="14">
        <f t="shared" si="57"/>
        <v>0</v>
      </c>
      <c r="E113" s="14">
        <f t="shared" si="57"/>
        <v>0</v>
      </c>
      <c r="F113" s="14">
        <f t="shared" si="57"/>
        <v>0</v>
      </c>
      <c r="G113" s="14">
        <f t="shared" si="57"/>
        <v>0</v>
      </c>
      <c r="H113" s="40">
        <f t="shared" si="57"/>
        <v>0</v>
      </c>
      <c r="I113" s="12">
        <f t="shared" si="57"/>
        <v>0</v>
      </c>
      <c r="J113" s="12">
        <f t="shared" si="57"/>
        <v>1.0554089709762533E-2</v>
      </c>
      <c r="K113" s="14">
        <f t="shared" si="57"/>
        <v>0.29488536155202821</v>
      </c>
      <c r="L113" s="14">
        <f t="shared" si="57"/>
        <v>0.34259626836046048</v>
      </c>
      <c r="M113" s="14">
        <f t="shared" si="60"/>
        <v>0</v>
      </c>
      <c r="N113" s="12">
        <f t="shared" si="58"/>
        <v>0.27471544715447155</v>
      </c>
      <c r="O113" s="12">
        <f t="shared" si="58"/>
        <v>0</v>
      </c>
      <c r="P113" s="14">
        <f t="shared" si="58"/>
        <v>0</v>
      </c>
      <c r="Q113" s="12">
        <f t="shared" si="59"/>
        <v>0</v>
      </c>
      <c r="R113" s="56"/>
      <c r="S113" s="76">
        <f>+GETPIVOTDATA(" Tot # Single Rnk Old",'OLD Counts Pivot Table'!$A$3,"State","TX","Category",1,"Category2","Four-Year")</f>
        <v>0</v>
      </c>
      <c r="T113" s="77">
        <f>+GETPIVOTDATA(" Tot # Single Rnk Old",'OLD Counts Pivot Table'!$A$3,"State","TX","Category",2,"Category2","Four-Year")</f>
        <v>0</v>
      </c>
      <c r="U113" s="77">
        <f>+GETPIVOTDATA(" Tot # Single Rnk Old",'OLD Counts Pivot Table'!$A$3,"State","TX","Category",3,"Category2","Four-Year")</f>
        <v>0</v>
      </c>
      <c r="V113" s="77">
        <f>+GETPIVOTDATA(" Tot # Single Rnk Old",'OLD Counts Pivot Table'!$A$3,"State","TX","Category",4,"Category2","Four-Year")</f>
        <v>0</v>
      </c>
      <c r="W113" s="77">
        <f>+GETPIVOTDATA(" Tot # Single Rnk Old",'OLD Counts Pivot Table'!$A$3,"State","TX","Category",5,"Category2","Four-Year")</f>
        <v>0</v>
      </c>
      <c r="X113" s="77">
        <f>+GETPIVOTDATA(" Tot # Single Rnk Old",'OLD Counts Pivot Table'!$A$3,"State","TX","Category",6,"Category2","Four-Year")</f>
        <v>0</v>
      </c>
      <c r="Y113" s="78">
        <f>+GETPIVOTDATA(" Tot # Single Rnk Old",'OLD Counts Pivot Table'!$A$3,"State","TX","Category2","Four-Year")</f>
        <v>0</v>
      </c>
      <c r="Z113" s="76">
        <f>+GETPIVOTDATA(" Tot # Single Rnk Old",'OLD Counts Pivot Table'!$A$3,"State","TX","Category",7,"Category2","Group2")</f>
        <v>8</v>
      </c>
      <c r="AA113" s="77">
        <f>+GETPIVOTDATA(" Tot # Single Rnk Old",'OLD Counts Pivot Table'!$A$3,"State","TX","Category",8,"Category2","Group2")</f>
        <v>2508</v>
      </c>
      <c r="AB113" s="77">
        <f>+GETPIVOTDATA(" Tot # Single Rnk Old",'OLD Counts Pivot Table'!$A$3,"State","TX","Category",9,"Category2","Group2")</f>
        <v>863</v>
      </c>
      <c r="AC113" s="77">
        <f>+GETPIVOTDATA(" Tot # Single Rnk Old",'OLD Counts Pivot Table'!$A$3,"State","TX","Category",10,"Category2","Group2")</f>
        <v>0</v>
      </c>
      <c r="AD113" s="77">
        <f>+GETPIVOTDATA(" Tot # Single Rnk Old",'OLD Counts Pivot Table'!$A$3,"State","TX","Category",11,"Category2","Group2")</f>
        <v>0</v>
      </c>
      <c r="AE113" s="78">
        <f>+GETPIVOTDATA(" Tot # Single Rnk Old",'OLD Counts Pivot Table'!$A$3,"State","TX","Category2","Group2")</f>
        <v>3379</v>
      </c>
      <c r="AF113" s="76">
        <f>+GETPIVOTDATA(" Tot # Single Rnk Old",'OLD Counts Pivot Table'!$A$3,"State","TX","Category",12,"Category2","Technical Institutes")</f>
        <v>0</v>
      </c>
      <c r="AG113" s="77">
        <f>+GETPIVOTDATA(" Tot # Single Rnk Old",'OLD Counts Pivot Table'!$A$3,"State","TX","Category",13,"Category2","Technical Institutes")</f>
        <v>0</v>
      </c>
      <c r="AH113" s="76">
        <f>+GETPIVOTDATA(" Tot # Single Rnk Old",'OLD Counts Pivot Table'!$A$3,"State","AR","Category2","Technical Institutes")</f>
        <v>0</v>
      </c>
    </row>
    <row r="114" spans="1:36" s="33" customFormat="1" x14ac:dyDescent="0.25">
      <c r="A114" s="109"/>
      <c r="B114" s="110" t="s">
        <v>84</v>
      </c>
      <c r="C114" s="13">
        <f t="shared" si="57"/>
        <v>1</v>
      </c>
      <c r="D114" s="11">
        <f t="shared" si="57"/>
        <v>1</v>
      </c>
      <c r="E114" s="11">
        <f t="shared" si="57"/>
        <v>1</v>
      </c>
      <c r="F114" s="11">
        <f t="shared" si="57"/>
        <v>1</v>
      </c>
      <c r="G114" s="11">
        <f t="shared" si="57"/>
        <v>1</v>
      </c>
      <c r="H114" s="41">
        <f t="shared" si="57"/>
        <v>1</v>
      </c>
      <c r="I114" s="13">
        <f t="shared" si="57"/>
        <v>1</v>
      </c>
      <c r="J114" s="13">
        <f t="shared" si="57"/>
        <v>1</v>
      </c>
      <c r="K114" s="11">
        <f t="shared" si="57"/>
        <v>1</v>
      </c>
      <c r="L114" s="11">
        <f t="shared" si="57"/>
        <v>1</v>
      </c>
      <c r="M114" s="11">
        <f t="shared" si="60"/>
        <v>1</v>
      </c>
      <c r="N114" s="13">
        <f t="shared" si="58"/>
        <v>1</v>
      </c>
      <c r="O114" s="13">
        <f t="shared" si="58"/>
        <v>0</v>
      </c>
      <c r="P114" s="11">
        <f t="shared" si="58"/>
        <v>0</v>
      </c>
      <c r="Q114" s="13">
        <f t="shared" si="59"/>
        <v>0</v>
      </c>
      <c r="R114" s="57"/>
      <c r="S114" s="79">
        <f>+GETPIVOTDATA(" All Ranks # Old",'OLD Counts Pivot Table'!$A$3,"State","TX","Category",1,"Category2","Four-Year")</f>
        <v>9355</v>
      </c>
      <c r="T114" s="80">
        <f>+GETPIVOTDATA(" All Ranks # Old",'OLD Counts Pivot Table'!$A$3,"State","TX","Category",2,"Category2","Four-Year")</f>
        <v>1939</v>
      </c>
      <c r="U114" s="80">
        <f>+GETPIVOTDATA(" All Ranks # Old",'OLD Counts Pivot Table'!$A$3,"State","TX","Category",3,"Category2","Four-Year")</f>
        <v>7132</v>
      </c>
      <c r="V114" s="80">
        <f>+GETPIVOTDATA(" All Ranks # Old",'OLD Counts Pivot Table'!$A$3,"State","TX","Category",4,"Category2","Four-Year")</f>
        <v>178</v>
      </c>
      <c r="W114" s="80">
        <f>+GETPIVOTDATA(" All Ranks # Old",'OLD Counts Pivot Table'!$A$3,"State","TX","Category",5,"Category2","Four-Year")</f>
        <v>291</v>
      </c>
      <c r="X114" s="80">
        <f>+GETPIVOTDATA(" All Ranks # Old",'OLD Counts Pivot Table'!$A$3,"State","TX","Category",6,"Category2","Four-Year")</f>
        <v>100</v>
      </c>
      <c r="Y114" s="81">
        <f>+GETPIVOTDATA(" All Ranks # Old",'OLD Counts Pivot Table'!$A$3,"State","TX","Category2","Four-Year")</f>
        <v>18995</v>
      </c>
      <c r="Z114" s="79">
        <f>+GETPIVOTDATA(" All Ranks # Old",'OLD Counts Pivot Table'!$A$3,"State","TX","Category",7,"Category2","Group2")</f>
        <v>758</v>
      </c>
      <c r="AA114" s="80">
        <f>+GETPIVOTDATA(" All Ranks # Old",'OLD Counts Pivot Table'!$A$3,"State","TX","Category",8,"Category2","Group2")</f>
        <v>8505</v>
      </c>
      <c r="AB114" s="80">
        <f>+GETPIVOTDATA(" All Ranks # Old",'OLD Counts Pivot Table'!$A$3,"State","TX","Category",9,"Category2","Group2")</f>
        <v>2519</v>
      </c>
      <c r="AC114" s="80">
        <f>+GETPIVOTDATA(" All Ranks # Old",'OLD Counts Pivot Table'!$A$3,"State","TX","Category",10,"Category2","Group2")</f>
        <v>518</v>
      </c>
      <c r="AD114" s="80">
        <f>+GETPIVOTDATA(" All Ranks # Old",'OLD Counts Pivot Table'!$A$3,"State","TX","Category",11,"Category2","Group2")</f>
        <v>0</v>
      </c>
      <c r="AE114" s="81">
        <f>+GETPIVOTDATA(" All Ranks # Old",'OLD Counts Pivot Table'!$A$3,"State","TX","Category2","Group2")</f>
        <v>12300</v>
      </c>
      <c r="AF114" s="79">
        <f>+GETPIVOTDATA(" All Ranks # Old",'OLD Counts Pivot Table'!$A$3,"State","TX","Category",12,"Category2","Technical Institutes")</f>
        <v>0</v>
      </c>
      <c r="AG114" s="80">
        <f>+GETPIVOTDATA(" All Ranks # Old",'OLD Counts Pivot Table'!$A$3,"State","TX","Category",13,"Category2","Technical Institutes")</f>
        <v>0</v>
      </c>
      <c r="AH114" s="79">
        <f>+GETPIVOTDATA(" All Ranks # Old",'OLD Counts Pivot Table'!$A$3,"State","AR","Category2","Technical Institutes")</f>
        <v>0</v>
      </c>
      <c r="AI114" s="82"/>
      <c r="AJ114" s="82"/>
    </row>
    <row r="115" spans="1:36" x14ac:dyDescent="0.2">
      <c r="A115" s="18" t="s">
        <v>111</v>
      </c>
      <c r="B115" s="15" t="s">
        <v>99</v>
      </c>
      <c r="C115" s="16">
        <f t="shared" ref="C115:M121" si="61">IF(S$121&gt;0,(S115/S$121),0)</f>
        <v>0.34728323699421965</v>
      </c>
      <c r="D115" s="17">
        <f t="shared" si="61"/>
        <v>0.25348837209302327</v>
      </c>
      <c r="E115" s="17">
        <f t="shared" si="61"/>
        <v>0.294468085106383</v>
      </c>
      <c r="F115" s="17">
        <f t="shared" si="61"/>
        <v>0.25624999999999998</v>
      </c>
      <c r="G115" s="17">
        <f t="shared" si="61"/>
        <v>0.23132183908045978</v>
      </c>
      <c r="H115" s="39">
        <f t="shared" si="61"/>
        <v>0.2087912087912088</v>
      </c>
      <c r="I115" s="16">
        <f t="shared" si="61"/>
        <v>0.30392043483289</v>
      </c>
      <c r="J115" s="16">
        <f t="shared" si="61"/>
        <v>0</v>
      </c>
      <c r="K115" s="17">
        <f t="shared" si="61"/>
        <v>0</v>
      </c>
      <c r="L115" s="17">
        <f t="shared" si="61"/>
        <v>0</v>
      </c>
      <c r="M115" s="17">
        <f t="shared" si="61"/>
        <v>0.27272727272727271</v>
      </c>
      <c r="N115" s="16">
        <f t="shared" ref="N115:P121" si="62">IF(AE$121&gt;0,(AE115/AE$121),0)</f>
        <v>0.20053120849933598</v>
      </c>
      <c r="O115" s="91">
        <f t="shared" si="62"/>
        <v>0</v>
      </c>
      <c r="P115" s="17">
        <f t="shared" si="62"/>
        <v>0</v>
      </c>
      <c r="Q115" s="91">
        <f t="shared" ref="Q115:Q121" si="63">IF(AH$121&gt;0,(AH115/AH$121),0)</f>
        <v>0</v>
      </c>
      <c r="R115" s="83"/>
      <c r="S115" s="73">
        <f>+GETPIVOTDATA(" Total # Prof Old",'OLD Counts Pivot Table'!$A$3,"State","VA","Category",1,"Category2","Four-Year")</f>
        <v>1502</v>
      </c>
      <c r="T115" s="74">
        <f>+GETPIVOTDATA(" Total # Prof Old",'OLD Counts Pivot Table'!$A$3,"State","VA","Category",2,"Category2","Four-Year")</f>
        <v>436</v>
      </c>
      <c r="U115" s="74">
        <f>+GETPIVOTDATA(" Total # Prof Old",'OLD Counts Pivot Table'!$A$3,"State","VA","Category",3,"Category2","Four-Year")</f>
        <v>346</v>
      </c>
      <c r="V115" s="74">
        <f>+GETPIVOTDATA(" Total # Prof Old",'OLD Counts Pivot Table'!$A$3,"State","VA","Category",4,"Category2","Four-Year")</f>
        <v>164</v>
      </c>
      <c r="W115" s="74">
        <f>+GETPIVOTDATA(" Total # Prof Old",'OLD Counts Pivot Table'!$A$3,"State","VA","Category",5,"Category2","Four-Year")</f>
        <v>161</v>
      </c>
      <c r="X115" s="74">
        <f>+GETPIVOTDATA(" Total # Prof Old",'OLD Counts Pivot Table'!$A$3,"State","VA","Category",6,"Category2","Four-Year")</f>
        <v>19</v>
      </c>
      <c r="Y115" s="75">
        <f>+GETPIVOTDATA(" Total # Prof Old",'OLD Counts Pivot Table'!$A$3,"State","VA","Category2","Four-Year")</f>
        <v>2628</v>
      </c>
      <c r="Z115" s="73">
        <f>+GETPIVOTDATA(" Total # Prof Old",'OLD Counts Pivot Table'!$A$3,"State","VA","Category",7,"Category2","Group2")</f>
        <v>0</v>
      </c>
      <c r="AA115" s="74">
        <f>+GETPIVOTDATA(" Total # Prof Old",'OLD Counts Pivot Table'!$A$3,"State","VA","Category",8,"Category2","Group2")</f>
        <v>0</v>
      </c>
      <c r="AB115" s="74">
        <f>+GETPIVOTDATA(" Total # Prof Old",'OLD Counts Pivot Table'!$A$3,"State","VA","Category",9,"Category2","Group2")</f>
        <v>0</v>
      </c>
      <c r="AC115" s="74">
        <f>+GETPIVOTDATA(" Total # Prof Old",'OLD Counts Pivot Table'!$A$3,"State","VA","Category",10,"Category2","Group2")</f>
        <v>9</v>
      </c>
      <c r="AD115" s="74">
        <f>+GETPIVOTDATA(" Total # Prof Old",'OLD Counts Pivot Table'!$A$3,"State","VA","Category",11,"Category2","Group2")</f>
        <v>444</v>
      </c>
      <c r="AE115" s="75">
        <f>+GETPIVOTDATA(" Total # Prof Old",'OLD Counts Pivot Table'!$A$3,"State","VA","Category2","Group2")</f>
        <v>453</v>
      </c>
      <c r="AF115" s="73">
        <f>+GETPIVOTDATA(" Total # Prof Old",'OLD Counts Pivot Table'!$A$3,"State","VA","Category",12,"Category2","Technical Institutes")</f>
        <v>0</v>
      </c>
      <c r="AG115" s="74">
        <f>+GETPIVOTDATA(" Total # Prof Old",'OLD Counts Pivot Table'!$A$3,"State","VA","Category",13,"Category2","Technical Institutes")</f>
        <v>0</v>
      </c>
      <c r="AH115" s="73">
        <f>+GETPIVOTDATA(" Total # Prof Old",'OLD Counts Pivot Table'!$A$3,"State","AR","Category2","Technical Institutes")</f>
        <v>0</v>
      </c>
    </row>
    <row r="116" spans="1:36" x14ac:dyDescent="0.2">
      <c r="A116" s="10"/>
      <c r="B116" s="18" t="s">
        <v>100</v>
      </c>
      <c r="C116" s="12">
        <f t="shared" si="61"/>
        <v>0.29919075144508672</v>
      </c>
      <c r="D116" s="14">
        <f t="shared" si="61"/>
        <v>0.28488372093023256</v>
      </c>
      <c r="E116" s="14">
        <f t="shared" si="61"/>
        <v>0.24765957446808512</v>
      </c>
      <c r="F116" s="14">
        <f t="shared" si="61"/>
        <v>0.29062500000000002</v>
      </c>
      <c r="G116" s="14">
        <f t="shared" si="61"/>
        <v>0.32758620689655171</v>
      </c>
      <c r="H116" s="40">
        <f t="shared" si="61"/>
        <v>0.31868131868131866</v>
      </c>
      <c r="I116" s="12">
        <f t="shared" si="61"/>
        <v>0.2911992598589106</v>
      </c>
      <c r="J116" s="12">
        <f t="shared" si="61"/>
        <v>0</v>
      </c>
      <c r="K116" s="14">
        <f t="shared" si="61"/>
        <v>0</v>
      </c>
      <c r="L116" s="14">
        <f t="shared" si="61"/>
        <v>0</v>
      </c>
      <c r="M116" s="14">
        <f t="shared" ref="M116:M121" si="64">IF(AC$121&gt;0,(AC116/AC$121),0)</f>
        <v>0.39393939393939392</v>
      </c>
      <c r="N116" s="12">
        <f t="shared" si="62"/>
        <v>0.3010181496237273</v>
      </c>
      <c r="O116" s="12">
        <f t="shared" si="62"/>
        <v>0</v>
      </c>
      <c r="P116" s="14">
        <f t="shared" si="62"/>
        <v>0</v>
      </c>
      <c r="Q116" s="12">
        <f t="shared" si="63"/>
        <v>0</v>
      </c>
      <c r="R116" s="56"/>
      <c r="S116" s="76">
        <f>+GETPIVOTDATA(" Tot # Asc. Prof Old",'OLD Counts Pivot Table'!$A$3,"State","VA","Category",1,"Category2","Four-Year")</f>
        <v>1294</v>
      </c>
      <c r="T116" s="77">
        <f>+GETPIVOTDATA(" Tot # Asc. Prof Old",'OLD Counts Pivot Table'!$A$3,"State","VA","Category",2,"Category2","Four-Year")</f>
        <v>490</v>
      </c>
      <c r="U116" s="77">
        <f>+GETPIVOTDATA(" Tot # Asc. Prof Old",'OLD Counts Pivot Table'!$A$3,"State","VA","Category",3,"Category2","Four-Year")</f>
        <v>291</v>
      </c>
      <c r="V116" s="77">
        <f>+GETPIVOTDATA(" Tot # Asc. Prof Old",'OLD Counts Pivot Table'!$A$3,"State","VA","Category",4,"Category2","Four-Year")</f>
        <v>186</v>
      </c>
      <c r="W116" s="77">
        <f>+GETPIVOTDATA(" Tot # Asc. Prof Old",'OLD Counts Pivot Table'!$A$3,"State","VA","Category",5,"Category2","Four-Year")</f>
        <v>228</v>
      </c>
      <c r="X116" s="77">
        <f>+GETPIVOTDATA(" Tot # Asc. Prof Old",'OLD Counts Pivot Table'!$A$3,"State","VA","Category",6,"Category2","Four-Year")</f>
        <v>29</v>
      </c>
      <c r="Y116" s="78">
        <f>+GETPIVOTDATA(" Tot # Asc. Prof Old",'OLD Counts Pivot Table'!$A$3,"State","VA","Category2","Four-Year")</f>
        <v>2518</v>
      </c>
      <c r="Z116" s="76">
        <f>+GETPIVOTDATA(" Tot # Asc. Prof Old",'OLD Counts Pivot Table'!$A$3,"State","VA","Category",7,"Category2","Group2")</f>
        <v>0</v>
      </c>
      <c r="AA116" s="77">
        <f>+GETPIVOTDATA(" Tot # Asc. Prof Old",'OLD Counts Pivot Table'!$A$3,"State","VA","Category",8,"Category2","Group2")</f>
        <v>0</v>
      </c>
      <c r="AB116" s="77">
        <f>+GETPIVOTDATA(" Tot # Asc. Prof Old",'OLD Counts Pivot Table'!$A$3,"State","VA","Category",9,"Category2","Group2")</f>
        <v>0</v>
      </c>
      <c r="AC116" s="77">
        <f>+GETPIVOTDATA(" Tot # Asc. Prof Old",'OLD Counts Pivot Table'!$A$3,"State","VA","Category",10,"Category2","Group2")</f>
        <v>13</v>
      </c>
      <c r="AD116" s="77">
        <f>+GETPIVOTDATA(" Tot # Asc. Prof Old",'OLD Counts Pivot Table'!$A$3,"State","VA","Category",11,"Category2","Group2")</f>
        <v>667</v>
      </c>
      <c r="AE116" s="78">
        <f>+GETPIVOTDATA(" Tot # Asc. Prof Old",'OLD Counts Pivot Table'!$A$3,"State","VA","Category2","Group2")</f>
        <v>680</v>
      </c>
      <c r="AF116" s="76">
        <f>+GETPIVOTDATA(" Tot # Asc. Prof Old",'OLD Counts Pivot Table'!$A$3,"State","VA","Category",12,"Category2","Technical Institutes")</f>
        <v>0</v>
      </c>
      <c r="AG116" s="77">
        <f>+GETPIVOTDATA(" Tot # Asc. Prof Old",'OLD Counts Pivot Table'!$A$3,"State","VA","Category",13,"Category2","Technical Institutes")</f>
        <v>0</v>
      </c>
      <c r="AH116" s="76">
        <f>+GETPIVOTDATA(" Tot # Asc. Prof Old",'OLD Counts Pivot Table'!$A$3,"State","AR","Category2","Technical Institutes")</f>
        <v>0</v>
      </c>
    </row>
    <row r="117" spans="1:36" x14ac:dyDescent="0.2">
      <c r="A117" s="10"/>
      <c r="B117" s="18" t="s">
        <v>101</v>
      </c>
      <c r="C117" s="12">
        <f t="shared" si="61"/>
        <v>0.23375722543352601</v>
      </c>
      <c r="D117" s="14">
        <f t="shared" si="61"/>
        <v>0.29709302325581394</v>
      </c>
      <c r="E117" s="14">
        <f t="shared" si="61"/>
        <v>0.30893617021276598</v>
      </c>
      <c r="F117" s="14">
        <f t="shared" si="61"/>
        <v>0.33750000000000002</v>
      </c>
      <c r="G117" s="14">
        <f t="shared" si="61"/>
        <v>0.28160919540229884</v>
      </c>
      <c r="H117" s="40">
        <f t="shared" si="61"/>
        <v>0.21978021978021978</v>
      </c>
      <c r="I117" s="12">
        <f t="shared" si="61"/>
        <v>0.26795420377009366</v>
      </c>
      <c r="J117" s="12">
        <f t="shared" si="61"/>
        <v>0</v>
      </c>
      <c r="K117" s="14">
        <f t="shared" si="61"/>
        <v>0</v>
      </c>
      <c r="L117" s="14">
        <f t="shared" si="61"/>
        <v>0</v>
      </c>
      <c r="M117" s="14">
        <f t="shared" si="64"/>
        <v>0.33333333333333331</v>
      </c>
      <c r="N117" s="12">
        <f t="shared" si="62"/>
        <v>0.30721558211598055</v>
      </c>
      <c r="O117" s="12">
        <f t="shared" si="62"/>
        <v>0</v>
      </c>
      <c r="P117" s="14">
        <f t="shared" si="62"/>
        <v>0</v>
      </c>
      <c r="Q117" s="12">
        <f t="shared" si="63"/>
        <v>0</v>
      </c>
      <c r="R117" s="56"/>
      <c r="S117" s="76">
        <f>+GETPIVOTDATA(" Tot # Ast. Prof Old",'OLD Counts Pivot Table'!$A$3,"State","VA","Category",1,"Category2","Four-Year")</f>
        <v>1011</v>
      </c>
      <c r="T117" s="77">
        <f>+GETPIVOTDATA(" Tot # Ast. Prof Old",'OLD Counts Pivot Table'!$A$3,"State","VA","Category",2,"Category2","Four-Year")</f>
        <v>511</v>
      </c>
      <c r="U117" s="77">
        <f>+GETPIVOTDATA(" Tot # Ast. Prof Old",'OLD Counts Pivot Table'!$A$3,"State","VA","Category",3,"Category2","Four-Year")</f>
        <v>363</v>
      </c>
      <c r="V117" s="77">
        <f>+GETPIVOTDATA(" Tot # Ast. Prof Old",'OLD Counts Pivot Table'!$A$3,"State","VA","Category",4,"Category2","Four-Year")</f>
        <v>216</v>
      </c>
      <c r="W117" s="77">
        <f>+GETPIVOTDATA(" Tot # Ast. Prof Old",'OLD Counts Pivot Table'!$A$3,"State","VA","Category",5,"Category2","Four-Year")</f>
        <v>196</v>
      </c>
      <c r="X117" s="77">
        <f>+GETPIVOTDATA(" Tot # Ast. Prof Old",'OLD Counts Pivot Table'!$A$3,"State","VA","Category",6,"Category2","Four-Year")</f>
        <v>20</v>
      </c>
      <c r="Y117" s="78">
        <f>+GETPIVOTDATA(" Tot # Ast. Prof Old",'OLD Counts Pivot Table'!$A$3,"State","VA","Category2","Four-Year")</f>
        <v>2317</v>
      </c>
      <c r="Z117" s="76">
        <f>+GETPIVOTDATA(" Tot # Ast. Prof Old",'OLD Counts Pivot Table'!$A$3,"State","VA","Category",7,"Category2","Group2")</f>
        <v>0</v>
      </c>
      <c r="AA117" s="77">
        <f>+GETPIVOTDATA(" Tot # Ast. Prof Old",'OLD Counts Pivot Table'!$A$3,"State","VA","Category",8,"Category2","Group2")</f>
        <v>0</v>
      </c>
      <c r="AB117" s="77">
        <f>+GETPIVOTDATA(" Tot # Ast. Prof Old",'OLD Counts Pivot Table'!$A$3,"State","VA","Category",9,"Category2","Group2")</f>
        <v>0</v>
      </c>
      <c r="AC117" s="77">
        <f>+GETPIVOTDATA(" Tot # Ast. Prof Old",'OLD Counts Pivot Table'!$A$3,"State","VA","Category",10,"Category2","Group2")</f>
        <v>11</v>
      </c>
      <c r="AD117" s="77">
        <f>+GETPIVOTDATA(" Tot # Ast. Prof Old",'OLD Counts Pivot Table'!$A$3,"State","VA","Category",11,"Category2","Group2")</f>
        <v>683</v>
      </c>
      <c r="AE117" s="78">
        <f>+GETPIVOTDATA(" Tot # Ast. Prof Old",'OLD Counts Pivot Table'!$A$3,"State","VA","Category2","Group2")</f>
        <v>694</v>
      </c>
      <c r="AF117" s="76">
        <f>+GETPIVOTDATA(" Tot # Ast. Prof Old",'OLD Counts Pivot Table'!$A$3,"State","VA","Category",12,"Category2","Technical Institutes")</f>
        <v>0</v>
      </c>
      <c r="AG117" s="77">
        <f>+GETPIVOTDATA(" Tot # Ast. Prof Old",'OLD Counts Pivot Table'!$A$3,"State","VA","Category",13,"Category2","Technical Institutes")</f>
        <v>0</v>
      </c>
      <c r="AH117" s="76">
        <f>+GETPIVOTDATA(" Tot # Ast. Prof Old",'OLD Counts Pivot Table'!$A$3,"State","AR","Category2","Technical Institutes")</f>
        <v>0</v>
      </c>
    </row>
    <row r="118" spans="1:36" x14ac:dyDescent="0.2">
      <c r="A118" s="10"/>
      <c r="B118" s="18" t="s">
        <v>102</v>
      </c>
      <c r="C118" s="12">
        <f t="shared" si="61"/>
        <v>6.7514450867052017E-2</v>
      </c>
      <c r="D118" s="14">
        <f t="shared" si="61"/>
        <v>0.15930232558139534</v>
      </c>
      <c r="E118" s="14">
        <f t="shared" si="61"/>
        <v>0.14893617021276595</v>
      </c>
      <c r="F118" s="14">
        <f t="shared" si="61"/>
        <v>0.1140625</v>
      </c>
      <c r="G118" s="14">
        <f t="shared" si="61"/>
        <v>0.10057471264367816</v>
      </c>
      <c r="H118" s="40">
        <f t="shared" si="61"/>
        <v>0.24175824175824176</v>
      </c>
      <c r="I118" s="12">
        <f t="shared" si="61"/>
        <v>0.10477622296750318</v>
      </c>
      <c r="J118" s="12">
        <f t="shared" si="61"/>
        <v>0</v>
      </c>
      <c r="K118" s="14">
        <f t="shared" si="61"/>
        <v>0</v>
      </c>
      <c r="L118" s="14">
        <f t="shared" si="61"/>
        <v>0</v>
      </c>
      <c r="M118" s="14">
        <f t="shared" si="64"/>
        <v>0</v>
      </c>
      <c r="N118" s="12">
        <f t="shared" si="62"/>
        <v>0.19079238601150952</v>
      </c>
      <c r="O118" s="12">
        <f t="shared" si="62"/>
        <v>0</v>
      </c>
      <c r="P118" s="14">
        <f t="shared" si="62"/>
        <v>0</v>
      </c>
      <c r="Q118" s="12">
        <f t="shared" si="63"/>
        <v>0</v>
      </c>
      <c r="R118" s="56"/>
      <c r="S118" s="76">
        <f>+GETPIVOTDATA(" Tot # Instr. Old",'OLD Counts Pivot Table'!$A$3,"State","VA","Category",1,"Category2","Four-Year")</f>
        <v>292</v>
      </c>
      <c r="T118" s="77">
        <f>+GETPIVOTDATA(" Tot # Instr. Old",'OLD Counts Pivot Table'!$A$3,"State","VA","Category",2,"Category2","Four-Year")</f>
        <v>274</v>
      </c>
      <c r="U118" s="77">
        <f>+GETPIVOTDATA(" Tot # Instr. Old",'OLD Counts Pivot Table'!$A$3,"State","VA","Category",3,"Category2","Four-Year")</f>
        <v>175</v>
      </c>
      <c r="V118" s="77">
        <f>+GETPIVOTDATA(" Tot # Instr. Old",'OLD Counts Pivot Table'!$A$3,"State","VA","Category",4,"Category2","Four-Year")</f>
        <v>73</v>
      </c>
      <c r="W118" s="77">
        <f>+GETPIVOTDATA(" Tot # Instr. Old",'OLD Counts Pivot Table'!$A$3,"State","VA","Category",5,"Category2","Four-Year")</f>
        <v>70</v>
      </c>
      <c r="X118" s="77">
        <f>+GETPIVOTDATA(" Tot # Instr. Old",'OLD Counts Pivot Table'!$A$3,"State","VA","Category",6,"Category2","Four-Year")</f>
        <v>22</v>
      </c>
      <c r="Y118" s="78">
        <f>+GETPIVOTDATA(" Tot # Instr. Old",'OLD Counts Pivot Table'!$A$3,"State","VA","Category2","Four-Year")</f>
        <v>906</v>
      </c>
      <c r="Z118" s="76">
        <f>+GETPIVOTDATA(" Tot # Instr. Old",'OLD Counts Pivot Table'!$A$3,"State","VA","Category",7,"Category2","Group2")</f>
        <v>0</v>
      </c>
      <c r="AA118" s="77">
        <f>+GETPIVOTDATA(" Tot # Instr. Old",'OLD Counts Pivot Table'!$A$3,"State","VA","Category",8,"Category2","Group2")</f>
        <v>0</v>
      </c>
      <c r="AB118" s="77">
        <f>+GETPIVOTDATA(" Tot # Instr. Old",'OLD Counts Pivot Table'!$A$3,"State","VA","Category",9,"Category2","Group2")</f>
        <v>0</v>
      </c>
      <c r="AC118" s="77">
        <f>+GETPIVOTDATA(" Tot # Instr. Old",'OLD Counts Pivot Table'!$A$3,"State","VA","Category",10,"Category2","Group2")</f>
        <v>0</v>
      </c>
      <c r="AD118" s="77">
        <f>+GETPIVOTDATA(" Tot # Instr. Old",'OLD Counts Pivot Table'!$A$3,"State","VA","Category",11,"Category2","Group2")</f>
        <v>431</v>
      </c>
      <c r="AE118" s="78">
        <f>+GETPIVOTDATA(" Tot # Instr. Old",'OLD Counts Pivot Table'!$A$3,"State","VA","Category2","Group2")</f>
        <v>431</v>
      </c>
      <c r="AF118" s="76">
        <f>+GETPIVOTDATA(" Tot # Instr. Old",'OLD Counts Pivot Table'!$A$3,"State","VA","Category",12,"Category2","Technical Institutes")</f>
        <v>0</v>
      </c>
      <c r="AG118" s="77">
        <f>+GETPIVOTDATA(" Tot # Instr. Old",'OLD Counts Pivot Table'!$A$3,"State","VA","Category",13,"Category2","Technical Institutes")</f>
        <v>0</v>
      </c>
      <c r="AH118" s="76">
        <f>+GETPIVOTDATA(" Tot # Instr. Old",'OLD Counts Pivot Table'!$A$3,"State","AR","Category2","Technical Institutes")</f>
        <v>0</v>
      </c>
    </row>
    <row r="119" spans="1:36" x14ac:dyDescent="0.2">
      <c r="A119" s="10"/>
      <c r="B119" s="18" t="s">
        <v>83</v>
      </c>
      <c r="C119" s="12">
        <f t="shared" si="61"/>
        <v>5.2254335260115609E-2</v>
      </c>
      <c r="D119" s="14">
        <f t="shared" si="61"/>
        <v>5.2325581395348836E-3</v>
      </c>
      <c r="E119" s="14">
        <f t="shared" si="61"/>
        <v>0</v>
      </c>
      <c r="F119" s="14">
        <f t="shared" si="61"/>
        <v>1.5625000000000001E-3</v>
      </c>
      <c r="G119" s="14">
        <f t="shared" si="61"/>
        <v>5.8908045977011492E-2</v>
      </c>
      <c r="H119" s="40">
        <f t="shared" si="61"/>
        <v>1.098901098901099E-2</v>
      </c>
      <c r="I119" s="12">
        <f t="shared" si="61"/>
        <v>3.2149878570602523E-2</v>
      </c>
      <c r="J119" s="12">
        <f t="shared" si="61"/>
        <v>0</v>
      </c>
      <c r="K119" s="14">
        <f t="shared" si="61"/>
        <v>0</v>
      </c>
      <c r="L119" s="14">
        <f t="shared" si="61"/>
        <v>0</v>
      </c>
      <c r="M119" s="14">
        <f t="shared" si="64"/>
        <v>0</v>
      </c>
      <c r="N119" s="102">
        <f t="shared" si="62"/>
        <v>4.4267374944665782E-4</v>
      </c>
      <c r="O119" s="12">
        <f t="shared" si="62"/>
        <v>0</v>
      </c>
      <c r="P119" s="14">
        <f t="shared" si="62"/>
        <v>0</v>
      </c>
      <c r="Q119" s="12">
        <f t="shared" si="63"/>
        <v>0</v>
      </c>
      <c r="R119" s="56"/>
      <c r="S119" s="76">
        <f>++GETPIVOTDATA(" Tot # Undes. Old",'OLD Counts Pivot Table'!$A$3,"State","VA","Category",1,"Category2","Four-Year")</f>
        <v>226</v>
      </c>
      <c r="T119" s="77">
        <f>+GETPIVOTDATA(" Tot # Undes. Old",'OLD Counts Pivot Table'!$A$3,"State","VA","Category",2,"Category2","Four-Year")</f>
        <v>9</v>
      </c>
      <c r="U119" s="77">
        <f>+GETPIVOTDATA(" Tot # Undes. Old",'OLD Counts Pivot Table'!$A$3,"State","VA","Category",3,"Category2","Four-Year")</f>
        <v>0</v>
      </c>
      <c r="V119" s="77">
        <f>+GETPIVOTDATA(" Tot # Undes. Old",'OLD Counts Pivot Table'!$A$3,"State","VA","Category",4,"Category2","Four-Year")</f>
        <v>1</v>
      </c>
      <c r="W119" s="77">
        <f>+GETPIVOTDATA(" Tot # Undes. Old",'OLD Counts Pivot Table'!$A$3,"State","VA","Category",5,"Category2","Four-Year")</f>
        <v>41</v>
      </c>
      <c r="X119" s="77">
        <f>+GETPIVOTDATA(" Tot # Undes. Old",'OLD Counts Pivot Table'!$A$3,"State","VA","Category",6,"Category2","Four-Year")</f>
        <v>1</v>
      </c>
      <c r="Y119" s="78">
        <f>+GETPIVOTDATA(" Tot # Undes. Old",'OLD Counts Pivot Table'!$A$3,"State","VA","Category2","Four-Year")</f>
        <v>278</v>
      </c>
      <c r="Z119" s="76">
        <f>+GETPIVOTDATA(" Tot # Undes. Old",'OLD Counts Pivot Table'!$A$3,"State","VA","Category",7,"Category2","Group2")</f>
        <v>0</v>
      </c>
      <c r="AA119" s="77">
        <f>+GETPIVOTDATA(" Tot # Undes. Old",'OLD Counts Pivot Table'!$A$3,"State","VA","Category",8,"Category2","Group2")</f>
        <v>0</v>
      </c>
      <c r="AB119" s="77">
        <f>+GETPIVOTDATA(" Tot # Undes. Old",'OLD Counts Pivot Table'!$A$3,"State","VA","Category",9,"Category2","Group2")</f>
        <v>0</v>
      </c>
      <c r="AC119" s="77">
        <f>+GETPIVOTDATA(" Tot # Undes. Old",'OLD Counts Pivot Table'!$A$3,"State","VA","Category",10,"Category2","Group2")</f>
        <v>0</v>
      </c>
      <c r="AD119" s="77">
        <f>+GETPIVOTDATA(" Tot # Undes. Old",'OLD Counts Pivot Table'!$A$3,"State","VA","Category",11,"Category2","Group2")</f>
        <v>1</v>
      </c>
      <c r="AE119" s="78">
        <f>+GETPIVOTDATA(" Tot # Undes. Old",'OLD Counts Pivot Table'!$A$3,"State","VA","Category2","Group2")</f>
        <v>1</v>
      </c>
      <c r="AF119" s="76">
        <f>+GETPIVOTDATA(" Tot # Undes. Old",'OLD Counts Pivot Table'!$A$3,"State","VA","Category",12,"Category2","Technical Institutes")</f>
        <v>0</v>
      </c>
      <c r="AG119" s="77">
        <f>+GETPIVOTDATA(" Tot # Undes. Old",'OLD Counts Pivot Table'!$A$3,"State","VA","Category",13,"Category2","Technical Institutes")</f>
        <v>0</v>
      </c>
      <c r="AH119" s="76">
        <f>+GETPIVOTDATA(" Tot # Undes. Old",'OLD Counts Pivot Table'!$A$3,"State","AR","Category2","Technical Institutes")</f>
        <v>0</v>
      </c>
    </row>
    <row r="120" spans="1:36" x14ac:dyDescent="0.2">
      <c r="A120" s="10"/>
      <c r="B120" s="18" t="s">
        <v>82</v>
      </c>
      <c r="C120" s="12">
        <f t="shared" si="61"/>
        <v>0</v>
      </c>
      <c r="D120" s="14">
        <f t="shared" si="61"/>
        <v>0</v>
      </c>
      <c r="E120" s="103">
        <f t="shared" si="61"/>
        <v>0</v>
      </c>
      <c r="F120" s="14">
        <f t="shared" si="61"/>
        <v>0</v>
      </c>
      <c r="G120" s="103">
        <f t="shared" si="61"/>
        <v>0</v>
      </c>
      <c r="H120" s="40">
        <f t="shared" si="61"/>
        <v>0</v>
      </c>
      <c r="I120" s="102">
        <f t="shared" si="61"/>
        <v>0</v>
      </c>
      <c r="J120" s="12">
        <f t="shared" si="61"/>
        <v>0</v>
      </c>
      <c r="K120" s="14">
        <f t="shared" si="61"/>
        <v>0</v>
      </c>
      <c r="L120" s="14">
        <f t="shared" si="61"/>
        <v>0</v>
      </c>
      <c r="M120" s="14">
        <f t="shared" si="64"/>
        <v>0</v>
      </c>
      <c r="N120" s="12">
        <f t="shared" si="62"/>
        <v>0</v>
      </c>
      <c r="O120" s="12">
        <f t="shared" si="62"/>
        <v>0</v>
      </c>
      <c r="P120" s="14">
        <f t="shared" si="62"/>
        <v>0</v>
      </c>
      <c r="Q120" s="12">
        <f t="shared" si="63"/>
        <v>0</v>
      </c>
      <c r="R120" s="56"/>
      <c r="S120" s="76">
        <f>+GETPIVOTDATA(" Tot # Single Rnk Old",'OLD Counts Pivot Table'!$A$3,"State","VA","Category",1,"Category2","Four-Year")</f>
        <v>0</v>
      </c>
      <c r="T120" s="77">
        <f>+GETPIVOTDATA(" Tot # Single Rnk Old",'OLD Counts Pivot Table'!$A$3,"State","VA","Category",2,"Category2","Four-Year")</f>
        <v>0</v>
      </c>
      <c r="U120" s="77">
        <f>+GETPIVOTDATA(" Tot # Single Rnk Old",'OLD Counts Pivot Table'!$A$3,"State","VA","Category",3,"Category2","Four-Year")</f>
        <v>0</v>
      </c>
      <c r="V120" s="77">
        <f>+GETPIVOTDATA(" Tot # Single Rnk Old",'OLD Counts Pivot Table'!$A$3,"State","VA","Category",4,"Category2","Four-Year")</f>
        <v>0</v>
      </c>
      <c r="W120" s="77">
        <f>+GETPIVOTDATA(" Tot # Single Rnk Old",'OLD Counts Pivot Table'!$A$3,"State","VA","Category",5,"Category2","Four-Year")</f>
        <v>0</v>
      </c>
      <c r="X120" s="77">
        <f>+GETPIVOTDATA(" Tot # Single Rnk Old",'OLD Counts Pivot Table'!$A$3,"State","VA","Category",6,"Category2","Four-Year")</f>
        <v>0</v>
      </c>
      <c r="Y120" s="78">
        <f>+GETPIVOTDATA(" Tot # Single Rnk Old",'OLD Counts Pivot Table'!$A$3,"State","VA","Category2","Four-Year")</f>
        <v>0</v>
      </c>
      <c r="Z120" s="76">
        <f>+GETPIVOTDATA(" Tot # Single Rnk Old",'OLD Counts Pivot Table'!$A$3,"State","VA","Category",7,"Category2","Group2")</f>
        <v>0</v>
      </c>
      <c r="AA120" s="77">
        <f>+GETPIVOTDATA(" Tot # Single Rnk Old",'OLD Counts Pivot Table'!$A$3,"State","VA","Category",8,"Category2","Group2")</f>
        <v>0</v>
      </c>
      <c r="AB120" s="77">
        <f>+GETPIVOTDATA(" Tot # Single Rnk Old",'OLD Counts Pivot Table'!$A$3,"State","VA","Category",9,"Category2","Group2")</f>
        <v>0</v>
      </c>
      <c r="AC120" s="77">
        <f>+GETPIVOTDATA(" Tot # Single Rnk Old",'OLD Counts Pivot Table'!$A$3,"State","VA","Category",10,"Category2","Group2")</f>
        <v>0</v>
      </c>
      <c r="AD120" s="77">
        <f>+GETPIVOTDATA(" Tot # Single Rnk Old",'OLD Counts Pivot Table'!$A$3,"State","VA","Category",11,"Category2","Group2")</f>
        <v>0</v>
      </c>
      <c r="AE120" s="78">
        <f>+GETPIVOTDATA(" Tot # Single Rnk Old",'OLD Counts Pivot Table'!$A$3,"State","VA","Category2","Group2")</f>
        <v>0</v>
      </c>
      <c r="AF120" s="76">
        <f>+GETPIVOTDATA(" Tot # Single Rnk Old",'OLD Counts Pivot Table'!$A$3,"State","VA","Category",12,"Category2","Technical Institutes")</f>
        <v>0</v>
      </c>
      <c r="AG120" s="77">
        <f>+GETPIVOTDATA(" Tot # Single Rnk Old",'OLD Counts Pivot Table'!$A$3,"State","VA","Category",13,"Category2","Technical Institutes")</f>
        <v>0</v>
      </c>
      <c r="AH120" s="76">
        <f>+GETPIVOTDATA(" Tot # Single Rnk Old",'OLD Counts Pivot Table'!$A$3,"State","AR","Category2","Technical Institutes")</f>
        <v>0</v>
      </c>
    </row>
    <row r="121" spans="1:36" s="33" customFormat="1" x14ac:dyDescent="0.25">
      <c r="A121" s="109"/>
      <c r="B121" s="110" t="s">
        <v>84</v>
      </c>
      <c r="C121" s="13">
        <f t="shared" si="61"/>
        <v>1</v>
      </c>
      <c r="D121" s="11">
        <f t="shared" si="61"/>
        <v>1</v>
      </c>
      <c r="E121" s="11">
        <f t="shared" si="61"/>
        <v>1</v>
      </c>
      <c r="F121" s="11">
        <f t="shared" si="61"/>
        <v>1</v>
      </c>
      <c r="G121" s="11">
        <f t="shared" si="61"/>
        <v>1</v>
      </c>
      <c r="H121" s="41">
        <f t="shared" si="61"/>
        <v>1</v>
      </c>
      <c r="I121" s="13">
        <f t="shared" si="61"/>
        <v>1</v>
      </c>
      <c r="J121" s="13">
        <f t="shared" si="61"/>
        <v>0</v>
      </c>
      <c r="K121" s="11">
        <f t="shared" si="61"/>
        <v>0</v>
      </c>
      <c r="L121" s="11">
        <f t="shared" si="61"/>
        <v>0</v>
      </c>
      <c r="M121" s="11">
        <f t="shared" si="64"/>
        <v>1</v>
      </c>
      <c r="N121" s="13">
        <f t="shared" si="62"/>
        <v>1</v>
      </c>
      <c r="O121" s="13">
        <f t="shared" si="62"/>
        <v>0</v>
      </c>
      <c r="P121" s="11">
        <f t="shared" si="62"/>
        <v>0</v>
      </c>
      <c r="Q121" s="13">
        <f t="shared" si="63"/>
        <v>0</v>
      </c>
      <c r="R121" s="57"/>
      <c r="S121" s="79">
        <f>+GETPIVOTDATA(" All Ranks # Old",'OLD Counts Pivot Table'!$A$3,"State","VA","Category",1,"Category2","Four-Year")</f>
        <v>4325</v>
      </c>
      <c r="T121" s="80">
        <f>+GETPIVOTDATA(" All Ranks # Old",'OLD Counts Pivot Table'!$A$3,"State","VA","Category",2,"Category2","Four-Year")</f>
        <v>1720</v>
      </c>
      <c r="U121" s="80">
        <f>+GETPIVOTDATA(" All Ranks # Old",'OLD Counts Pivot Table'!$A$3,"State","VA","Category",3,"Category2","Four-Year")</f>
        <v>1175</v>
      </c>
      <c r="V121" s="80">
        <f>+GETPIVOTDATA(" All Ranks # Old",'OLD Counts Pivot Table'!$A$3,"State","VA","Category",4,"Category2","Four-Year")</f>
        <v>640</v>
      </c>
      <c r="W121" s="80">
        <f>+GETPIVOTDATA(" All Ranks # Old",'OLD Counts Pivot Table'!$A$3,"State","VA","Category",5,"Category2","Four-Year")</f>
        <v>696</v>
      </c>
      <c r="X121" s="80">
        <f>+GETPIVOTDATA(" All Ranks # Old",'OLD Counts Pivot Table'!$A$3,"State","VA","Category",6,"Category2","Four-Year")</f>
        <v>91</v>
      </c>
      <c r="Y121" s="81">
        <f>+GETPIVOTDATA(" All Ranks # Old",'OLD Counts Pivot Table'!$A$3,"State","VA","Category2","Four-Year")</f>
        <v>8647</v>
      </c>
      <c r="Z121" s="79">
        <f>+GETPIVOTDATA(" All Ranks # Old",'OLD Counts Pivot Table'!$A$3,"State","VA","Category",7,"Category2","Group2")</f>
        <v>0</v>
      </c>
      <c r="AA121" s="80">
        <f>+GETPIVOTDATA(" All Ranks # Old",'OLD Counts Pivot Table'!$A$3,"State","VA","Category",8,"Category2","Group2")</f>
        <v>0</v>
      </c>
      <c r="AB121" s="80">
        <f>+GETPIVOTDATA(" All Ranks # Old",'OLD Counts Pivot Table'!$A$3,"State","VA","Category",9,"Category2","Group2")</f>
        <v>0</v>
      </c>
      <c r="AC121" s="80">
        <f>+GETPIVOTDATA(" All Ranks # Old",'OLD Counts Pivot Table'!$A$3,"State","VA","Category",10,"Category2","Group2")</f>
        <v>33</v>
      </c>
      <c r="AD121" s="80">
        <f>+GETPIVOTDATA(" All Ranks # Old",'OLD Counts Pivot Table'!$A$3,"State","VA","Category",11,"Category2","Group2")</f>
        <v>2226</v>
      </c>
      <c r="AE121" s="81">
        <f>+GETPIVOTDATA(" All Ranks # Old",'OLD Counts Pivot Table'!$A$3,"State","VA","Category2","Group2")</f>
        <v>2259</v>
      </c>
      <c r="AF121" s="79">
        <f>+GETPIVOTDATA(" All Ranks # Old",'OLD Counts Pivot Table'!$A$3,"State","VA","Category",12,"Category2","Technical Institutes")</f>
        <v>0</v>
      </c>
      <c r="AG121" s="80">
        <f>+GETPIVOTDATA(" All Ranks # Old",'OLD Counts Pivot Table'!$A$3,"State","VA","Category",13,"Category2","Technical Institutes")</f>
        <v>0</v>
      </c>
      <c r="AH121" s="79">
        <f>+GETPIVOTDATA(" All Ranks # Old",'OLD Counts Pivot Table'!$A$3,"State","AR","Category2","Technical Institutes")</f>
        <v>0</v>
      </c>
      <c r="AI121" s="82"/>
      <c r="AJ121" s="82"/>
    </row>
    <row r="122" spans="1:36" x14ac:dyDescent="0.2">
      <c r="A122" s="18" t="s">
        <v>110</v>
      </c>
      <c r="B122" s="15" t="s">
        <v>99</v>
      </c>
      <c r="C122" s="16">
        <f t="shared" ref="C122:M128" si="65">IF(S$128&gt;0,(S122/S$128),0)</f>
        <v>0.30394190871369292</v>
      </c>
      <c r="D122" s="17">
        <f t="shared" si="65"/>
        <v>0</v>
      </c>
      <c r="E122" s="17">
        <f t="shared" si="65"/>
        <v>0.41631799163179917</v>
      </c>
      <c r="F122" s="17">
        <f t="shared" si="65"/>
        <v>0</v>
      </c>
      <c r="G122" s="17">
        <f t="shared" si="65"/>
        <v>0.27430555555555558</v>
      </c>
      <c r="H122" s="39">
        <f t="shared" si="65"/>
        <v>0.21783876500857632</v>
      </c>
      <c r="I122" s="16">
        <f t="shared" si="65"/>
        <v>0.30177258971033288</v>
      </c>
      <c r="J122" s="16">
        <f t="shared" si="65"/>
        <v>0.32330827067669171</v>
      </c>
      <c r="K122" s="17">
        <f t="shared" si="65"/>
        <v>0</v>
      </c>
      <c r="L122" s="17">
        <f t="shared" si="65"/>
        <v>0.37096774193548387</v>
      </c>
      <c r="M122" s="17">
        <f t="shared" si="65"/>
        <v>0.15277777777777779</v>
      </c>
      <c r="N122" s="16">
        <f t="shared" ref="N122:P128" si="66">IF(AE$128&gt;0,(AE122/AE$128),0)</f>
        <v>0.21801801801801801</v>
      </c>
      <c r="O122" s="91">
        <f t="shared" si="66"/>
        <v>0</v>
      </c>
      <c r="P122" s="17">
        <f t="shared" si="66"/>
        <v>0</v>
      </c>
      <c r="Q122" s="91">
        <f t="shared" ref="Q122:Q128" si="67">IF(AH$128&gt;0,(AH122/AH$128),0)</f>
        <v>0</v>
      </c>
      <c r="R122" s="83"/>
      <c r="S122" s="73">
        <f>+GETPIVOTDATA(" Total # Prof Old",'OLD Counts Pivot Table'!$A$3,"State","WV","Category",1,"Category2","Four-Year")</f>
        <v>293</v>
      </c>
      <c r="T122" s="74">
        <f>+GETPIVOTDATA(" Total # Prof Old",'OLD Counts Pivot Table'!$A$3,"State","WV","Category",2,"Category2","Four-Year")</f>
        <v>0</v>
      </c>
      <c r="U122" s="74">
        <f>+GETPIVOTDATA(" Total # Prof Old",'OLD Counts Pivot Table'!$A$3,"State","WV","Category",3,"Category2","Four-Year")</f>
        <v>199</v>
      </c>
      <c r="V122" s="74">
        <f>+GETPIVOTDATA(" Total # Prof Old",'OLD Counts Pivot Table'!$A$3,"State","WV","Category",4,"Category2","Four-Year")</f>
        <v>0</v>
      </c>
      <c r="W122" s="74">
        <f>+GETPIVOTDATA(" Total # Prof Old",'OLD Counts Pivot Table'!$A$3,"State","WV","Category",5,"Category2","Four-Year")</f>
        <v>79</v>
      </c>
      <c r="X122" s="74">
        <f>+GETPIVOTDATA(" Total # Prof Old",'OLD Counts Pivot Table'!$A$3,"State","WV","Category",6,"Category2","Four-Year")</f>
        <v>127</v>
      </c>
      <c r="Y122" s="75">
        <f>+GETPIVOTDATA(" Total # Prof Old",'OLD Counts Pivot Table'!$A$3,"State","WV","Category2","Four-Year")</f>
        <v>698</v>
      </c>
      <c r="Z122" s="73">
        <f>+GETPIVOTDATA(" Total # Prof Old",'OLD Counts Pivot Table'!$A$3,"State","WV","Category",7,"Category2","Group2")</f>
        <v>43</v>
      </c>
      <c r="AA122" s="74">
        <f>+GETPIVOTDATA(" Total # Prof Old",'OLD Counts Pivot Table'!$A$3,"State","WV","Category",8,"Category2","Group2")</f>
        <v>0</v>
      </c>
      <c r="AB122" s="74">
        <f>+GETPIVOTDATA(" Total # Prof Old",'OLD Counts Pivot Table'!$A$3,"State","WV","Category",9,"Category2","Group2")</f>
        <v>23</v>
      </c>
      <c r="AC122" s="74">
        <f>+GETPIVOTDATA(" Total # Prof Old",'OLD Counts Pivot Table'!$A$3,"State","WV","Category",10,"Category2","Group2")</f>
        <v>55</v>
      </c>
      <c r="AD122" s="74">
        <f>+GETPIVOTDATA(" Total # Prof Old",'OLD Counts Pivot Table'!$A$3,"State","WV","Category",11,"Category2","Group2")</f>
        <v>0</v>
      </c>
      <c r="AE122" s="75">
        <f>+GETPIVOTDATA(" Total # Prof Old",'OLD Counts Pivot Table'!$A$3,"State","WV","Category2","Group2")</f>
        <v>121</v>
      </c>
      <c r="AF122" s="73">
        <f>+GETPIVOTDATA(" Total # Prof Old",'OLD Counts Pivot Table'!$A$3,"State","WV","Category",12,"Category2","Technical Institutes")</f>
        <v>0</v>
      </c>
      <c r="AG122" s="74">
        <f>+GETPIVOTDATA(" Total # Prof Old",'OLD Counts Pivot Table'!$A$3,"State","WV","Category",13,"Category2","Technical Institutes")</f>
        <v>0</v>
      </c>
      <c r="AH122" s="73">
        <f>+GETPIVOTDATA(" Total # Prof Old",'OLD Counts Pivot Table'!$A$3,"State","AR","Category2","Technical Institutes")</f>
        <v>0</v>
      </c>
    </row>
    <row r="123" spans="1:36" x14ac:dyDescent="0.2">
      <c r="A123" s="10"/>
      <c r="B123" s="18" t="s">
        <v>100</v>
      </c>
      <c r="C123" s="12">
        <f t="shared" si="65"/>
        <v>0.25622406639004147</v>
      </c>
      <c r="D123" s="14">
        <f t="shared" si="65"/>
        <v>0</v>
      </c>
      <c r="E123" s="14">
        <f t="shared" si="65"/>
        <v>0.24686192468619247</v>
      </c>
      <c r="F123" s="14">
        <f t="shared" si="65"/>
        <v>0</v>
      </c>
      <c r="G123" s="14">
        <f t="shared" si="65"/>
        <v>0.2673611111111111</v>
      </c>
      <c r="H123" s="40">
        <f t="shared" si="65"/>
        <v>0.2504288164665523</v>
      </c>
      <c r="I123" s="12">
        <f t="shared" si="65"/>
        <v>0.25421530479896237</v>
      </c>
      <c r="J123" s="12">
        <f t="shared" si="65"/>
        <v>0.10526315789473684</v>
      </c>
      <c r="K123" s="14">
        <f t="shared" si="65"/>
        <v>0</v>
      </c>
      <c r="L123" s="14">
        <f t="shared" si="65"/>
        <v>0.16129032258064516</v>
      </c>
      <c r="M123" s="14">
        <f t="shared" ref="M123:M128" si="68">IF(AC$128&gt;0,(AC123/AC$128),0)</f>
        <v>0.12222222222222222</v>
      </c>
      <c r="N123" s="12">
        <f t="shared" si="66"/>
        <v>0.12252252252252252</v>
      </c>
      <c r="O123" s="12">
        <f t="shared" si="66"/>
        <v>0</v>
      </c>
      <c r="P123" s="14">
        <f t="shared" si="66"/>
        <v>0</v>
      </c>
      <c r="Q123" s="12">
        <f t="shared" si="67"/>
        <v>0</v>
      </c>
      <c r="R123" s="56"/>
      <c r="S123" s="76">
        <f>+GETPIVOTDATA(" Tot # Asc. Prof Old",'OLD Counts Pivot Table'!$A$3,"State","WV","Category",1,"Category2","Four-Year")</f>
        <v>247</v>
      </c>
      <c r="T123" s="77">
        <f>+GETPIVOTDATA(" Tot # Asc. Prof Old",'OLD Counts Pivot Table'!$A$3,"State","WV","Category",2,"Category2","Four-Year")</f>
        <v>0</v>
      </c>
      <c r="U123" s="77">
        <f>+GETPIVOTDATA(" Tot # Asc. Prof Old",'OLD Counts Pivot Table'!$A$3,"State","WV","Category",3,"Category2","Four-Year")</f>
        <v>118</v>
      </c>
      <c r="V123" s="77">
        <f>+GETPIVOTDATA(" Tot # Asc. Prof Old",'OLD Counts Pivot Table'!$A$3,"State","WV","Category",4,"Category2","Four-Year")</f>
        <v>0</v>
      </c>
      <c r="W123" s="77">
        <f>+GETPIVOTDATA(" Tot # Asc. Prof Old",'OLD Counts Pivot Table'!$A$3,"State","WV","Category",5,"Category2","Four-Year")</f>
        <v>77</v>
      </c>
      <c r="X123" s="77">
        <f>+GETPIVOTDATA(" Tot # Asc. Prof Old",'OLD Counts Pivot Table'!$A$3,"State","WV","Category",6,"Category2","Four-Year")</f>
        <v>146</v>
      </c>
      <c r="Y123" s="78">
        <f>+GETPIVOTDATA(" Tot # Asc. Prof Old",'OLD Counts Pivot Table'!$A$3,"State","WV","Category2","Four-Year")</f>
        <v>588</v>
      </c>
      <c r="Z123" s="76">
        <f>+GETPIVOTDATA(" Tot # Asc. Prof Old",'OLD Counts Pivot Table'!$A$3,"State","WV","Category",7,"Category2","Group2")</f>
        <v>14</v>
      </c>
      <c r="AA123" s="77">
        <f>+GETPIVOTDATA(" Tot # Asc. Prof Old",'OLD Counts Pivot Table'!$A$3,"State","WV","Category",8,"Category2","Group2")</f>
        <v>0</v>
      </c>
      <c r="AB123" s="77">
        <f>+GETPIVOTDATA(" Tot # Asc. Prof Old",'OLD Counts Pivot Table'!$A$3,"State","WV","Category",9,"Category2","Group2")</f>
        <v>10</v>
      </c>
      <c r="AC123" s="77">
        <f>+GETPIVOTDATA(" Tot # Asc. Prof Old",'OLD Counts Pivot Table'!$A$3,"State","WV","Category",10,"Category2","Group2")</f>
        <v>44</v>
      </c>
      <c r="AD123" s="77">
        <f>+GETPIVOTDATA(" Tot # Asc. Prof Old",'OLD Counts Pivot Table'!$A$3,"State","WV","Category",11,"Category2","Group2")</f>
        <v>0</v>
      </c>
      <c r="AE123" s="78">
        <f>+GETPIVOTDATA(" Tot # Asc. Prof Old",'OLD Counts Pivot Table'!$A$3,"State","WV","Category2","Group2")</f>
        <v>68</v>
      </c>
      <c r="AF123" s="76">
        <f>+GETPIVOTDATA(" Tot # Asc. Prof Old",'OLD Counts Pivot Table'!$A$3,"State","WV","Category",12,"Category2","Technical Institutes")</f>
        <v>0</v>
      </c>
      <c r="AG123" s="77">
        <f>+GETPIVOTDATA(" Tot # Asc. Prof Old",'OLD Counts Pivot Table'!$A$3,"State","WV","Category",13,"Category2","Technical Institutes")</f>
        <v>0</v>
      </c>
      <c r="AH123" s="76">
        <f>+GETPIVOTDATA(" Tot # Asc. Prof Old",'OLD Counts Pivot Table'!$A$3,"State","AR","Category2","Technical Institutes")</f>
        <v>0</v>
      </c>
    </row>
    <row r="124" spans="1:36" x14ac:dyDescent="0.2">
      <c r="A124" s="10"/>
      <c r="B124" s="18" t="s">
        <v>101</v>
      </c>
      <c r="C124" s="12">
        <f t="shared" si="65"/>
        <v>0.36514522821576761</v>
      </c>
      <c r="D124" s="14">
        <f t="shared" si="65"/>
        <v>0</v>
      </c>
      <c r="E124" s="14">
        <f t="shared" si="65"/>
        <v>0.2489539748953975</v>
      </c>
      <c r="F124" s="14">
        <f t="shared" si="65"/>
        <v>0</v>
      </c>
      <c r="G124" s="14">
        <f t="shared" si="65"/>
        <v>0.3576388888888889</v>
      </c>
      <c r="H124" s="40">
        <f t="shared" si="65"/>
        <v>0.36535162950257288</v>
      </c>
      <c r="I124" s="12">
        <f t="shared" si="65"/>
        <v>0.34025075659316906</v>
      </c>
      <c r="J124" s="12">
        <f t="shared" si="65"/>
        <v>0.18045112781954886</v>
      </c>
      <c r="K124" s="14">
        <f t="shared" si="65"/>
        <v>0</v>
      </c>
      <c r="L124" s="14">
        <f t="shared" si="65"/>
        <v>0.12903225806451613</v>
      </c>
      <c r="M124" s="14">
        <f t="shared" si="68"/>
        <v>0.29444444444444445</v>
      </c>
      <c r="N124" s="12">
        <f t="shared" si="66"/>
        <v>0.24864864864864866</v>
      </c>
      <c r="O124" s="12">
        <f t="shared" si="66"/>
        <v>0</v>
      </c>
      <c r="P124" s="14">
        <f t="shared" si="66"/>
        <v>0</v>
      </c>
      <c r="Q124" s="12">
        <f t="shared" si="67"/>
        <v>0</v>
      </c>
      <c r="R124" s="56"/>
      <c r="S124" s="76">
        <f>+GETPIVOTDATA(" Tot # Ast. Prof Old",'OLD Counts Pivot Table'!$A$3,"State","WV","Category",1,"Category2","Four-Year")</f>
        <v>352</v>
      </c>
      <c r="T124" s="77">
        <f>+GETPIVOTDATA(" Tot # Ast. Prof Old",'OLD Counts Pivot Table'!$A$3,"State","WV","Category",2,"Category2","Four-Year")</f>
        <v>0</v>
      </c>
      <c r="U124" s="77">
        <f>+GETPIVOTDATA(" Tot # Ast. Prof Old",'OLD Counts Pivot Table'!$A$3,"State","WV","Category",3,"Category2","Four-Year")</f>
        <v>119</v>
      </c>
      <c r="V124" s="77">
        <f>+GETPIVOTDATA(" Tot # Ast. Prof Old",'OLD Counts Pivot Table'!$A$3,"State","WV","Category",4,"Category2","Four-Year")</f>
        <v>0</v>
      </c>
      <c r="W124" s="77">
        <f>+GETPIVOTDATA(" Tot # Ast. Prof Old",'OLD Counts Pivot Table'!$A$3,"State","WV","Category",5,"Category2","Four-Year")</f>
        <v>103</v>
      </c>
      <c r="X124" s="77">
        <f>+GETPIVOTDATA(" Tot # Ast. Prof Old",'OLD Counts Pivot Table'!$A$3,"State","WV","Category",6,"Category2","Four-Year")</f>
        <v>213</v>
      </c>
      <c r="Y124" s="78">
        <f>+GETPIVOTDATA(" Tot # Ast. Prof Old",'OLD Counts Pivot Table'!$A$3,"State","WV","Category2","Four-Year")</f>
        <v>787</v>
      </c>
      <c r="Z124" s="76">
        <f>+GETPIVOTDATA(" Tot # Ast. Prof Old",'OLD Counts Pivot Table'!$A$3,"State","WV","Category",7,"Category2","Group2")</f>
        <v>24</v>
      </c>
      <c r="AA124" s="77">
        <f>+GETPIVOTDATA(" Tot # Ast. Prof Old",'OLD Counts Pivot Table'!$A$3,"State","WV","Category",8,"Category2","Group2")</f>
        <v>0</v>
      </c>
      <c r="AB124" s="77">
        <f>+GETPIVOTDATA(" Tot # Ast. Prof Old",'OLD Counts Pivot Table'!$A$3,"State","WV","Category",9,"Category2","Group2")</f>
        <v>8</v>
      </c>
      <c r="AC124" s="77">
        <f>+GETPIVOTDATA(" Tot # Ast. Prof Old",'OLD Counts Pivot Table'!$A$3,"State","WV","Category",10,"Category2","Group2")</f>
        <v>106</v>
      </c>
      <c r="AD124" s="77">
        <f>+GETPIVOTDATA(" Tot # Ast. Prof Old",'OLD Counts Pivot Table'!$A$3,"State","WV","Category",11,"Category2","Group2")</f>
        <v>0</v>
      </c>
      <c r="AE124" s="78">
        <f>+GETPIVOTDATA(" Tot # Ast. Prof Old",'OLD Counts Pivot Table'!$A$3,"State","WV","Category2","Group2")</f>
        <v>138</v>
      </c>
      <c r="AF124" s="76">
        <f>+GETPIVOTDATA(" Tot # Ast. Prof Old",'OLD Counts Pivot Table'!$A$3,"State","WV","Category",12,"Category2","Technical Institutes")</f>
        <v>0</v>
      </c>
      <c r="AG124" s="77">
        <f>+GETPIVOTDATA(" Tot # Ast. Prof Old",'OLD Counts Pivot Table'!$A$3,"State","WV","Category",13,"Category2","Technical Institutes")</f>
        <v>0</v>
      </c>
      <c r="AH124" s="76">
        <f>+GETPIVOTDATA(" Tot # Ast. Prof Old",'OLD Counts Pivot Table'!$A$3,"State","AR","Category2","Technical Institutes")</f>
        <v>0</v>
      </c>
    </row>
    <row r="125" spans="1:36" x14ac:dyDescent="0.2">
      <c r="A125" s="10"/>
      <c r="B125" s="18" t="s">
        <v>102</v>
      </c>
      <c r="C125" s="12">
        <f t="shared" si="65"/>
        <v>5.2904564315352696E-2</v>
      </c>
      <c r="D125" s="14">
        <f t="shared" si="65"/>
        <v>0</v>
      </c>
      <c r="E125" s="14">
        <f t="shared" si="65"/>
        <v>8.7866108786610872E-2</v>
      </c>
      <c r="F125" s="14">
        <f t="shared" si="65"/>
        <v>0</v>
      </c>
      <c r="G125" s="14">
        <f t="shared" si="65"/>
        <v>5.2083333333333336E-2</v>
      </c>
      <c r="H125" s="40">
        <f t="shared" si="65"/>
        <v>0.14065180102915953</v>
      </c>
      <c r="I125" s="12">
        <f t="shared" si="65"/>
        <v>8.214440121054907E-2</v>
      </c>
      <c r="J125" s="12">
        <f t="shared" si="65"/>
        <v>0.34586466165413532</v>
      </c>
      <c r="K125" s="14">
        <f t="shared" si="65"/>
        <v>0</v>
      </c>
      <c r="L125" s="14">
        <f t="shared" si="65"/>
        <v>0.33870967741935482</v>
      </c>
      <c r="M125" s="14">
        <f t="shared" si="68"/>
        <v>0.35</v>
      </c>
      <c r="N125" s="12">
        <f t="shared" si="66"/>
        <v>0.34774774774774775</v>
      </c>
      <c r="O125" s="12">
        <f t="shared" si="66"/>
        <v>0</v>
      </c>
      <c r="P125" s="14">
        <f t="shared" si="66"/>
        <v>0</v>
      </c>
      <c r="Q125" s="12">
        <f t="shared" si="67"/>
        <v>0</v>
      </c>
      <c r="R125" s="56"/>
      <c r="S125" s="76">
        <f>+GETPIVOTDATA(" Tot # Instr. Old",'OLD Counts Pivot Table'!$A$3,"State","WV","Category",1,"Category2","Four-Year")</f>
        <v>51</v>
      </c>
      <c r="T125" s="77">
        <f>+GETPIVOTDATA(" Tot # Instr. Old",'OLD Counts Pivot Table'!$A$3,"State","WV","Category",2,"Category2","Four-Year")</f>
        <v>0</v>
      </c>
      <c r="U125" s="77">
        <f>+GETPIVOTDATA(" Tot # Instr. Old",'OLD Counts Pivot Table'!$A$3,"State","WV","Category",3,"Category2","Four-Year")</f>
        <v>42</v>
      </c>
      <c r="V125" s="77">
        <f>+GETPIVOTDATA(" Tot # Instr. Old",'OLD Counts Pivot Table'!$A$3,"State","WV","Category",4,"Category2","Four-Year")</f>
        <v>0</v>
      </c>
      <c r="W125" s="77">
        <f>+GETPIVOTDATA(" Tot # Instr. Old",'OLD Counts Pivot Table'!$A$3,"State","WV","Category",5,"Category2","Four-Year")</f>
        <v>15</v>
      </c>
      <c r="X125" s="77">
        <f>+GETPIVOTDATA(" Tot # Instr. Old",'OLD Counts Pivot Table'!$A$3,"State","WV","Category",6,"Category2","Four-Year")</f>
        <v>82</v>
      </c>
      <c r="Y125" s="78">
        <f>+GETPIVOTDATA(" Tot # Instr. Old",'OLD Counts Pivot Table'!$A$3,"State","WV","Category2","Four-Year")</f>
        <v>190</v>
      </c>
      <c r="Z125" s="76">
        <f>+GETPIVOTDATA(" Tot # Instr. Old",'OLD Counts Pivot Table'!$A$3,"State","WV","Category",7,"Category2","Group2")</f>
        <v>46</v>
      </c>
      <c r="AA125" s="77">
        <f>+GETPIVOTDATA(" Tot # Instr. Old",'OLD Counts Pivot Table'!$A$3,"State","WV","Category",8,"Category2","Group2")</f>
        <v>0</v>
      </c>
      <c r="AB125" s="77">
        <f>+GETPIVOTDATA(" Tot # Instr. Old",'OLD Counts Pivot Table'!$A$3,"State","WV","Category",9,"Category2","Group2")</f>
        <v>21</v>
      </c>
      <c r="AC125" s="77">
        <f>+GETPIVOTDATA(" Tot # Instr. Old",'OLD Counts Pivot Table'!$A$3,"State","WV","Category",10,"Category2","Group2")</f>
        <v>126</v>
      </c>
      <c r="AD125" s="77">
        <f>+GETPIVOTDATA(" Tot # Instr. Old",'OLD Counts Pivot Table'!$A$3,"State","WV","Category",11,"Category2","Group2")</f>
        <v>0</v>
      </c>
      <c r="AE125" s="78">
        <f>+GETPIVOTDATA(" Tot # Instr. Old",'OLD Counts Pivot Table'!$A$3,"State","WV","Category2","Group2")</f>
        <v>193</v>
      </c>
      <c r="AF125" s="76">
        <f>+GETPIVOTDATA(" Tot # Instr. Old",'OLD Counts Pivot Table'!$A$3,"State","WV","Category",12,"Category2","Technical Institutes")</f>
        <v>0</v>
      </c>
      <c r="AG125" s="77">
        <f>+GETPIVOTDATA(" Tot # Instr. Old",'OLD Counts Pivot Table'!$A$3,"State","WV","Category",13,"Category2","Technical Institutes")</f>
        <v>0</v>
      </c>
      <c r="AH125" s="76">
        <f>+GETPIVOTDATA(" Tot # Instr. Old",'OLD Counts Pivot Table'!$A$3,"State","AR","Category2","Technical Institutes")</f>
        <v>0</v>
      </c>
    </row>
    <row r="126" spans="1:36" x14ac:dyDescent="0.2">
      <c r="A126" s="10"/>
      <c r="B126" s="18" t="s">
        <v>83</v>
      </c>
      <c r="C126" s="12">
        <f t="shared" si="65"/>
        <v>2.1784232365145227E-2</v>
      </c>
      <c r="D126" s="14">
        <f t="shared" si="65"/>
        <v>0</v>
      </c>
      <c r="E126" s="14">
        <f t="shared" si="65"/>
        <v>0</v>
      </c>
      <c r="F126" s="14">
        <f t="shared" si="65"/>
        <v>0</v>
      </c>
      <c r="G126" s="14">
        <f t="shared" si="65"/>
        <v>4.8611111111111112E-2</v>
      </c>
      <c r="H126" s="40">
        <f t="shared" si="65"/>
        <v>2.5728987993138937E-2</v>
      </c>
      <c r="I126" s="12">
        <f t="shared" si="65"/>
        <v>2.1616947686986597E-2</v>
      </c>
      <c r="J126" s="12">
        <f t="shared" si="65"/>
        <v>4.5112781954887216E-2</v>
      </c>
      <c r="K126" s="14">
        <f t="shared" si="65"/>
        <v>0</v>
      </c>
      <c r="L126" s="14">
        <f t="shared" si="65"/>
        <v>0</v>
      </c>
      <c r="M126" s="14">
        <f t="shared" si="68"/>
        <v>8.0555555555555561E-2</v>
      </c>
      <c r="N126" s="12">
        <f t="shared" si="66"/>
        <v>6.3063063063063057E-2</v>
      </c>
      <c r="O126" s="12">
        <f t="shared" si="66"/>
        <v>0</v>
      </c>
      <c r="P126" s="14">
        <f t="shared" si="66"/>
        <v>0</v>
      </c>
      <c r="Q126" s="12">
        <f t="shared" si="67"/>
        <v>0</v>
      </c>
      <c r="R126" s="56"/>
      <c r="S126" s="76">
        <f>++GETPIVOTDATA(" Tot # Undes. Old",'OLD Counts Pivot Table'!$A$3,"State","WV","Category",1,"Category2","Four-Year")</f>
        <v>21</v>
      </c>
      <c r="T126" s="77">
        <f>+GETPIVOTDATA(" Tot # Undes. Old",'OLD Counts Pivot Table'!$A$3,"State","WV","Category",2,"Category2","Four-Year")</f>
        <v>0</v>
      </c>
      <c r="U126" s="77">
        <f>+GETPIVOTDATA(" Tot # Undes. Old",'OLD Counts Pivot Table'!$A$3,"State","WV","Category",3,"Category2","Four-Year")</f>
        <v>0</v>
      </c>
      <c r="V126" s="77">
        <f>+GETPIVOTDATA(" Tot # Undes. Old",'OLD Counts Pivot Table'!$A$3,"State","WV","Category",4,"Category2","Four-Year")</f>
        <v>0</v>
      </c>
      <c r="W126" s="77">
        <f>+GETPIVOTDATA(" Tot # Undes. Old",'OLD Counts Pivot Table'!$A$3,"State","WV","Category",5,"Category2","Four-Year")</f>
        <v>14</v>
      </c>
      <c r="X126" s="77">
        <f>+GETPIVOTDATA(" Tot # Undes. Old",'OLD Counts Pivot Table'!$A$3,"State","WV","Category",6,"Category2","Four-Year")</f>
        <v>15</v>
      </c>
      <c r="Y126" s="78">
        <f>+GETPIVOTDATA(" Tot # Undes. Old",'OLD Counts Pivot Table'!$A$3,"State","WV","Category2","Four-Year")</f>
        <v>50</v>
      </c>
      <c r="Z126" s="76">
        <f>+GETPIVOTDATA(" Tot # Undes. Old",'OLD Counts Pivot Table'!$A$3,"State","WV","Category",7,"Category2","Group2")</f>
        <v>6</v>
      </c>
      <c r="AA126" s="77">
        <f>+GETPIVOTDATA(" Tot # Undes. Old",'OLD Counts Pivot Table'!$A$3,"State","WV","Category",8,"Category2","Group2")</f>
        <v>0</v>
      </c>
      <c r="AB126" s="77">
        <f>+GETPIVOTDATA(" Tot # Undes. Old",'OLD Counts Pivot Table'!$A$3,"State","WV","Category",9,"Category2","Group2")</f>
        <v>0</v>
      </c>
      <c r="AC126" s="77">
        <f>+GETPIVOTDATA(" Tot # Undes. Old",'OLD Counts Pivot Table'!$A$3,"State","WV","Category",10,"Category2","Group2")</f>
        <v>29</v>
      </c>
      <c r="AD126" s="77">
        <f>+GETPIVOTDATA(" Tot # Undes. Old",'OLD Counts Pivot Table'!$A$3,"State","WV","Category",11,"Category2","Group2")</f>
        <v>0</v>
      </c>
      <c r="AE126" s="78">
        <f>+GETPIVOTDATA(" Tot # Undes. Old",'OLD Counts Pivot Table'!$A$3,"State","WV","Category2","Group2")</f>
        <v>35</v>
      </c>
      <c r="AF126" s="76">
        <f>+GETPIVOTDATA(" Tot # Undes. Old",'OLD Counts Pivot Table'!$A$3,"State","WV","Category",12,"Category2","Technical Institutes")</f>
        <v>0</v>
      </c>
      <c r="AG126" s="77">
        <f>+GETPIVOTDATA(" Tot # Undes. Old",'OLD Counts Pivot Table'!$A$3,"State","WV","Category",13,"Category2","Technical Institutes")</f>
        <v>0</v>
      </c>
      <c r="AH126" s="76">
        <f>+GETPIVOTDATA(" Tot # Undes. Old",'OLD Counts Pivot Table'!$A$3,"State","AR","Category2","Technical Institutes")</f>
        <v>0</v>
      </c>
    </row>
    <row r="127" spans="1:36" x14ac:dyDescent="0.2">
      <c r="A127" s="10"/>
      <c r="B127" s="18" t="s">
        <v>82</v>
      </c>
      <c r="C127" s="12">
        <f t="shared" si="65"/>
        <v>0</v>
      </c>
      <c r="D127" s="14">
        <f t="shared" si="65"/>
        <v>0</v>
      </c>
      <c r="E127" s="103">
        <f t="shared" si="65"/>
        <v>0</v>
      </c>
      <c r="F127" s="14">
        <f t="shared" si="65"/>
        <v>0</v>
      </c>
      <c r="G127" s="103">
        <f t="shared" si="65"/>
        <v>0</v>
      </c>
      <c r="H127" s="40">
        <f t="shared" si="65"/>
        <v>0</v>
      </c>
      <c r="I127" s="102">
        <f t="shared" si="65"/>
        <v>0</v>
      </c>
      <c r="J127" s="12">
        <f t="shared" si="65"/>
        <v>0</v>
      </c>
      <c r="K127" s="14">
        <f t="shared" si="65"/>
        <v>0</v>
      </c>
      <c r="L127" s="14">
        <f t="shared" si="65"/>
        <v>0</v>
      </c>
      <c r="M127" s="14">
        <f t="shared" si="68"/>
        <v>0</v>
      </c>
      <c r="N127" s="12">
        <f t="shared" si="66"/>
        <v>0</v>
      </c>
      <c r="O127" s="12">
        <f t="shared" si="66"/>
        <v>0</v>
      </c>
      <c r="P127" s="14">
        <f t="shared" si="66"/>
        <v>0</v>
      </c>
      <c r="Q127" s="12">
        <f t="shared" si="67"/>
        <v>0</v>
      </c>
      <c r="R127" s="56"/>
      <c r="S127" s="76">
        <f>+GETPIVOTDATA(" Tot # Single Rnk Old",'OLD Counts Pivot Table'!$A$3,"State","WV","Category",1,"Category2","Four-Year")</f>
        <v>0</v>
      </c>
      <c r="T127" s="77">
        <f>+GETPIVOTDATA(" Tot # Single Rnk Old",'OLD Counts Pivot Table'!$A$3,"State","WV","Category",2,"Category2","Four-Year")</f>
        <v>0</v>
      </c>
      <c r="U127" s="77">
        <f>+GETPIVOTDATA(" Tot # Single Rnk Old",'OLD Counts Pivot Table'!$A$3,"State","WV","Category",3,"Category2","Four-Year")</f>
        <v>0</v>
      </c>
      <c r="V127" s="77">
        <f>+GETPIVOTDATA(" Tot # Single Rnk Old",'OLD Counts Pivot Table'!$A$3,"State","WV","Category",4,"Category2","Four-Year")</f>
        <v>0</v>
      </c>
      <c r="W127" s="77">
        <f>+GETPIVOTDATA(" Tot # Single Rnk Old",'OLD Counts Pivot Table'!$A$3,"State","WV","Category",5,"Category2","Four-Year")</f>
        <v>0</v>
      </c>
      <c r="X127" s="77">
        <f>+GETPIVOTDATA(" Tot # Single Rnk Old",'OLD Counts Pivot Table'!$A$3,"State","WV","Category",6,"Category2","Four-Year")</f>
        <v>0</v>
      </c>
      <c r="Y127" s="78">
        <f>+GETPIVOTDATA(" Tot # Single Rnk Old",'OLD Counts Pivot Table'!$A$3,"State","WV","Category2","Four-Year")</f>
        <v>0</v>
      </c>
      <c r="Z127" s="76">
        <f>+GETPIVOTDATA(" Tot # Single Rnk Old",'OLD Counts Pivot Table'!$A$3,"State","WV","Category",7,"Category2","Group2")</f>
        <v>0</v>
      </c>
      <c r="AA127" s="77">
        <f>+GETPIVOTDATA(" Tot # Single Rnk Old",'OLD Counts Pivot Table'!$A$3,"State","WV","Category",8,"Category2","Group2")</f>
        <v>0</v>
      </c>
      <c r="AB127" s="77">
        <f>+GETPIVOTDATA(" Tot # Single Rnk Old",'OLD Counts Pivot Table'!$A$3,"State","WV","Category",9,"Category2","Group2")</f>
        <v>0</v>
      </c>
      <c r="AC127" s="77">
        <f>+GETPIVOTDATA(" Tot # Single Rnk Old",'OLD Counts Pivot Table'!$A$3,"State","WV","Category",10,"Category2","Group2")</f>
        <v>0</v>
      </c>
      <c r="AD127" s="77">
        <f>+GETPIVOTDATA(" Tot # Single Rnk Old",'OLD Counts Pivot Table'!$A$3,"State","WV","Category",11,"Category2","Group2")</f>
        <v>0</v>
      </c>
      <c r="AE127" s="78">
        <f>+GETPIVOTDATA(" Tot # Single Rnk Old",'OLD Counts Pivot Table'!$A$3,"State","WV","Category2","Group2")</f>
        <v>0</v>
      </c>
      <c r="AF127" s="76">
        <f>+GETPIVOTDATA(" Tot # Single Rnk Old",'OLD Counts Pivot Table'!$A$3,"State","WV","Category",12,"Category2","Technical Institutes")</f>
        <v>0</v>
      </c>
      <c r="AG127" s="77">
        <f>+GETPIVOTDATA(" Tot # Single Rnk Old",'OLD Counts Pivot Table'!$A$3,"State","WV","Category",13,"Category2","Technical Institutes")</f>
        <v>0</v>
      </c>
      <c r="AH127" s="76">
        <f>+GETPIVOTDATA(" Tot # Single Rnk Old",'OLD Counts Pivot Table'!$A$3,"State","AR","Category2","Technical Institutes")</f>
        <v>0</v>
      </c>
    </row>
    <row r="128" spans="1:36" s="33" customFormat="1" x14ac:dyDescent="0.25">
      <c r="A128" s="109"/>
      <c r="B128" s="110" t="s">
        <v>84</v>
      </c>
      <c r="C128" s="13">
        <f t="shared" si="65"/>
        <v>1</v>
      </c>
      <c r="D128" s="11">
        <f t="shared" si="65"/>
        <v>0</v>
      </c>
      <c r="E128" s="11">
        <f t="shared" si="65"/>
        <v>1</v>
      </c>
      <c r="F128" s="11">
        <f t="shared" si="65"/>
        <v>0</v>
      </c>
      <c r="G128" s="11">
        <f t="shared" si="65"/>
        <v>1</v>
      </c>
      <c r="H128" s="41">
        <f t="shared" si="65"/>
        <v>1</v>
      </c>
      <c r="I128" s="13">
        <f t="shared" si="65"/>
        <v>1</v>
      </c>
      <c r="J128" s="13">
        <f t="shared" si="65"/>
        <v>1</v>
      </c>
      <c r="K128" s="11">
        <f t="shared" si="65"/>
        <v>0</v>
      </c>
      <c r="L128" s="11">
        <f t="shared" si="65"/>
        <v>1</v>
      </c>
      <c r="M128" s="11">
        <f t="shared" si="68"/>
        <v>1</v>
      </c>
      <c r="N128" s="13">
        <f t="shared" si="66"/>
        <v>1</v>
      </c>
      <c r="O128" s="13">
        <f t="shared" si="66"/>
        <v>0</v>
      </c>
      <c r="P128" s="11">
        <f t="shared" si="66"/>
        <v>0</v>
      </c>
      <c r="Q128" s="13">
        <f t="shared" si="67"/>
        <v>0</v>
      </c>
      <c r="R128" s="57"/>
      <c r="S128" s="79">
        <f>+GETPIVOTDATA(" All Ranks # Old",'OLD Counts Pivot Table'!$A$3,"State","WV","Category",1,"Category2","Four-Year")</f>
        <v>964</v>
      </c>
      <c r="T128" s="80">
        <f>+GETPIVOTDATA(" All Ranks # Old",'OLD Counts Pivot Table'!$A$3,"State","WV","Category",2,"Category2","Four-Year")</f>
        <v>0</v>
      </c>
      <c r="U128" s="80">
        <f>+GETPIVOTDATA(" All Ranks # Old",'OLD Counts Pivot Table'!$A$3,"State","WV","Category",3,"Category2","Four-Year")</f>
        <v>478</v>
      </c>
      <c r="V128" s="80">
        <f>+GETPIVOTDATA(" All Ranks # Old",'OLD Counts Pivot Table'!$A$3,"State","WV","Category",4,"Category2","Four-Year")</f>
        <v>0</v>
      </c>
      <c r="W128" s="80">
        <f>+GETPIVOTDATA(" All Ranks # Old",'OLD Counts Pivot Table'!$A$3,"State","WV","Category",5,"Category2","Four-Year")</f>
        <v>288</v>
      </c>
      <c r="X128" s="80">
        <f>+GETPIVOTDATA(" All Ranks # Old",'OLD Counts Pivot Table'!$A$3,"State","WV","Category",6,"Category2","Four-Year")</f>
        <v>583</v>
      </c>
      <c r="Y128" s="81">
        <f>+GETPIVOTDATA(" All Ranks # Old",'OLD Counts Pivot Table'!$A$3,"State","WV","Category2","Four-Year")</f>
        <v>2313</v>
      </c>
      <c r="Z128" s="79">
        <f>+GETPIVOTDATA(" All Ranks # Old",'OLD Counts Pivot Table'!$A$3,"State","WV","Category",7,"Category2","Group2")</f>
        <v>133</v>
      </c>
      <c r="AA128" s="80">
        <f>+GETPIVOTDATA(" All Ranks # Old",'OLD Counts Pivot Table'!$A$3,"State","WV","Category",8,"Category2","Group2")</f>
        <v>0</v>
      </c>
      <c r="AB128" s="80">
        <f>+GETPIVOTDATA(" All Ranks # Old",'OLD Counts Pivot Table'!$A$3,"State","WV","Category",9,"Category2","Group2")</f>
        <v>62</v>
      </c>
      <c r="AC128" s="80">
        <f>+GETPIVOTDATA(" All Ranks # Old",'OLD Counts Pivot Table'!$A$3,"State","WV","Category",10,"Category2","Group2")</f>
        <v>360</v>
      </c>
      <c r="AD128" s="80">
        <f>+GETPIVOTDATA(" All Ranks # Old",'OLD Counts Pivot Table'!$A$3,"State","WV","Category",11,"Category2","Group2")</f>
        <v>0</v>
      </c>
      <c r="AE128" s="81">
        <f>+GETPIVOTDATA(" All Ranks # Old",'OLD Counts Pivot Table'!$A$3,"State","WV","Category2","Group2")</f>
        <v>555</v>
      </c>
      <c r="AF128" s="79">
        <f>+GETPIVOTDATA(" All Ranks # Old",'OLD Counts Pivot Table'!$A$3,"State","WV","Category",12,"Category2","Technical Institutes")</f>
        <v>0</v>
      </c>
      <c r="AG128" s="80">
        <f>+GETPIVOTDATA(" All Ranks # Old",'OLD Counts Pivot Table'!$A$3,"State","WV","Category",13,"Category2","Technical Institutes")</f>
        <v>0</v>
      </c>
      <c r="AH128" s="79">
        <f>+GETPIVOTDATA(" All Ranks # Old",'OLD Counts Pivot Table'!$A$3,"State","AR","Category2","Technical Institutes")</f>
        <v>0</v>
      </c>
      <c r="AI128" s="82"/>
      <c r="AJ128" s="82"/>
    </row>
    <row r="129" spans="17:17" x14ac:dyDescent="0.2">
      <c r="Q129" s="231"/>
    </row>
  </sheetData>
  <printOptions horizontalCentered="1"/>
  <pageMargins left="0.5" right="0.5" top="1" bottom="0.75" header="0.75" footer="0.5"/>
  <pageSetup scale="98" firstPageNumber="163" orientation="landscape" useFirstPageNumber="1" r:id="rId1"/>
  <headerFooter alignWithMargins="0">
    <oddHeader>&amp;R&amp;"Arial,Regular"&amp;8SREB-State Data Exchange</oddHeader>
    <oddFooter>&amp;C&amp;"Arial,Regular"&amp;10C-&amp;P&amp;R&amp;"Arial,Regular"&amp;8January 2013</oddFooter>
  </headerFooter>
  <rowBreaks count="5" manualBreakCount="5">
    <brk id="30" max="18" man="1"/>
    <brk id="51" max="18" man="1"/>
    <brk id="72" max="18" man="1"/>
    <brk id="93" max="18" man="1"/>
    <brk id="114" max="18"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17"/>
  </sheetPr>
  <dimension ref="A1:S383"/>
  <sheetViews>
    <sheetView showGridLines="0" showZeros="0" zoomScale="90" zoomScaleNormal="90" zoomScaleSheetLayoutView="80" workbookViewId="0">
      <pane xSplit="2" ySplit="5" topLeftCell="C6" activePane="bottomRight" state="frozen"/>
      <selection pane="topRight" activeCell="C1" sqref="C1"/>
      <selection pane="bottomLeft" activeCell="A6" sqref="A6"/>
      <selection pane="bottomRight" activeCell="T26" sqref="T26"/>
    </sheetView>
  </sheetViews>
  <sheetFormatPr defaultColWidth="8.625" defaultRowHeight="12.75" x14ac:dyDescent="0.2"/>
  <cols>
    <col min="1" max="1" width="8.625" style="212"/>
    <col min="2" max="2" width="24" style="212" customWidth="1"/>
    <col min="3" max="18" width="8.625" style="212"/>
    <col min="19" max="19" width="8.625" style="104"/>
    <col min="20" max="16384" width="8.625" style="212"/>
  </cols>
  <sheetData>
    <row r="1" spans="1:19" x14ac:dyDescent="0.2">
      <c r="A1" s="211"/>
    </row>
    <row r="2" spans="1:19" x14ac:dyDescent="0.2">
      <c r="A2" s="213"/>
    </row>
    <row r="3" spans="1:19" x14ac:dyDescent="0.2">
      <c r="A3" s="214"/>
      <c r="B3" s="215"/>
      <c r="C3" s="214" t="s">
        <v>56</v>
      </c>
      <c r="D3" s="215" t="s">
        <v>95</v>
      </c>
      <c r="E3" s="215"/>
      <c r="F3" s="215"/>
      <c r="G3" s="215"/>
      <c r="H3" s="215"/>
      <c r="I3" s="215"/>
      <c r="J3" s="215"/>
      <c r="K3" s="215"/>
      <c r="L3" s="215"/>
      <c r="M3" s="215"/>
      <c r="N3" s="215"/>
      <c r="O3" s="215"/>
      <c r="P3" s="215"/>
      <c r="Q3" s="215"/>
      <c r="R3" s="215"/>
      <c r="S3" s="228"/>
    </row>
    <row r="4" spans="1:19" x14ac:dyDescent="0.2">
      <c r="A4" s="216"/>
      <c r="B4" s="217"/>
      <c r="C4" s="214" t="s">
        <v>86</v>
      </c>
      <c r="D4" s="215"/>
      <c r="E4" s="215"/>
      <c r="F4" s="215"/>
      <c r="G4" s="215"/>
      <c r="H4" s="215"/>
      <c r="I4" s="214" t="s">
        <v>192</v>
      </c>
      <c r="J4" s="214" t="s">
        <v>87</v>
      </c>
      <c r="K4" s="215"/>
      <c r="L4" s="215"/>
      <c r="M4" s="215"/>
      <c r="N4" s="514"/>
      <c r="O4" s="214" t="s">
        <v>192</v>
      </c>
      <c r="P4" s="214" t="s">
        <v>1036</v>
      </c>
      <c r="Q4" s="215"/>
      <c r="R4" s="214" t="s">
        <v>192</v>
      </c>
      <c r="S4" s="228"/>
    </row>
    <row r="5" spans="1:19" x14ac:dyDescent="0.2">
      <c r="A5" s="214" t="s">
        <v>98</v>
      </c>
      <c r="B5" s="214" t="s">
        <v>12</v>
      </c>
      <c r="C5" s="218">
        <v>1</v>
      </c>
      <c r="D5" s="219">
        <v>2</v>
      </c>
      <c r="E5" s="219">
        <v>3</v>
      </c>
      <c r="F5" s="219">
        <v>4</v>
      </c>
      <c r="G5" s="219">
        <v>5</v>
      </c>
      <c r="H5" s="219">
        <v>6</v>
      </c>
      <c r="I5" s="216"/>
      <c r="J5" s="218">
        <v>7</v>
      </c>
      <c r="K5" s="219">
        <v>8</v>
      </c>
      <c r="L5" s="219">
        <v>9</v>
      </c>
      <c r="M5" s="219">
        <v>10</v>
      </c>
      <c r="N5" s="223">
        <v>11</v>
      </c>
      <c r="O5" s="216"/>
      <c r="P5" s="218">
        <v>12</v>
      </c>
      <c r="Q5" s="219">
        <v>13</v>
      </c>
      <c r="R5" s="216"/>
      <c r="S5" s="229"/>
    </row>
    <row r="6" spans="1:19" x14ac:dyDescent="0.2">
      <c r="A6" s="220" t="s">
        <v>97</v>
      </c>
      <c r="B6" s="214" t="s">
        <v>14</v>
      </c>
      <c r="C6" s="221">
        <v>113495.82273339981</v>
      </c>
      <c r="D6" s="222">
        <v>109897.95613421053</v>
      </c>
      <c r="E6" s="222">
        <v>81287.027660176987</v>
      </c>
      <c r="F6" s="222">
        <v>80497.263359999997</v>
      </c>
      <c r="G6" s="222">
        <v>69562.213114754093</v>
      </c>
      <c r="H6" s="222">
        <v>84518.760180952377</v>
      </c>
      <c r="I6" s="221">
        <v>101278.95544807122</v>
      </c>
      <c r="J6" s="221">
        <v>0</v>
      </c>
      <c r="K6" s="222">
        <v>0</v>
      </c>
      <c r="L6" s="222">
        <v>0</v>
      </c>
      <c r="M6" s="222">
        <v>0</v>
      </c>
      <c r="N6" s="221">
        <v>0</v>
      </c>
      <c r="O6" s="221">
        <v>0</v>
      </c>
      <c r="P6" s="221">
        <v>0</v>
      </c>
      <c r="Q6" s="222">
        <v>0</v>
      </c>
      <c r="R6" s="221">
        <v>0</v>
      </c>
      <c r="S6" s="90"/>
    </row>
    <row r="7" spans="1:19" x14ac:dyDescent="0.2">
      <c r="A7" s="216"/>
      <c r="B7" s="223" t="s">
        <v>16</v>
      </c>
      <c r="C7" s="224">
        <v>119098.44834182548</v>
      </c>
      <c r="D7" s="90">
        <v>114576.35967848101</v>
      </c>
      <c r="E7" s="90">
        <v>82983.058536305733</v>
      </c>
      <c r="F7" s="90">
        <v>81843.264608080804</v>
      </c>
      <c r="G7" s="90">
        <v>76119.244444444441</v>
      </c>
      <c r="H7" s="90">
        <v>84664.398190000007</v>
      </c>
      <c r="I7" s="224">
        <v>105972.76838959468</v>
      </c>
      <c r="J7" s="224">
        <v>0</v>
      </c>
      <c r="K7" s="90">
        <v>0</v>
      </c>
      <c r="L7" s="90">
        <v>0</v>
      </c>
      <c r="M7" s="90">
        <v>0</v>
      </c>
      <c r="N7" s="224">
        <v>0</v>
      </c>
      <c r="O7" s="224">
        <v>0</v>
      </c>
      <c r="P7" s="224">
        <v>0</v>
      </c>
      <c r="Q7" s="90">
        <v>0</v>
      </c>
      <c r="R7" s="224">
        <v>0</v>
      </c>
      <c r="S7" s="90"/>
    </row>
    <row r="8" spans="1:19" x14ac:dyDescent="0.2">
      <c r="A8" s="216"/>
      <c r="B8" s="225" t="s">
        <v>18</v>
      </c>
      <c r="C8" s="227">
        <v>4.9364156966253887</v>
      </c>
      <c r="D8" s="226">
        <v>4.2570432689003574</v>
      </c>
      <c r="E8" s="226">
        <v>2.0864717593304758</v>
      </c>
      <c r="F8" s="226">
        <v>1.6721080840490419</v>
      </c>
      <c r="G8" s="512">
        <v>9.4261396181767054</v>
      </c>
      <c r="H8" s="226">
        <v>0.1723144172202993</v>
      </c>
      <c r="I8" s="227">
        <v>4.6345392493015165</v>
      </c>
      <c r="J8" s="227">
        <v>0</v>
      </c>
      <c r="K8" s="226">
        <v>0</v>
      </c>
      <c r="L8" s="226">
        <v>0</v>
      </c>
      <c r="M8" s="226">
        <v>0</v>
      </c>
      <c r="N8" s="227">
        <v>0</v>
      </c>
      <c r="O8" s="227">
        <v>0</v>
      </c>
      <c r="P8" s="227">
        <v>0</v>
      </c>
      <c r="Q8" s="226">
        <v>0</v>
      </c>
      <c r="R8" s="227">
        <v>0</v>
      </c>
      <c r="S8" s="230"/>
    </row>
    <row r="9" spans="1:19" x14ac:dyDescent="0.2">
      <c r="A9" s="216"/>
      <c r="B9" s="214" t="s">
        <v>20</v>
      </c>
      <c r="C9" s="221">
        <v>79479.332325327501</v>
      </c>
      <c r="D9" s="222">
        <v>78889.588777528086</v>
      </c>
      <c r="E9" s="222">
        <v>66116.241596022723</v>
      </c>
      <c r="F9" s="222">
        <v>66453.898009356722</v>
      </c>
      <c r="G9" s="222">
        <v>61738.878787878784</v>
      </c>
      <c r="H9" s="222">
        <v>71280.042960000006</v>
      </c>
      <c r="I9" s="221">
        <v>74325.366958983883</v>
      </c>
      <c r="J9" s="221">
        <v>0</v>
      </c>
      <c r="K9" s="222">
        <v>0</v>
      </c>
      <c r="L9" s="222">
        <v>0</v>
      </c>
      <c r="M9" s="222">
        <v>0</v>
      </c>
      <c r="N9" s="221">
        <v>0</v>
      </c>
      <c r="O9" s="221">
        <v>0</v>
      </c>
      <c r="P9" s="221">
        <v>0</v>
      </c>
      <c r="Q9" s="222">
        <v>0</v>
      </c>
      <c r="R9" s="221">
        <v>0</v>
      </c>
      <c r="S9" s="90"/>
    </row>
    <row r="10" spans="1:19" x14ac:dyDescent="0.2">
      <c r="A10" s="216"/>
      <c r="B10" s="223" t="s">
        <v>22</v>
      </c>
      <c r="C10" s="224">
        <v>82589.617035010946</v>
      </c>
      <c r="D10" s="90">
        <v>81057.685899999997</v>
      </c>
      <c r="E10" s="90">
        <v>67047.943364480874</v>
      </c>
      <c r="F10" s="90">
        <v>68446.187268235299</v>
      </c>
      <c r="G10" s="90">
        <v>60582.5</v>
      </c>
      <c r="H10" s="90">
        <v>73430.309782608689</v>
      </c>
      <c r="I10" s="224">
        <v>76524.613178927917</v>
      </c>
      <c r="J10" s="224">
        <v>0</v>
      </c>
      <c r="K10" s="90">
        <v>0</v>
      </c>
      <c r="L10" s="90">
        <v>0</v>
      </c>
      <c r="M10" s="90">
        <v>0</v>
      </c>
      <c r="N10" s="224">
        <v>0</v>
      </c>
      <c r="O10" s="224">
        <v>0</v>
      </c>
      <c r="P10" s="224">
        <v>0</v>
      </c>
      <c r="Q10" s="90">
        <v>0</v>
      </c>
      <c r="R10" s="224">
        <v>0</v>
      </c>
      <c r="S10" s="90"/>
    </row>
    <row r="11" spans="1:19" x14ac:dyDescent="0.2">
      <c r="A11" s="216"/>
      <c r="B11" s="225" t="s">
        <v>24</v>
      </c>
      <c r="C11" s="227">
        <v>3.9133251610020099</v>
      </c>
      <c r="D11" s="226">
        <v>2.7482677449188313</v>
      </c>
      <c r="E11" s="226">
        <v>1.4091874340815507</v>
      </c>
      <c r="F11" s="226">
        <v>2.998002101544234</v>
      </c>
      <c r="G11" s="226">
        <v>-1.8730155302169444</v>
      </c>
      <c r="H11" s="226">
        <v>3.0166463617528132</v>
      </c>
      <c r="I11" s="227">
        <v>2.958944314607526</v>
      </c>
      <c r="J11" s="227">
        <v>0</v>
      </c>
      <c r="K11" s="226">
        <v>0</v>
      </c>
      <c r="L11" s="226">
        <v>0</v>
      </c>
      <c r="M11" s="226">
        <v>0</v>
      </c>
      <c r="N11" s="227">
        <v>0</v>
      </c>
      <c r="O11" s="227">
        <v>0</v>
      </c>
      <c r="P11" s="227">
        <v>0</v>
      </c>
      <c r="Q11" s="226">
        <v>0</v>
      </c>
      <c r="R11" s="227">
        <v>0</v>
      </c>
      <c r="S11" s="230"/>
    </row>
    <row r="12" spans="1:19" x14ac:dyDescent="0.2">
      <c r="A12" s="216"/>
      <c r="B12" s="214" t="s">
        <v>26</v>
      </c>
      <c r="C12" s="221">
        <v>63800.64269171271</v>
      </c>
      <c r="D12" s="222">
        <v>64633.125237647058</v>
      </c>
      <c r="E12" s="222">
        <v>55074.335812890626</v>
      </c>
      <c r="F12" s="222">
        <v>54654.428063963969</v>
      </c>
      <c r="G12" s="222">
        <v>49430.659793814433</v>
      </c>
      <c r="H12" s="222">
        <v>61092.721438095243</v>
      </c>
      <c r="I12" s="221">
        <v>59541.282097691896</v>
      </c>
      <c r="J12" s="221">
        <v>0</v>
      </c>
      <c r="K12" s="222">
        <v>0</v>
      </c>
      <c r="L12" s="222">
        <v>0</v>
      </c>
      <c r="M12" s="222">
        <v>0</v>
      </c>
      <c r="N12" s="221">
        <v>0</v>
      </c>
      <c r="O12" s="221">
        <v>0</v>
      </c>
      <c r="P12" s="221">
        <v>0</v>
      </c>
      <c r="Q12" s="222">
        <v>0</v>
      </c>
      <c r="R12" s="221">
        <v>0</v>
      </c>
      <c r="S12" s="90"/>
    </row>
    <row r="13" spans="1:19" x14ac:dyDescent="0.2">
      <c r="A13" s="216"/>
      <c r="B13" s="223" t="s">
        <v>28</v>
      </c>
      <c r="C13" s="224">
        <v>67317.26566854566</v>
      </c>
      <c r="D13" s="90">
        <v>68094.104758620684</v>
      </c>
      <c r="E13" s="90">
        <v>57098.780457373738</v>
      </c>
      <c r="F13" s="90">
        <v>55045.674859999999</v>
      </c>
      <c r="G13" s="90">
        <v>50140.038461538461</v>
      </c>
      <c r="H13" s="90">
        <v>61186.815579487178</v>
      </c>
      <c r="I13" s="224">
        <v>62013.862644759822</v>
      </c>
      <c r="J13" s="224">
        <v>0</v>
      </c>
      <c r="K13" s="90">
        <v>0</v>
      </c>
      <c r="L13" s="90">
        <v>0</v>
      </c>
      <c r="M13" s="90">
        <v>0</v>
      </c>
      <c r="N13" s="224">
        <v>0</v>
      </c>
      <c r="O13" s="224">
        <v>0</v>
      </c>
      <c r="P13" s="224">
        <v>0</v>
      </c>
      <c r="Q13" s="90">
        <v>0</v>
      </c>
      <c r="R13" s="224">
        <v>0</v>
      </c>
      <c r="S13" s="90"/>
    </row>
    <row r="14" spans="1:19" x14ac:dyDescent="0.2">
      <c r="A14" s="216"/>
      <c r="B14" s="225" t="s">
        <v>30</v>
      </c>
      <c r="C14" s="227">
        <v>5.5118927152903696</v>
      </c>
      <c r="D14" s="226">
        <v>5.3548076288251316</v>
      </c>
      <c r="E14" s="226">
        <v>3.6758403249036968</v>
      </c>
      <c r="F14" s="226">
        <v>0.7158556221247806</v>
      </c>
      <c r="G14" s="226">
        <v>1.4350985212072704</v>
      </c>
      <c r="H14" s="226">
        <v>0.15401857893543053</v>
      </c>
      <c r="I14" s="227">
        <v>4.1527163338724531</v>
      </c>
      <c r="J14" s="227">
        <v>0</v>
      </c>
      <c r="K14" s="226">
        <v>0</v>
      </c>
      <c r="L14" s="226">
        <v>0</v>
      </c>
      <c r="M14" s="226">
        <v>0</v>
      </c>
      <c r="N14" s="227">
        <v>0</v>
      </c>
      <c r="O14" s="227">
        <v>0</v>
      </c>
      <c r="P14" s="227">
        <v>0</v>
      </c>
      <c r="Q14" s="226">
        <v>0</v>
      </c>
      <c r="R14" s="227">
        <v>0</v>
      </c>
      <c r="S14" s="230"/>
    </row>
    <row r="15" spans="1:19" x14ac:dyDescent="0.2">
      <c r="A15" s="216"/>
      <c r="B15" s="214" t="s">
        <v>32</v>
      </c>
      <c r="C15" s="221">
        <v>42978.5560591623</v>
      </c>
      <c r="D15" s="222">
        <v>49537.538461538461</v>
      </c>
      <c r="E15" s="222">
        <v>45653.412176811595</v>
      </c>
      <c r="F15" s="222">
        <v>45549.651090109888</v>
      </c>
      <c r="G15" s="222">
        <v>41600.083333333336</v>
      </c>
      <c r="H15" s="222">
        <v>48012.133333333331</v>
      </c>
      <c r="I15" s="221">
        <v>44337.701189961394</v>
      </c>
      <c r="J15" s="221">
        <v>0</v>
      </c>
      <c r="K15" s="222">
        <v>0</v>
      </c>
      <c r="L15" s="222">
        <v>0</v>
      </c>
      <c r="M15" s="222">
        <v>0</v>
      </c>
      <c r="N15" s="221">
        <v>0</v>
      </c>
      <c r="O15" s="221">
        <v>0</v>
      </c>
      <c r="P15" s="221">
        <v>0</v>
      </c>
      <c r="Q15" s="222">
        <v>0</v>
      </c>
      <c r="R15" s="221">
        <v>0</v>
      </c>
      <c r="S15" s="90"/>
    </row>
    <row r="16" spans="1:19" x14ac:dyDescent="0.2">
      <c r="A16" s="216"/>
      <c r="B16" s="223" t="s">
        <v>34</v>
      </c>
      <c r="C16" s="224">
        <v>45847.154641134744</v>
      </c>
      <c r="D16" s="90">
        <v>51734</v>
      </c>
      <c r="E16" s="90">
        <v>46794.463101098903</v>
      </c>
      <c r="F16" s="90">
        <v>45083.450422680406</v>
      </c>
      <c r="G16" s="90">
        <v>41848.333333333336</v>
      </c>
      <c r="H16" s="90">
        <v>45233.137533333334</v>
      </c>
      <c r="I16" s="224">
        <v>46095.793870787886</v>
      </c>
      <c r="J16" s="224">
        <v>0</v>
      </c>
      <c r="K16" s="90">
        <v>0</v>
      </c>
      <c r="L16" s="90">
        <v>0</v>
      </c>
      <c r="M16" s="90">
        <v>0</v>
      </c>
      <c r="N16" s="224">
        <v>0</v>
      </c>
      <c r="O16" s="224">
        <v>0</v>
      </c>
      <c r="P16" s="224">
        <v>0</v>
      </c>
      <c r="Q16" s="90">
        <v>0</v>
      </c>
      <c r="R16" s="224">
        <v>0</v>
      </c>
      <c r="S16" s="90"/>
    </row>
    <row r="17" spans="1:19" x14ac:dyDescent="0.2">
      <c r="A17" s="216"/>
      <c r="B17" s="225" t="s">
        <v>36</v>
      </c>
      <c r="C17" s="227">
        <v>6.6744880354371707</v>
      </c>
      <c r="D17" s="226">
        <v>4.4339335515568621</v>
      </c>
      <c r="E17" s="226">
        <v>2.4993770889854194</v>
      </c>
      <c r="F17" s="512">
        <v>-1.0234999748015805</v>
      </c>
      <c r="G17" s="512">
        <v>0.5967536122724113</v>
      </c>
      <c r="H17" s="512">
        <v>-5.7881114773765461</v>
      </c>
      <c r="I17" s="227">
        <v>3.9652319214613367</v>
      </c>
      <c r="J17" s="227">
        <v>0</v>
      </c>
      <c r="K17" s="226">
        <v>0</v>
      </c>
      <c r="L17" s="226">
        <v>0</v>
      </c>
      <c r="M17" s="226">
        <v>0</v>
      </c>
      <c r="N17" s="227">
        <v>0</v>
      </c>
      <c r="O17" s="227">
        <v>0</v>
      </c>
      <c r="P17" s="227">
        <v>0</v>
      </c>
      <c r="Q17" s="226">
        <v>0</v>
      </c>
      <c r="R17" s="227">
        <v>0</v>
      </c>
      <c r="S17" s="230"/>
    </row>
    <row r="18" spans="1:19" x14ac:dyDescent="0.2">
      <c r="A18" s="216"/>
      <c r="B18" s="214" t="s">
        <v>38</v>
      </c>
      <c r="C18" s="221">
        <v>61480.842315384616</v>
      </c>
      <c r="D18" s="222">
        <v>46430.874714999998</v>
      </c>
      <c r="E18" s="222">
        <v>40948.13279428571</v>
      </c>
      <c r="F18" s="222">
        <v>74178.012000000002</v>
      </c>
      <c r="G18" s="222">
        <v>29018.075000000001</v>
      </c>
      <c r="H18" s="222">
        <v>0</v>
      </c>
      <c r="I18" s="221">
        <v>45908.26581095891</v>
      </c>
      <c r="J18" s="221">
        <v>0</v>
      </c>
      <c r="K18" s="222">
        <v>0</v>
      </c>
      <c r="L18" s="222">
        <v>0</v>
      </c>
      <c r="M18" s="222">
        <v>0</v>
      </c>
      <c r="N18" s="221">
        <v>0</v>
      </c>
      <c r="O18" s="221">
        <v>0</v>
      </c>
      <c r="P18" s="221">
        <v>0</v>
      </c>
      <c r="Q18" s="222">
        <v>0</v>
      </c>
      <c r="R18" s="221">
        <v>0</v>
      </c>
      <c r="S18" s="90"/>
    </row>
    <row r="19" spans="1:19" x14ac:dyDescent="0.2">
      <c r="A19" s="216"/>
      <c r="B19" s="223" t="s">
        <v>40</v>
      </c>
      <c r="C19" s="224">
        <v>64732.516752000003</v>
      </c>
      <c r="D19" s="90">
        <v>47283.475740000002</v>
      </c>
      <c r="E19" s="90">
        <v>43444.352064788734</v>
      </c>
      <c r="F19" s="90">
        <v>66876.395199999999</v>
      </c>
      <c r="G19" s="90">
        <v>62067.37777777778</v>
      </c>
      <c r="H19" s="90">
        <v>0</v>
      </c>
      <c r="I19" s="224">
        <v>49449.888631506852</v>
      </c>
      <c r="J19" s="224">
        <v>0</v>
      </c>
      <c r="K19" s="90">
        <v>0</v>
      </c>
      <c r="L19" s="90">
        <v>0</v>
      </c>
      <c r="M19" s="90">
        <v>0</v>
      </c>
      <c r="N19" s="224">
        <v>0</v>
      </c>
      <c r="O19" s="224">
        <v>0</v>
      </c>
      <c r="P19" s="224">
        <v>0</v>
      </c>
      <c r="Q19" s="90">
        <v>0</v>
      </c>
      <c r="R19" s="224">
        <v>0</v>
      </c>
      <c r="S19" s="90"/>
    </row>
    <row r="20" spans="1:19" x14ac:dyDescent="0.2">
      <c r="A20" s="216"/>
      <c r="B20" s="225" t="s">
        <v>42</v>
      </c>
      <c r="C20" s="227">
        <v>5.2889230435961458</v>
      </c>
      <c r="D20" s="226">
        <v>1.8362803419780538</v>
      </c>
      <c r="E20" s="226">
        <v>6.0960515172779033</v>
      </c>
      <c r="F20" s="226">
        <v>-9.8433708360908945</v>
      </c>
      <c r="G20" s="226">
        <v>113.89212681329748</v>
      </c>
      <c r="H20" s="226">
        <v>0</v>
      </c>
      <c r="I20" s="227">
        <v>7.714564595255327</v>
      </c>
      <c r="J20" s="227">
        <v>0</v>
      </c>
      <c r="K20" s="226">
        <v>0</v>
      </c>
      <c r="L20" s="226">
        <v>0</v>
      </c>
      <c r="M20" s="226">
        <v>0</v>
      </c>
      <c r="N20" s="227">
        <v>0</v>
      </c>
      <c r="O20" s="227">
        <v>0</v>
      </c>
      <c r="P20" s="227">
        <v>0</v>
      </c>
      <c r="Q20" s="226">
        <v>0</v>
      </c>
      <c r="R20" s="227">
        <v>0</v>
      </c>
      <c r="S20" s="230"/>
    </row>
    <row r="21" spans="1:19" x14ac:dyDescent="0.2">
      <c r="A21" s="216"/>
      <c r="B21" s="214" t="s">
        <v>44</v>
      </c>
      <c r="C21" s="221">
        <v>0</v>
      </c>
      <c r="D21" s="222">
        <v>0</v>
      </c>
      <c r="E21" s="222">
        <v>0</v>
      </c>
      <c r="F21" s="222">
        <v>0</v>
      </c>
      <c r="G21" s="222">
        <v>0</v>
      </c>
      <c r="H21" s="222">
        <v>0</v>
      </c>
      <c r="I21" s="221">
        <v>0</v>
      </c>
      <c r="J21" s="221">
        <v>0</v>
      </c>
      <c r="K21" s="222">
        <v>53107.406635650623</v>
      </c>
      <c r="L21" s="222">
        <v>53267.022607226354</v>
      </c>
      <c r="M21" s="222">
        <v>51974.395768265684</v>
      </c>
      <c r="N21" s="221">
        <v>0</v>
      </c>
      <c r="O21" s="221">
        <v>53018.942272532433</v>
      </c>
      <c r="P21" s="221">
        <v>54504.933505263158</v>
      </c>
      <c r="Q21" s="222">
        <v>52453.511352941176</v>
      </c>
      <c r="R21" s="221">
        <v>53421.884542857144</v>
      </c>
      <c r="S21" s="90"/>
    </row>
    <row r="22" spans="1:19" x14ac:dyDescent="0.2">
      <c r="A22" s="216"/>
      <c r="B22" s="223" t="s">
        <v>46</v>
      </c>
      <c r="C22" s="224">
        <v>0</v>
      </c>
      <c r="D22" s="90">
        <v>0</v>
      </c>
      <c r="E22" s="90">
        <v>0</v>
      </c>
      <c r="F22" s="90">
        <v>0</v>
      </c>
      <c r="G22" s="90">
        <v>0</v>
      </c>
      <c r="H22" s="90">
        <v>0</v>
      </c>
      <c r="I22" s="224">
        <v>0</v>
      </c>
      <c r="J22" s="224">
        <v>0</v>
      </c>
      <c r="K22" s="90">
        <v>53670.772453214289</v>
      </c>
      <c r="L22" s="90">
        <v>53168.077911677283</v>
      </c>
      <c r="M22" s="90">
        <v>52098.867070110704</v>
      </c>
      <c r="N22" s="224">
        <v>0</v>
      </c>
      <c r="O22" s="224">
        <v>53163.426363564577</v>
      </c>
      <c r="P22" s="224">
        <v>53534.257756666666</v>
      </c>
      <c r="Q22" s="90">
        <v>52822.426685393257</v>
      </c>
      <c r="R22" s="224">
        <v>53109.070069798654</v>
      </c>
      <c r="S22" s="90"/>
    </row>
    <row r="23" spans="1:19" x14ac:dyDescent="0.2">
      <c r="A23" s="216"/>
      <c r="B23" s="225" t="s">
        <v>48</v>
      </c>
      <c r="C23" s="227">
        <v>0</v>
      </c>
      <c r="D23" s="226">
        <v>0</v>
      </c>
      <c r="E23" s="226">
        <v>0</v>
      </c>
      <c r="F23" s="226">
        <v>0</v>
      </c>
      <c r="G23" s="226">
        <v>0</v>
      </c>
      <c r="H23" s="226">
        <v>0</v>
      </c>
      <c r="I23" s="227">
        <v>0</v>
      </c>
      <c r="J23" s="227">
        <v>0</v>
      </c>
      <c r="K23" s="226">
        <v>1.0608046094750991</v>
      </c>
      <c r="L23" s="226">
        <v>-0.18575225478370941</v>
      </c>
      <c r="M23" s="226">
        <v>0.23948580835839056</v>
      </c>
      <c r="N23" s="227">
        <v>0</v>
      </c>
      <c r="O23" s="227">
        <v>0.27251409560276463</v>
      </c>
      <c r="P23" s="227">
        <v>-1.7808952074086293</v>
      </c>
      <c r="Q23" s="226">
        <v>0.70331865863045862</v>
      </c>
      <c r="R23" s="227">
        <v>-0.58555491955274963</v>
      </c>
      <c r="S23" s="230"/>
    </row>
    <row r="24" spans="1:19" x14ac:dyDescent="0.2">
      <c r="A24" s="216"/>
      <c r="B24" s="214" t="s">
        <v>50</v>
      </c>
      <c r="C24" s="221">
        <v>81186.655495792074</v>
      </c>
      <c r="D24" s="222">
        <v>77123.619475907588</v>
      </c>
      <c r="E24" s="222">
        <v>61003.221698644287</v>
      </c>
      <c r="F24" s="222">
        <v>63609.936787779436</v>
      </c>
      <c r="G24" s="222">
        <v>56738.445081967213</v>
      </c>
      <c r="H24" s="222">
        <v>68725.878179069769</v>
      </c>
      <c r="I24" s="221">
        <v>72751.781656992607</v>
      </c>
      <c r="J24" s="221">
        <v>0</v>
      </c>
      <c r="K24" s="222">
        <v>53107.406635650623</v>
      </c>
      <c r="L24" s="222">
        <v>53267.022607226354</v>
      </c>
      <c r="M24" s="222">
        <v>51974.395768265684</v>
      </c>
      <c r="N24" s="221">
        <v>0</v>
      </c>
      <c r="O24" s="221">
        <v>53018.942272532433</v>
      </c>
      <c r="P24" s="221">
        <v>54504.933505263158</v>
      </c>
      <c r="Q24" s="222">
        <v>52453.511352941176</v>
      </c>
      <c r="R24" s="221">
        <v>53421.884542857144</v>
      </c>
      <c r="S24" s="90"/>
    </row>
    <row r="25" spans="1:19" x14ac:dyDescent="0.2">
      <c r="A25" s="216"/>
      <c r="B25" s="223" t="s">
        <v>52</v>
      </c>
      <c r="C25" s="224">
        <v>84704.293575723961</v>
      </c>
      <c r="D25" s="90">
        <v>80268.939691503256</v>
      </c>
      <c r="E25" s="90">
        <v>62356.524951547071</v>
      </c>
      <c r="F25" s="90">
        <v>64709.676069096211</v>
      </c>
      <c r="G25" s="90">
        <v>57820.84978902954</v>
      </c>
      <c r="H25" s="90">
        <v>69460.827164705886</v>
      </c>
      <c r="I25" s="224">
        <v>75379.263593716067</v>
      </c>
      <c r="J25" s="224">
        <v>0</v>
      </c>
      <c r="K25" s="90">
        <v>53670.772453214289</v>
      </c>
      <c r="L25" s="90">
        <v>53168.077911677283</v>
      </c>
      <c r="M25" s="90">
        <v>52098.867070110704</v>
      </c>
      <c r="N25" s="224">
        <v>0</v>
      </c>
      <c r="O25" s="224">
        <v>53163.426363564577</v>
      </c>
      <c r="P25" s="224">
        <v>53534.257756666666</v>
      </c>
      <c r="Q25" s="90">
        <v>52822.426685393257</v>
      </c>
      <c r="R25" s="224">
        <v>53109.070069798654</v>
      </c>
      <c r="S25" s="90"/>
    </row>
    <row r="26" spans="1:19" x14ac:dyDescent="0.2">
      <c r="A26" s="216"/>
      <c r="B26" s="225" t="s">
        <v>54</v>
      </c>
      <c r="C26" s="227">
        <v>4.332778654879073</v>
      </c>
      <c r="D26" s="226">
        <v>4.0782839770353689</v>
      </c>
      <c r="E26" s="226">
        <v>2.2184127579164552</v>
      </c>
      <c r="F26" s="226">
        <v>1.7288796952995149</v>
      </c>
      <c r="G26" s="226">
        <v>1.9077095001433879</v>
      </c>
      <c r="H26" s="226">
        <v>1.0693919162752059</v>
      </c>
      <c r="I26" s="227">
        <v>3.6115705717165985</v>
      </c>
      <c r="J26" s="227">
        <v>0</v>
      </c>
      <c r="K26" s="226">
        <v>1.0608046094750991</v>
      </c>
      <c r="L26" s="226">
        <v>-0.18575225478370941</v>
      </c>
      <c r="M26" s="226">
        <v>0.23948580835839056</v>
      </c>
      <c r="N26" s="227">
        <v>0</v>
      </c>
      <c r="O26" s="227">
        <v>0.27251409560276463</v>
      </c>
      <c r="P26" s="227">
        <v>-1.7808952074086293</v>
      </c>
      <c r="Q26" s="226">
        <v>0.70331865863045862</v>
      </c>
      <c r="R26" s="227">
        <v>-0.58555491955274963</v>
      </c>
      <c r="S26" s="230"/>
    </row>
    <row r="27" spans="1:19" x14ac:dyDescent="0.2">
      <c r="A27" s="220" t="s">
        <v>105</v>
      </c>
      <c r="B27" s="214" t="s">
        <v>14</v>
      </c>
      <c r="C27" s="221">
        <v>103582.99623398329</v>
      </c>
      <c r="D27" s="222">
        <v>0</v>
      </c>
      <c r="E27" s="222">
        <v>77161.982151884062</v>
      </c>
      <c r="F27" s="222">
        <v>67087.118815267168</v>
      </c>
      <c r="G27" s="222">
        <v>66335.290869999997</v>
      </c>
      <c r="H27" s="222">
        <v>65428.845741463418</v>
      </c>
      <c r="I27" s="221">
        <v>85496.518468750015</v>
      </c>
      <c r="J27" s="221">
        <v>0</v>
      </c>
      <c r="K27" s="222">
        <v>0</v>
      </c>
      <c r="L27" s="222">
        <v>57778.512439999999</v>
      </c>
      <c r="M27" s="222">
        <v>0</v>
      </c>
      <c r="N27" s="221">
        <v>0</v>
      </c>
      <c r="O27" s="221">
        <v>57778.512439999999</v>
      </c>
      <c r="P27" s="221">
        <v>0</v>
      </c>
      <c r="Q27" s="222">
        <v>0</v>
      </c>
      <c r="R27" s="221">
        <v>0</v>
      </c>
      <c r="S27" s="90"/>
    </row>
    <row r="28" spans="1:19" x14ac:dyDescent="0.2">
      <c r="A28" s="216"/>
      <c r="B28" s="223" t="s">
        <v>16</v>
      </c>
      <c r="C28" s="224">
        <v>107392.77342225895</v>
      </c>
      <c r="D28" s="90">
        <v>0</v>
      </c>
      <c r="E28" s="90">
        <v>81384.938824451034</v>
      </c>
      <c r="F28" s="90">
        <v>67770.081047400003</v>
      </c>
      <c r="G28" s="90">
        <v>66404.830130899994</v>
      </c>
      <c r="H28" s="90">
        <v>68309.718792000014</v>
      </c>
      <c r="I28" s="224">
        <v>88820.097176299663</v>
      </c>
      <c r="J28" s="224">
        <v>0</v>
      </c>
      <c r="K28" s="90">
        <v>0</v>
      </c>
      <c r="L28" s="90">
        <v>46380.800000000003</v>
      </c>
      <c r="M28" s="90">
        <v>54407.963973333332</v>
      </c>
      <c r="N28" s="224">
        <v>0</v>
      </c>
      <c r="O28" s="224">
        <v>52401.172979999996</v>
      </c>
      <c r="P28" s="224">
        <v>0</v>
      </c>
      <c r="Q28" s="90">
        <v>0</v>
      </c>
      <c r="R28" s="224">
        <v>0</v>
      </c>
      <c r="S28" s="90"/>
    </row>
    <row r="29" spans="1:19" x14ac:dyDescent="0.2">
      <c r="A29" s="216"/>
      <c r="B29" s="225" t="s">
        <v>18</v>
      </c>
      <c r="C29" s="227">
        <v>3.6779947740358572</v>
      </c>
      <c r="D29" s="226">
        <v>0</v>
      </c>
      <c r="E29" s="226">
        <v>5.4728462836200746</v>
      </c>
      <c r="F29" s="226">
        <v>1.0180228994681642</v>
      </c>
      <c r="G29" s="226">
        <v>0.1048299630377385</v>
      </c>
      <c r="H29" s="226">
        <v>4.4030626215234241</v>
      </c>
      <c r="I29" s="227">
        <v>3.8873848515415927</v>
      </c>
      <c r="J29" s="227">
        <v>0</v>
      </c>
      <c r="K29" s="226">
        <v>0</v>
      </c>
      <c r="L29" s="512">
        <v>-19.726559163038218</v>
      </c>
      <c r="M29" s="226">
        <v>0</v>
      </c>
      <c r="N29" s="227">
        <v>0</v>
      </c>
      <c r="O29" s="227">
        <v>-9.3068153417485302</v>
      </c>
      <c r="P29" s="227">
        <v>0</v>
      </c>
      <c r="Q29" s="226">
        <v>0</v>
      </c>
      <c r="R29" s="227">
        <v>0</v>
      </c>
      <c r="S29" s="230"/>
    </row>
    <row r="30" spans="1:19" x14ac:dyDescent="0.2">
      <c r="A30" s="216"/>
      <c r="B30" s="214" t="s">
        <v>20</v>
      </c>
      <c r="C30" s="221">
        <v>73743.659477981651</v>
      </c>
      <c r="D30" s="222">
        <v>0</v>
      </c>
      <c r="E30" s="222">
        <v>62347.008006521741</v>
      </c>
      <c r="F30" s="222">
        <v>57548.159836986306</v>
      </c>
      <c r="G30" s="222">
        <v>57271.987013333339</v>
      </c>
      <c r="H30" s="222">
        <v>62852.339460975607</v>
      </c>
      <c r="I30" s="221">
        <v>64329.264804502367</v>
      </c>
      <c r="J30" s="221">
        <v>0</v>
      </c>
      <c r="K30" s="222">
        <v>0</v>
      </c>
      <c r="L30" s="222">
        <v>56579.617133333333</v>
      </c>
      <c r="M30" s="222">
        <v>0</v>
      </c>
      <c r="N30" s="221">
        <v>0</v>
      </c>
      <c r="O30" s="221">
        <v>56579.617133333333</v>
      </c>
      <c r="P30" s="221">
        <v>0</v>
      </c>
      <c r="Q30" s="222">
        <v>0</v>
      </c>
      <c r="R30" s="221">
        <v>0</v>
      </c>
      <c r="S30" s="90"/>
    </row>
    <row r="31" spans="1:19" x14ac:dyDescent="0.2">
      <c r="A31" s="216"/>
      <c r="B31" s="223" t="s">
        <v>22</v>
      </c>
      <c r="C31" s="224">
        <v>75285.429904336459</v>
      </c>
      <c r="D31" s="90">
        <v>0</v>
      </c>
      <c r="E31" s="90">
        <v>64809.639012962769</v>
      </c>
      <c r="F31" s="90">
        <v>57750.451195683454</v>
      </c>
      <c r="G31" s="90">
        <v>55532.532732533335</v>
      </c>
      <c r="H31" s="90">
        <v>65472.747367054937</v>
      </c>
      <c r="I31" s="224">
        <v>65854.107477419631</v>
      </c>
      <c r="J31" s="224">
        <v>0</v>
      </c>
      <c r="K31" s="90">
        <v>0</v>
      </c>
      <c r="L31" s="90">
        <v>55515.918220000007</v>
      </c>
      <c r="M31" s="90">
        <v>46242.490250000003</v>
      </c>
      <c r="N31" s="224">
        <v>0</v>
      </c>
      <c r="O31" s="224">
        <v>52866.367371428576</v>
      </c>
      <c r="P31" s="224">
        <v>0</v>
      </c>
      <c r="Q31" s="90">
        <v>0</v>
      </c>
      <c r="R31" s="224">
        <v>0</v>
      </c>
      <c r="S31" s="90"/>
    </row>
    <row r="32" spans="1:19" x14ac:dyDescent="0.2">
      <c r="A32" s="216"/>
      <c r="B32" s="225" t="s">
        <v>24</v>
      </c>
      <c r="C32" s="227">
        <v>2.0907159168242102</v>
      </c>
      <c r="D32" s="226">
        <v>0</v>
      </c>
      <c r="E32" s="226">
        <v>3.9498784066485229</v>
      </c>
      <c r="F32" s="226">
        <v>0.35151664148804823</v>
      </c>
      <c r="G32" s="226">
        <v>-3.0371816511186287</v>
      </c>
      <c r="H32" s="226">
        <v>4.1691493563359172</v>
      </c>
      <c r="I32" s="227">
        <v>2.370371676951827</v>
      </c>
      <c r="J32" s="227">
        <v>0</v>
      </c>
      <c r="K32" s="226">
        <v>0</v>
      </c>
      <c r="L32" s="226">
        <v>-1.8800037314262039</v>
      </c>
      <c r="M32" s="226">
        <v>0</v>
      </c>
      <c r="N32" s="227">
        <v>0</v>
      </c>
      <c r="O32" s="227">
        <v>-6.5628753781671172</v>
      </c>
      <c r="P32" s="227">
        <v>0</v>
      </c>
      <c r="Q32" s="226">
        <v>0</v>
      </c>
      <c r="R32" s="227">
        <v>0</v>
      </c>
      <c r="S32" s="230"/>
    </row>
    <row r="33" spans="1:19" x14ac:dyDescent="0.2">
      <c r="A33" s="216"/>
      <c r="B33" s="214" t="s">
        <v>26</v>
      </c>
      <c r="C33" s="221">
        <v>69920.66671294118</v>
      </c>
      <c r="D33" s="222">
        <v>0</v>
      </c>
      <c r="E33" s="222">
        <v>54823.894230769234</v>
      </c>
      <c r="F33" s="222">
        <v>48822.418566346154</v>
      </c>
      <c r="G33" s="222">
        <v>46970.310777777777</v>
      </c>
      <c r="H33" s="222">
        <v>51253.953162913909</v>
      </c>
      <c r="I33" s="221">
        <v>55323.244611267604</v>
      </c>
      <c r="J33" s="221">
        <v>0</v>
      </c>
      <c r="K33" s="222">
        <v>0</v>
      </c>
      <c r="L33" s="222">
        <v>46697.386723529409</v>
      </c>
      <c r="M33" s="222">
        <v>42794.331193749997</v>
      </c>
      <c r="N33" s="221">
        <v>0</v>
      </c>
      <c r="O33" s="221">
        <v>44804.996163636359</v>
      </c>
      <c r="P33" s="221">
        <v>0</v>
      </c>
      <c r="Q33" s="222">
        <v>0</v>
      </c>
      <c r="R33" s="221">
        <v>0</v>
      </c>
      <c r="S33" s="90"/>
    </row>
    <row r="34" spans="1:19" x14ac:dyDescent="0.2">
      <c r="A34" s="216"/>
      <c r="B34" s="223" t="s">
        <v>28</v>
      </c>
      <c r="C34" s="224">
        <v>75060.629452371271</v>
      </c>
      <c r="D34" s="90">
        <v>0</v>
      </c>
      <c r="E34" s="90">
        <v>56760.281226106541</v>
      </c>
      <c r="F34" s="90">
        <v>49572.156719918188</v>
      </c>
      <c r="G34" s="90">
        <v>47270.028556521742</v>
      </c>
      <c r="H34" s="90">
        <v>52445.001754261444</v>
      </c>
      <c r="I34" s="224">
        <v>57371.200480032785</v>
      </c>
      <c r="J34" s="224">
        <v>0</v>
      </c>
      <c r="K34" s="90">
        <v>0</v>
      </c>
      <c r="L34" s="90">
        <v>45569.826518749993</v>
      </c>
      <c r="M34" s="90">
        <v>38750.757269409085</v>
      </c>
      <c r="N34" s="224">
        <v>0</v>
      </c>
      <c r="O34" s="224">
        <v>41621.944321763163</v>
      </c>
      <c r="P34" s="224">
        <v>0</v>
      </c>
      <c r="Q34" s="90">
        <v>0</v>
      </c>
      <c r="R34" s="224">
        <v>0</v>
      </c>
      <c r="S34" s="90"/>
    </row>
    <row r="35" spans="1:19" x14ac:dyDescent="0.2">
      <c r="A35" s="216"/>
      <c r="B35" s="225" t="s">
        <v>30</v>
      </c>
      <c r="C35" s="227">
        <v>7.3511351951665072</v>
      </c>
      <c r="D35" s="226">
        <v>0</v>
      </c>
      <c r="E35" s="226">
        <v>3.5320128613748376</v>
      </c>
      <c r="F35" s="226">
        <v>1.5356432056990255</v>
      </c>
      <c r="G35" s="226">
        <v>0.63810048045448564</v>
      </c>
      <c r="H35" s="226">
        <v>2.3238180039727125</v>
      </c>
      <c r="I35" s="227">
        <v>3.7017999995395718</v>
      </c>
      <c r="J35" s="227">
        <v>0</v>
      </c>
      <c r="K35" s="226">
        <v>0</v>
      </c>
      <c r="L35" s="226">
        <v>-2.4146109319887756</v>
      </c>
      <c r="M35" s="512">
        <v>-9.4488541158261281</v>
      </c>
      <c r="N35" s="227">
        <v>0</v>
      </c>
      <c r="O35" s="227">
        <v>-7.1042341578338384</v>
      </c>
      <c r="P35" s="227">
        <v>0</v>
      </c>
      <c r="Q35" s="226">
        <v>0</v>
      </c>
      <c r="R35" s="227">
        <v>0</v>
      </c>
      <c r="S35" s="230"/>
    </row>
    <row r="36" spans="1:19" x14ac:dyDescent="0.2">
      <c r="A36" s="216"/>
      <c r="B36" s="214" t="s">
        <v>32</v>
      </c>
      <c r="C36" s="221">
        <v>43014.044648062016</v>
      </c>
      <c r="D36" s="222">
        <v>0</v>
      </c>
      <c r="E36" s="222">
        <v>37737.194078378379</v>
      </c>
      <c r="F36" s="222">
        <v>39082.076891666664</v>
      </c>
      <c r="G36" s="222">
        <v>40920.753749999996</v>
      </c>
      <c r="H36" s="222">
        <v>41210.294220869568</v>
      </c>
      <c r="I36" s="221">
        <v>39685.125020909087</v>
      </c>
      <c r="J36" s="221">
        <v>0</v>
      </c>
      <c r="K36" s="222">
        <v>0</v>
      </c>
      <c r="L36" s="222">
        <v>39812.215172602737</v>
      </c>
      <c r="M36" s="222">
        <v>39614.895417948719</v>
      </c>
      <c r="N36" s="221">
        <v>0</v>
      </c>
      <c r="O36" s="221">
        <v>39710.288411920534</v>
      </c>
      <c r="P36" s="221">
        <v>0</v>
      </c>
      <c r="Q36" s="222">
        <v>0</v>
      </c>
      <c r="R36" s="221">
        <v>0</v>
      </c>
      <c r="S36" s="90"/>
    </row>
    <row r="37" spans="1:19" x14ac:dyDescent="0.2">
      <c r="A37" s="216"/>
      <c r="B37" s="223" t="s">
        <v>34</v>
      </c>
      <c r="C37" s="224">
        <v>43282.166256179778</v>
      </c>
      <c r="D37" s="90">
        <v>0</v>
      </c>
      <c r="E37" s="90">
        <v>39764.495720726671</v>
      </c>
      <c r="F37" s="90">
        <v>39946.634197360829</v>
      </c>
      <c r="G37" s="90">
        <v>41344.090376827582</v>
      </c>
      <c r="H37" s="90">
        <v>42318.805743574805</v>
      </c>
      <c r="I37" s="224">
        <v>41151.661802084818</v>
      </c>
      <c r="J37" s="224">
        <v>0</v>
      </c>
      <c r="K37" s="90">
        <v>0</v>
      </c>
      <c r="L37" s="90">
        <v>40492.052722108107</v>
      </c>
      <c r="M37" s="90">
        <v>39760.003378702699</v>
      </c>
      <c r="N37" s="224">
        <v>0</v>
      </c>
      <c r="O37" s="224">
        <v>40052.823116064865</v>
      </c>
      <c r="P37" s="224">
        <v>0</v>
      </c>
      <c r="Q37" s="90">
        <v>0</v>
      </c>
      <c r="R37" s="224">
        <v>0</v>
      </c>
      <c r="S37" s="90"/>
    </row>
    <row r="38" spans="1:19" x14ac:dyDescent="0.2">
      <c r="A38" s="216"/>
      <c r="B38" s="225" t="s">
        <v>36</v>
      </c>
      <c r="C38" s="227">
        <v>0.62333503001523205</v>
      </c>
      <c r="D38" s="226">
        <v>0</v>
      </c>
      <c r="E38" s="226">
        <v>5.3721578719861389</v>
      </c>
      <c r="F38" s="226">
        <v>2.2121580388132123</v>
      </c>
      <c r="G38" s="226">
        <v>1.0345279302866848</v>
      </c>
      <c r="H38" s="226">
        <v>2.6898898531616622</v>
      </c>
      <c r="I38" s="227">
        <v>3.6954319292254976</v>
      </c>
      <c r="J38" s="227">
        <v>0</v>
      </c>
      <c r="K38" s="226">
        <v>0</v>
      </c>
      <c r="L38" s="226">
        <v>1.7076104571373065</v>
      </c>
      <c r="M38" s="226">
        <v>0.3662964630426212</v>
      </c>
      <c r="N38" s="227">
        <v>0</v>
      </c>
      <c r="O38" s="227">
        <v>0.86258427687849881</v>
      </c>
      <c r="P38" s="227">
        <v>0</v>
      </c>
      <c r="Q38" s="226">
        <v>0</v>
      </c>
      <c r="R38" s="227">
        <v>0</v>
      </c>
      <c r="S38" s="230"/>
    </row>
    <row r="39" spans="1:19" x14ac:dyDescent="0.2">
      <c r="A39" s="216"/>
      <c r="B39" s="214" t="s">
        <v>38</v>
      </c>
      <c r="C39" s="221">
        <v>45842.215265789477</v>
      </c>
      <c r="D39" s="222">
        <v>0</v>
      </c>
      <c r="E39" s="222">
        <v>39766.503624242425</v>
      </c>
      <c r="F39" s="222">
        <v>36931.300000000003</v>
      </c>
      <c r="G39" s="222">
        <v>36214.622224390245</v>
      </c>
      <c r="H39" s="222">
        <v>40669</v>
      </c>
      <c r="I39" s="221">
        <v>40741.623498230081</v>
      </c>
      <c r="J39" s="221">
        <v>0</v>
      </c>
      <c r="K39" s="222">
        <v>0</v>
      </c>
      <c r="L39" s="222">
        <v>0</v>
      </c>
      <c r="M39" s="222">
        <v>0</v>
      </c>
      <c r="N39" s="221">
        <v>0</v>
      </c>
      <c r="O39" s="221">
        <v>0</v>
      </c>
      <c r="P39" s="221">
        <v>0</v>
      </c>
      <c r="Q39" s="222">
        <v>0</v>
      </c>
      <c r="R39" s="221">
        <v>0</v>
      </c>
      <c r="S39" s="90"/>
    </row>
    <row r="40" spans="1:19" x14ac:dyDescent="0.2">
      <c r="A40" s="216"/>
      <c r="B40" s="223" t="s">
        <v>40</v>
      </c>
      <c r="C40" s="224">
        <v>46442.943563890411</v>
      </c>
      <c r="D40" s="90">
        <v>0</v>
      </c>
      <c r="E40" s="90">
        <v>40967.515067634144</v>
      </c>
      <c r="F40" s="90">
        <v>40913.481016666665</v>
      </c>
      <c r="G40" s="90">
        <v>35299.236269783782</v>
      </c>
      <c r="H40" s="90">
        <v>43479.115555555552</v>
      </c>
      <c r="I40" s="224">
        <v>41810.851351373487</v>
      </c>
      <c r="J40" s="224">
        <v>0</v>
      </c>
      <c r="K40" s="90">
        <v>0</v>
      </c>
      <c r="L40" s="90">
        <v>0</v>
      </c>
      <c r="M40" s="90">
        <v>0</v>
      </c>
      <c r="N40" s="224">
        <v>0</v>
      </c>
      <c r="O40" s="224">
        <v>0</v>
      </c>
      <c r="P40" s="224">
        <v>0</v>
      </c>
      <c r="Q40" s="90">
        <v>0</v>
      </c>
      <c r="R40" s="224">
        <v>0</v>
      </c>
      <c r="S40" s="90"/>
    </row>
    <row r="41" spans="1:19" x14ac:dyDescent="0.2">
      <c r="A41" s="216"/>
      <c r="B41" s="225" t="s">
        <v>42</v>
      </c>
      <c r="C41" s="227">
        <v>1.3104259788013286</v>
      </c>
      <c r="D41" s="226">
        <v>0</v>
      </c>
      <c r="E41" s="226">
        <v>3.0201585101375596</v>
      </c>
      <c r="F41" s="226">
        <v>10.782672195851923</v>
      </c>
      <c r="G41" s="226">
        <v>-2.5276694837091478</v>
      </c>
      <c r="H41" s="226">
        <v>6.9097237590192835</v>
      </c>
      <c r="I41" s="227">
        <v>2.6244115018878809</v>
      </c>
      <c r="J41" s="227">
        <v>0</v>
      </c>
      <c r="K41" s="226">
        <v>0</v>
      </c>
      <c r="L41" s="226">
        <v>0</v>
      </c>
      <c r="M41" s="226">
        <v>0</v>
      </c>
      <c r="N41" s="227">
        <v>0</v>
      </c>
      <c r="O41" s="227">
        <v>0</v>
      </c>
      <c r="P41" s="227">
        <v>0</v>
      </c>
      <c r="Q41" s="226">
        <v>0</v>
      </c>
      <c r="R41" s="227">
        <v>0</v>
      </c>
      <c r="S41" s="230"/>
    </row>
    <row r="42" spans="1:19" x14ac:dyDescent="0.2">
      <c r="A42" s="216"/>
      <c r="B42" s="214" t="s">
        <v>44</v>
      </c>
      <c r="C42" s="221">
        <v>0</v>
      </c>
      <c r="D42" s="222">
        <v>0</v>
      </c>
      <c r="E42" s="222">
        <v>0</v>
      </c>
      <c r="F42" s="222">
        <v>0</v>
      </c>
      <c r="G42" s="222">
        <v>0</v>
      </c>
      <c r="H42" s="222">
        <v>0</v>
      </c>
      <c r="I42" s="221">
        <v>0</v>
      </c>
      <c r="J42" s="221">
        <v>0</v>
      </c>
      <c r="K42" s="222">
        <v>48797.317589808918</v>
      </c>
      <c r="L42" s="222">
        <v>42397.47476043956</v>
      </c>
      <c r="M42" s="222">
        <v>42034.877662025319</v>
      </c>
      <c r="N42" s="221">
        <v>0</v>
      </c>
      <c r="O42" s="221">
        <v>43839.398560167363</v>
      </c>
      <c r="P42" s="221">
        <v>0</v>
      </c>
      <c r="Q42" s="222">
        <v>0</v>
      </c>
      <c r="R42" s="221">
        <v>0</v>
      </c>
      <c r="S42" s="90"/>
    </row>
    <row r="43" spans="1:19" x14ac:dyDescent="0.2">
      <c r="A43" s="216"/>
      <c r="B43" s="223" t="s">
        <v>46</v>
      </c>
      <c r="C43" s="224">
        <v>0</v>
      </c>
      <c r="D43" s="90">
        <v>0</v>
      </c>
      <c r="E43" s="90">
        <v>0</v>
      </c>
      <c r="F43" s="90">
        <v>0</v>
      </c>
      <c r="G43" s="90">
        <v>0</v>
      </c>
      <c r="H43" s="90">
        <v>0</v>
      </c>
      <c r="I43" s="224">
        <v>0</v>
      </c>
      <c r="J43" s="224">
        <v>0</v>
      </c>
      <c r="K43" s="90">
        <v>50227.265255492355</v>
      </c>
      <c r="L43" s="90">
        <v>43056.377430927831</v>
      </c>
      <c r="M43" s="90">
        <v>42182.48224828962</v>
      </c>
      <c r="N43" s="224">
        <v>0</v>
      </c>
      <c r="O43" s="224">
        <v>44531.454459423869</v>
      </c>
      <c r="P43" s="224">
        <v>0</v>
      </c>
      <c r="Q43" s="90">
        <v>0</v>
      </c>
      <c r="R43" s="224">
        <v>0</v>
      </c>
      <c r="S43" s="90"/>
    </row>
    <row r="44" spans="1:19" x14ac:dyDescent="0.2">
      <c r="A44" s="216"/>
      <c r="B44" s="225" t="s">
        <v>48</v>
      </c>
      <c r="C44" s="227">
        <v>0</v>
      </c>
      <c r="D44" s="226">
        <v>0</v>
      </c>
      <c r="E44" s="226">
        <v>0</v>
      </c>
      <c r="F44" s="226">
        <v>0</v>
      </c>
      <c r="G44" s="226">
        <v>0</v>
      </c>
      <c r="H44" s="226">
        <v>0</v>
      </c>
      <c r="I44" s="227">
        <v>0</v>
      </c>
      <c r="J44" s="227">
        <v>0</v>
      </c>
      <c r="K44" s="226">
        <v>2.9303817019279665</v>
      </c>
      <c r="L44" s="226">
        <v>1.5541082911454032</v>
      </c>
      <c r="M44" s="226">
        <v>0.35114789068994423</v>
      </c>
      <c r="N44" s="227">
        <v>0</v>
      </c>
      <c r="O44" s="227">
        <v>1.5786163177095001</v>
      </c>
      <c r="P44" s="227">
        <v>0</v>
      </c>
      <c r="Q44" s="226">
        <v>0</v>
      </c>
      <c r="R44" s="227">
        <v>0</v>
      </c>
      <c r="S44" s="230"/>
    </row>
    <row r="45" spans="1:19" x14ac:dyDescent="0.2">
      <c r="A45" s="216"/>
      <c r="B45" s="214" t="s">
        <v>50</v>
      </c>
      <c r="C45" s="221">
        <v>77922.003020168064</v>
      </c>
      <c r="D45" s="222">
        <v>0</v>
      </c>
      <c r="E45" s="222">
        <v>57765.180917686172</v>
      </c>
      <c r="F45" s="222">
        <v>52555.77495040519</v>
      </c>
      <c r="G45" s="222">
        <v>47699.961701986758</v>
      </c>
      <c r="H45" s="222">
        <v>52019.414833838382</v>
      </c>
      <c r="I45" s="221">
        <v>61129.79961629834</v>
      </c>
      <c r="J45" s="221">
        <v>0</v>
      </c>
      <c r="K45" s="222">
        <v>48797.317589808918</v>
      </c>
      <c r="L45" s="222">
        <v>43161.708376415088</v>
      </c>
      <c r="M45" s="222">
        <v>41852.148659777784</v>
      </c>
      <c r="N45" s="221">
        <v>0</v>
      </c>
      <c r="O45" s="221">
        <v>43576.138634502102</v>
      </c>
      <c r="P45" s="221">
        <v>0</v>
      </c>
      <c r="Q45" s="222">
        <v>0</v>
      </c>
      <c r="R45" s="221">
        <v>0</v>
      </c>
      <c r="S45" s="90"/>
    </row>
    <row r="46" spans="1:19" x14ac:dyDescent="0.2">
      <c r="A46" s="216"/>
      <c r="B46" s="223" t="s">
        <v>52</v>
      </c>
      <c r="C46" s="224">
        <v>79119.94406444022</v>
      </c>
      <c r="D46" s="90">
        <v>0</v>
      </c>
      <c r="E46" s="90">
        <v>60030.391081472146</v>
      </c>
      <c r="F46" s="90">
        <v>53198.244017332305</v>
      </c>
      <c r="G46" s="90">
        <v>48177.412956441556</v>
      </c>
      <c r="H46" s="90">
        <v>53559.629735653201</v>
      </c>
      <c r="I46" s="224">
        <v>62729.115786174632</v>
      </c>
      <c r="J46" s="224">
        <v>0</v>
      </c>
      <c r="K46" s="90">
        <v>50227.265255492355</v>
      </c>
      <c r="L46" s="90">
        <v>43202.652032275233</v>
      </c>
      <c r="M46" s="90">
        <v>41939.359957216337</v>
      </c>
      <c r="N46" s="224">
        <v>0</v>
      </c>
      <c r="O46" s="224">
        <v>43996.935908215026</v>
      </c>
      <c r="P46" s="224">
        <v>0</v>
      </c>
      <c r="Q46" s="90">
        <v>0</v>
      </c>
      <c r="R46" s="224">
        <v>0</v>
      </c>
      <c r="S46" s="90"/>
    </row>
    <row r="47" spans="1:19" x14ac:dyDescent="0.2">
      <c r="A47" s="216"/>
      <c r="B47" s="225" t="s">
        <v>54</v>
      </c>
      <c r="C47" s="227">
        <v>1.53735915125552</v>
      </c>
      <c r="D47" s="226">
        <v>0</v>
      </c>
      <c r="E47" s="226">
        <v>3.9214110088460341</v>
      </c>
      <c r="F47" s="226">
        <v>1.22245189521682</v>
      </c>
      <c r="G47" s="226">
        <v>1.0009468297642501</v>
      </c>
      <c r="H47" s="226">
        <v>2.9608462662154302</v>
      </c>
      <c r="I47" s="227">
        <v>2.6162627391467597</v>
      </c>
      <c r="J47" s="227">
        <v>0</v>
      </c>
      <c r="K47" s="226">
        <v>2.9303817019279665</v>
      </c>
      <c r="L47" s="226">
        <v>9.4861064124416222E-2</v>
      </c>
      <c r="M47" s="226">
        <v>0.2083794983801335</v>
      </c>
      <c r="N47" s="227">
        <v>0</v>
      </c>
      <c r="O47" s="227">
        <v>0.96565984710667085</v>
      </c>
      <c r="P47" s="227">
        <v>0</v>
      </c>
      <c r="Q47" s="226">
        <v>0</v>
      </c>
      <c r="R47" s="227">
        <v>0</v>
      </c>
      <c r="S47" s="230"/>
    </row>
    <row r="48" spans="1:19" x14ac:dyDescent="0.2">
      <c r="A48" s="220" t="s">
        <v>106</v>
      </c>
      <c r="B48" s="214" t="s">
        <v>14</v>
      </c>
      <c r="C48" s="221">
        <v>134602.56833245384</v>
      </c>
      <c r="D48" s="222">
        <v>0</v>
      </c>
      <c r="E48" s="222">
        <v>0</v>
      </c>
      <c r="F48" s="222">
        <v>79203.881600000008</v>
      </c>
      <c r="G48" s="222">
        <v>0</v>
      </c>
      <c r="H48" s="222">
        <v>0</v>
      </c>
      <c r="I48" s="221">
        <v>129796.89912192771</v>
      </c>
      <c r="J48" s="221">
        <v>0</v>
      </c>
      <c r="K48" s="222">
        <v>0</v>
      </c>
      <c r="L48" s="222">
        <v>0</v>
      </c>
      <c r="M48" s="222">
        <v>0</v>
      </c>
      <c r="N48" s="221">
        <v>0</v>
      </c>
      <c r="O48" s="221">
        <v>0</v>
      </c>
      <c r="P48" s="221">
        <v>0</v>
      </c>
      <c r="Q48" s="222">
        <v>0</v>
      </c>
      <c r="R48" s="221">
        <v>0</v>
      </c>
      <c r="S48" s="90"/>
    </row>
    <row r="49" spans="1:19" x14ac:dyDescent="0.2">
      <c r="A49" s="216"/>
      <c r="B49" s="223" t="s">
        <v>16</v>
      </c>
      <c r="C49" s="224">
        <v>138499.36230481011</v>
      </c>
      <c r="D49" s="90">
        <v>0</v>
      </c>
      <c r="E49" s="90">
        <v>0</v>
      </c>
      <c r="F49" s="90">
        <v>80007.575933333326</v>
      </c>
      <c r="G49" s="90">
        <v>0</v>
      </c>
      <c r="H49" s="90">
        <v>0</v>
      </c>
      <c r="I49" s="224">
        <v>133243.18795345622</v>
      </c>
      <c r="J49" s="224">
        <v>0</v>
      </c>
      <c r="K49" s="90">
        <v>0</v>
      </c>
      <c r="L49" s="90">
        <v>0</v>
      </c>
      <c r="M49" s="90">
        <v>0</v>
      </c>
      <c r="N49" s="224">
        <v>0</v>
      </c>
      <c r="O49" s="224">
        <v>0</v>
      </c>
      <c r="P49" s="224">
        <v>0</v>
      </c>
      <c r="Q49" s="90">
        <v>0</v>
      </c>
      <c r="R49" s="224">
        <v>0</v>
      </c>
      <c r="S49" s="90"/>
    </row>
    <row r="50" spans="1:19" x14ac:dyDescent="0.2">
      <c r="A50" s="216"/>
      <c r="B50" s="225" t="s">
        <v>18</v>
      </c>
      <c r="C50" s="227">
        <v>2.895036863436077</v>
      </c>
      <c r="D50" s="226">
        <v>0</v>
      </c>
      <c r="E50" s="226">
        <v>0</v>
      </c>
      <c r="F50" s="226">
        <v>1.0147158410646862</v>
      </c>
      <c r="G50" s="226">
        <v>0</v>
      </c>
      <c r="H50" s="226">
        <v>0</v>
      </c>
      <c r="I50" s="227">
        <v>2.655139571779106</v>
      </c>
      <c r="J50" s="227">
        <v>0</v>
      </c>
      <c r="K50" s="226">
        <v>0</v>
      </c>
      <c r="L50" s="226">
        <v>0</v>
      </c>
      <c r="M50" s="226">
        <v>0</v>
      </c>
      <c r="N50" s="227">
        <v>0</v>
      </c>
      <c r="O50" s="227">
        <v>0</v>
      </c>
      <c r="P50" s="227">
        <v>0</v>
      </c>
      <c r="Q50" s="226">
        <v>0</v>
      </c>
      <c r="R50" s="227">
        <v>0</v>
      </c>
      <c r="S50" s="230"/>
    </row>
    <row r="51" spans="1:19" x14ac:dyDescent="0.2">
      <c r="A51" s="216"/>
      <c r="B51" s="214" t="s">
        <v>20</v>
      </c>
      <c r="C51" s="221">
        <v>91687.289451428573</v>
      </c>
      <c r="D51" s="222">
        <v>0</v>
      </c>
      <c r="E51" s="222">
        <v>0</v>
      </c>
      <c r="F51" s="222">
        <v>64594.062697674417</v>
      </c>
      <c r="G51" s="222">
        <v>0</v>
      </c>
      <c r="H51" s="222">
        <v>0</v>
      </c>
      <c r="I51" s="221">
        <v>86343.212614678909</v>
      </c>
      <c r="J51" s="221">
        <v>0</v>
      </c>
      <c r="K51" s="222">
        <v>0</v>
      </c>
      <c r="L51" s="222">
        <v>0</v>
      </c>
      <c r="M51" s="222">
        <v>0</v>
      </c>
      <c r="N51" s="221">
        <v>0</v>
      </c>
      <c r="O51" s="221">
        <v>0</v>
      </c>
      <c r="P51" s="221">
        <v>0</v>
      </c>
      <c r="Q51" s="222">
        <v>0</v>
      </c>
      <c r="R51" s="221">
        <v>0</v>
      </c>
      <c r="S51" s="90"/>
    </row>
    <row r="52" spans="1:19" x14ac:dyDescent="0.2">
      <c r="A52" s="216"/>
      <c r="B52" s="223" t="s">
        <v>22</v>
      </c>
      <c r="C52" s="224">
        <v>94490.913574850303</v>
      </c>
      <c r="D52" s="90">
        <v>0</v>
      </c>
      <c r="E52" s="90">
        <v>0</v>
      </c>
      <c r="F52" s="90">
        <v>63238.796999999999</v>
      </c>
      <c r="G52" s="90">
        <v>0</v>
      </c>
      <c r="H52" s="90">
        <v>0</v>
      </c>
      <c r="I52" s="224">
        <v>87799.283908235288</v>
      </c>
      <c r="J52" s="224">
        <v>0</v>
      </c>
      <c r="K52" s="90">
        <v>0</v>
      </c>
      <c r="L52" s="90">
        <v>0</v>
      </c>
      <c r="M52" s="90">
        <v>0</v>
      </c>
      <c r="N52" s="224">
        <v>0</v>
      </c>
      <c r="O52" s="224">
        <v>0</v>
      </c>
      <c r="P52" s="224">
        <v>0</v>
      </c>
      <c r="Q52" s="90">
        <v>0</v>
      </c>
      <c r="R52" s="224">
        <v>0</v>
      </c>
      <c r="S52" s="90"/>
    </row>
    <row r="53" spans="1:19" x14ac:dyDescent="0.2">
      <c r="A53" s="216"/>
      <c r="B53" s="225" t="s">
        <v>24</v>
      </c>
      <c r="C53" s="227">
        <v>3.0578111101287959</v>
      </c>
      <c r="D53" s="226">
        <v>0</v>
      </c>
      <c r="E53" s="226">
        <v>0</v>
      </c>
      <c r="F53" s="226">
        <v>-2.0981273526912125</v>
      </c>
      <c r="G53" s="226">
        <v>0</v>
      </c>
      <c r="H53" s="226">
        <v>0</v>
      </c>
      <c r="I53" s="227">
        <v>1.6863760907928473</v>
      </c>
      <c r="J53" s="227">
        <v>0</v>
      </c>
      <c r="K53" s="226">
        <v>0</v>
      </c>
      <c r="L53" s="226">
        <v>0</v>
      </c>
      <c r="M53" s="226">
        <v>0</v>
      </c>
      <c r="N53" s="227">
        <v>0</v>
      </c>
      <c r="O53" s="227">
        <v>0</v>
      </c>
      <c r="P53" s="227">
        <v>0</v>
      </c>
      <c r="Q53" s="226">
        <v>0</v>
      </c>
      <c r="R53" s="227">
        <v>0</v>
      </c>
      <c r="S53" s="230"/>
    </row>
    <row r="54" spans="1:19" x14ac:dyDescent="0.2">
      <c r="A54" s="216"/>
      <c r="B54" s="214" t="s">
        <v>26</v>
      </c>
      <c r="C54" s="221">
        <v>77905.654589655169</v>
      </c>
      <c r="D54" s="222">
        <v>0</v>
      </c>
      <c r="E54" s="222">
        <v>0</v>
      </c>
      <c r="F54" s="222">
        <v>59798.311460317462</v>
      </c>
      <c r="G54" s="222">
        <v>0</v>
      </c>
      <c r="H54" s="222">
        <v>0</v>
      </c>
      <c r="I54" s="221">
        <v>74674.032444759214</v>
      </c>
      <c r="J54" s="221">
        <v>0</v>
      </c>
      <c r="K54" s="222">
        <v>0</v>
      </c>
      <c r="L54" s="222">
        <v>0</v>
      </c>
      <c r="M54" s="222">
        <v>0</v>
      </c>
      <c r="N54" s="221">
        <v>0</v>
      </c>
      <c r="O54" s="221">
        <v>0</v>
      </c>
      <c r="P54" s="221">
        <v>0</v>
      </c>
      <c r="Q54" s="222">
        <v>0</v>
      </c>
      <c r="R54" s="221">
        <v>0</v>
      </c>
      <c r="S54" s="90"/>
    </row>
    <row r="55" spans="1:19" x14ac:dyDescent="0.2">
      <c r="A55" s="216"/>
      <c r="B55" s="223" t="s">
        <v>28</v>
      </c>
      <c r="C55" s="224">
        <v>81494.630850000001</v>
      </c>
      <c r="D55" s="90">
        <v>0</v>
      </c>
      <c r="E55" s="90">
        <v>0</v>
      </c>
      <c r="F55" s="90">
        <v>58239.558028571424</v>
      </c>
      <c r="G55" s="90">
        <v>0</v>
      </c>
      <c r="H55" s="90">
        <v>0</v>
      </c>
      <c r="I55" s="224">
        <v>77458.626476033052</v>
      </c>
      <c r="J55" s="224">
        <v>0</v>
      </c>
      <c r="K55" s="90">
        <v>0</v>
      </c>
      <c r="L55" s="90">
        <v>0</v>
      </c>
      <c r="M55" s="90">
        <v>0</v>
      </c>
      <c r="N55" s="224">
        <v>0</v>
      </c>
      <c r="O55" s="224">
        <v>0</v>
      </c>
      <c r="P55" s="224">
        <v>0</v>
      </c>
      <c r="Q55" s="90">
        <v>0</v>
      </c>
      <c r="R55" s="224">
        <v>0</v>
      </c>
      <c r="S55" s="90"/>
    </row>
    <row r="56" spans="1:19" x14ac:dyDescent="0.2">
      <c r="A56" s="216"/>
      <c r="B56" s="225" t="s">
        <v>30</v>
      </c>
      <c r="C56" s="227">
        <v>4.6068238297318675</v>
      </c>
      <c r="D56" s="226">
        <v>0</v>
      </c>
      <c r="E56" s="226">
        <v>0</v>
      </c>
      <c r="F56" s="226">
        <v>-2.6066846933971313</v>
      </c>
      <c r="G56" s="226">
        <v>0</v>
      </c>
      <c r="H56" s="226">
        <v>0</v>
      </c>
      <c r="I56" s="227">
        <v>3.7289991448282467</v>
      </c>
      <c r="J56" s="227">
        <v>0</v>
      </c>
      <c r="K56" s="226">
        <v>0</v>
      </c>
      <c r="L56" s="226">
        <v>0</v>
      </c>
      <c r="M56" s="226">
        <v>0</v>
      </c>
      <c r="N56" s="227">
        <v>0</v>
      </c>
      <c r="O56" s="227">
        <v>0</v>
      </c>
      <c r="P56" s="227">
        <v>0</v>
      </c>
      <c r="Q56" s="226">
        <v>0</v>
      </c>
      <c r="R56" s="227">
        <v>0</v>
      </c>
      <c r="S56" s="230"/>
    </row>
    <row r="57" spans="1:19" x14ac:dyDescent="0.2">
      <c r="A57" s="216"/>
      <c r="B57" s="214" t="s">
        <v>32</v>
      </c>
      <c r="C57" s="221">
        <v>60780.762536448601</v>
      </c>
      <c r="D57" s="222">
        <v>0</v>
      </c>
      <c r="E57" s="222">
        <v>0</v>
      </c>
      <c r="F57" s="222">
        <v>56856</v>
      </c>
      <c r="G57" s="222">
        <v>0</v>
      </c>
      <c r="H57" s="222">
        <v>0</v>
      </c>
      <c r="I57" s="221">
        <v>60414.894842372887</v>
      </c>
      <c r="J57" s="221">
        <v>0</v>
      </c>
      <c r="K57" s="222">
        <v>0</v>
      </c>
      <c r="L57" s="222">
        <v>0</v>
      </c>
      <c r="M57" s="222">
        <v>0</v>
      </c>
      <c r="N57" s="221">
        <v>0</v>
      </c>
      <c r="O57" s="221">
        <v>0</v>
      </c>
      <c r="P57" s="221">
        <v>0</v>
      </c>
      <c r="Q57" s="222">
        <v>0</v>
      </c>
      <c r="R57" s="221">
        <v>0</v>
      </c>
      <c r="S57" s="90"/>
    </row>
    <row r="58" spans="1:19" x14ac:dyDescent="0.2">
      <c r="A58" s="216"/>
      <c r="B58" s="223" t="s">
        <v>34</v>
      </c>
      <c r="C58" s="224">
        <v>64440.168399999995</v>
      </c>
      <c r="D58" s="90">
        <v>0</v>
      </c>
      <c r="E58" s="90">
        <v>0</v>
      </c>
      <c r="F58" s="90">
        <v>47244</v>
      </c>
      <c r="G58" s="90">
        <v>0</v>
      </c>
      <c r="H58" s="90">
        <v>0</v>
      </c>
      <c r="I58" s="224">
        <v>62630.045410526312</v>
      </c>
      <c r="J58" s="224">
        <v>0</v>
      </c>
      <c r="K58" s="90">
        <v>0</v>
      </c>
      <c r="L58" s="90">
        <v>0</v>
      </c>
      <c r="M58" s="90">
        <v>0</v>
      </c>
      <c r="N58" s="224">
        <v>0</v>
      </c>
      <c r="O58" s="224">
        <v>0</v>
      </c>
      <c r="P58" s="224">
        <v>0</v>
      </c>
      <c r="Q58" s="90">
        <v>0</v>
      </c>
      <c r="R58" s="224">
        <v>0</v>
      </c>
      <c r="S58" s="90"/>
    </row>
    <row r="59" spans="1:19" x14ac:dyDescent="0.2">
      <c r="A59" s="216"/>
      <c r="B59" s="225" t="s">
        <v>36</v>
      </c>
      <c r="C59" s="227">
        <v>6.0206646163034661</v>
      </c>
      <c r="D59" s="226">
        <v>0</v>
      </c>
      <c r="E59" s="226">
        <v>0</v>
      </c>
      <c r="F59" s="512">
        <v>-16.905867454622204</v>
      </c>
      <c r="G59" s="226">
        <v>0</v>
      </c>
      <c r="H59" s="226">
        <v>0</v>
      </c>
      <c r="I59" s="227">
        <v>3.6665636411896831</v>
      </c>
      <c r="J59" s="227">
        <v>0</v>
      </c>
      <c r="K59" s="226">
        <v>0</v>
      </c>
      <c r="L59" s="226">
        <v>0</v>
      </c>
      <c r="M59" s="226">
        <v>0</v>
      </c>
      <c r="N59" s="227">
        <v>0</v>
      </c>
      <c r="O59" s="227">
        <v>0</v>
      </c>
      <c r="P59" s="227">
        <v>0</v>
      </c>
      <c r="Q59" s="226">
        <v>0</v>
      </c>
      <c r="R59" s="227">
        <v>0</v>
      </c>
      <c r="S59" s="230"/>
    </row>
    <row r="60" spans="1:19" x14ac:dyDescent="0.2">
      <c r="A60" s="216"/>
      <c r="B60" s="214" t="s">
        <v>38</v>
      </c>
      <c r="C60" s="221">
        <v>0</v>
      </c>
      <c r="D60" s="222">
        <v>0</v>
      </c>
      <c r="E60" s="222">
        <v>0</v>
      </c>
      <c r="F60" s="222">
        <v>41893</v>
      </c>
      <c r="G60" s="222">
        <v>0</v>
      </c>
      <c r="H60" s="222">
        <v>0</v>
      </c>
      <c r="I60" s="221">
        <v>41893</v>
      </c>
      <c r="J60" s="221">
        <v>0</v>
      </c>
      <c r="K60" s="222">
        <v>0</v>
      </c>
      <c r="L60" s="222">
        <v>0</v>
      </c>
      <c r="M60" s="222">
        <v>0</v>
      </c>
      <c r="N60" s="221">
        <v>0</v>
      </c>
      <c r="O60" s="221">
        <v>0</v>
      </c>
      <c r="P60" s="221">
        <v>0</v>
      </c>
      <c r="Q60" s="222">
        <v>0</v>
      </c>
      <c r="R60" s="221">
        <v>0</v>
      </c>
      <c r="S60" s="90"/>
    </row>
    <row r="61" spans="1:19" x14ac:dyDescent="0.2">
      <c r="A61" s="216"/>
      <c r="B61" s="223" t="s">
        <v>40</v>
      </c>
      <c r="C61" s="224">
        <v>0</v>
      </c>
      <c r="D61" s="90">
        <v>0</v>
      </c>
      <c r="E61" s="90">
        <v>0</v>
      </c>
      <c r="F61" s="90">
        <v>47000</v>
      </c>
      <c r="G61" s="90">
        <v>0</v>
      </c>
      <c r="H61" s="90">
        <v>0</v>
      </c>
      <c r="I61" s="224">
        <v>47000</v>
      </c>
      <c r="J61" s="224">
        <v>0</v>
      </c>
      <c r="K61" s="90">
        <v>0</v>
      </c>
      <c r="L61" s="90">
        <v>0</v>
      </c>
      <c r="M61" s="90">
        <v>0</v>
      </c>
      <c r="N61" s="224">
        <v>0</v>
      </c>
      <c r="O61" s="224">
        <v>0</v>
      </c>
      <c r="P61" s="224">
        <v>0</v>
      </c>
      <c r="Q61" s="90">
        <v>0</v>
      </c>
      <c r="R61" s="224">
        <v>0</v>
      </c>
      <c r="S61" s="90"/>
    </row>
    <row r="62" spans="1:19" x14ac:dyDescent="0.2">
      <c r="A62" s="216"/>
      <c r="B62" s="225" t="s">
        <v>42</v>
      </c>
      <c r="C62" s="227">
        <v>0</v>
      </c>
      <c r="D62" s="226">
        <v>0</v>
      </c>
      <c r="E62" s="226">
        <v>0</v>
      </c>
      <c r="F62" s="226">
        <v>12.190580765282983</v>
      </c>
      <c r="G62" s="226">
        <v>0</v>
      </c>
      <c r="H62" s="226">
        <v>0</v>
      </c>
      <c r="I62" s="227">
        <v>12.190580765282983</v>
      </c>
      <c r="J62" s="227">
        <v>0</v>
      </c>
      <c r="K62" s="226">
        <v>0</v>
      </c>
      <c r="L62" s="226">
        <v>0</v>
      </c>
      <c r="M62" s="226">
        <v>0</v>
      </c>
      <c r="N62" s="227">
        <v>0</v>
      </c>
      <c r="O62" s="227">
        <v>0</v>
      </c>
      <c r="P62" s="227">
        <v>0</v>
      </c>
      <c r="Q62" s="226">
        <v>0</v>
      </c>
      <c r="R62" s="227">
        <v>0</v>
      </c>
      <c r="S62" s="230"/>
    </row>
    <row r="63" spans="1:19" x14ac:dyDescent="0.2">
      <c r="A63" s="216"/>
      <c r="B63" s="214" t="s">
        <v>44</v>
      </c>
      <c r="C63" s="221">
        <v>0</v>
      </c>
      <c r="D63" s="222">
        <v>0</v>
      </c>
      <c r="E63" s="222">
        <v>0</v>
      </c>
      <c r="F63" s="222">
        <v>0</v>
      </c>
      <c r="G63" s="222">
        <v>0</v>
      </c>
      <c r="H63" s="222">
        <v>0</v>
      </c>
      <c r="I63" s="221">
        <v>0</v>
      </c>
      <c r="J63" s="221">
        <v>0</v>
      </c>
      <c r="K63" s="222">
        <v>63950.964324022345</v>
      </c>
      <c r="L63" s="222">
        <v>63649.230462809915</v>
      </c>
      <c r="M63" s="222">
        <v>63715.690800000004</v>
      </c>
      <c r="N63" s="221">
        <v>0</v>
      </c>
      <c r="O63" s="221">
        <v>63804.420643749996</v>
      </c>
      <c r="P63" s="221">
        <v>0</v>
      </c>
      <c r="Q63" s="222">
        <v>0</v>
      </c>
      <c r="R63" s="221">
        <v>0</v>
      </c>
      <c r="S63" s="90"/>
    </row>
    <row r="64" spans="1:19" x14ac:dyDescent="0.2">
      <c r="A64" s="216"/>
      <c r="B64" s="223" t="s">
        <v>46</v>
      </c>
      <c r="C64" s="224">
        <v>0</v>
      </c>
      <c r="D64" s="90">
        <v>0</v>
      </c>
      <c r="E64" s="90">
        <v>0</v>
      </c>
      <c r="F64" s="90">
        <v>0</v>
      </c>
      <c r="G64" s="90">
        <v>0</v>
      </c>
      <c r="H64" s="90">
        <v>0</v>
      </c>
      <c r="I64" s="224">
        <v>0</v>
      </c>
      <c r="J64" s="224">
        <v>0</v>
      </c>
      <c r="K64" s="90">
        <v>64188.159506818185</v>
      </c>
      <c r="L64" s="90">
        <v>64815.738647540988</v>
      </c>
      <c r="M64" s="90">
        <v>63190.528305882355</v>
      </c>
      <c r="N64" s="224">
        <v>0</v>
      </c>
      <c r="O64" s="224">
        <v>64166.660820365534</v>
      </c>
      <c r="P64" s="224">
        <v>0</v>
      </c>
      <c r="Q64" s="90">
        <v>0</v>
      </c>
      <c r="R64" s="224">
        <v>0</v>
      </c>
      <c r="S64" s="90"/>
    </row>
    <row r="65" spans="1:19" x14ac:dyDescent="0.2">
      <c r="A65" s="216"/>
      <c r="B65" s="225" t="s">
        <v>48</v>
      </c>
      <c r="C65" s="227">
        <v>0</v>
      </c>
      <c r="D65" s="226">
        <v>0</v>
      </c>
      <c r="E65" s="226">
        <v>0</v>
      </c>
      <c r="F65" s="226">
        <v>0</v>
      </c>
      <c r="G65" s="226">
        <v>0</v>
      </c>
      <c r="H65" s="226">
        <v>0</v>
      </c>
      <c r="I65" s="227">
        <v>0</v>
      </c>
      <c r="J65" s="227">
        <v>0</v>
      </c>
      <c r="K65" s="226">
        <v>0.37090165144975118</v>
      </c>
      <c r="L65" s="226">
        <v>1.8327137284285941</v>
      </c>
      <c r="M65" s="226">
        <v>-0.82422789037335331</v>
      </c>
      <c r="N65" s="227">
        <v>0</v>
      </c>
      <c r="O65" s="227">
        <v>0.56773523364171719</v>
      </c>
      <c r="P65" s="227">
        <v>0</v>
      </c>
      <c r="Q65" s="226">
        <v>0</v>
      </c>
      <c r="R65" s="227">
        <v>0</v>
      </c>
      <c r="S65" s="230"/>
    </row>
    <row r="66" spans="1:19" x14ac:dyDescent="0.2">
      <c r="A66" s="216"/>
      <c r="B66" s="214" t="s">
        <v>50</v>
      </c>
      <c r="C66" s="221">
        <v>99645.742565186505</v>
      </c>
      <c r="D66" s="222">
        <v>0</v>
      </c>
      <c r="E66" s="222">
        <v>0</v>
      </c>
      <c r="F66" s="222">
        <v>65065.276523232329</v>
      </c>
      <c r="G66" s="222">
        <v>0</v>
      </c>
      <c r="H66" s="222">
        <v>0</v>
      </c>
      <c r="I66" s="221">
        <v>94474.343564954674</v>
      </c>
      <c r="J66" s="221">
        <v>0</v>
      </c>
      <c r="K66" s="222">
        <v>63950.964324022345</v>
      </c>
      <c r="L66" s="222">
        <v>63649.230462809915</v>
      </c>
      <c r="M66" s="222">
        <v>63715.690800000004</v>
      </c>
      <c r="N66" s="221">
        <v>0</v>
      </c>
      <c r="O66" s="221">
        <v>63804.420643749996</v>
      </c>
      <c r="P66" s="221">
        <v>0</v>
      </c>
      <c r="Q66" s="222">
        <v>0</v>
      </c>
      <c r="R66" s="221">
        <v>0</v>
      </c>
      <c r="S66" s="90"/>
    </row>
    <row r="67" spans="1:19" x14ac:dyDescent="0.2">
      <c r="A67" s="216"/>
      <c r="B67" s="223" t="s">
        <v>52</v>
      </c>
      <c r="C67" s="224">
        <v>103703.35957223696</v>
      </c>
      <c r="D67" s="90">
        <v>0</v>
      </c>
      <c r="E67" s="90">
        <v>0</v>
      </c>
      <c r="F67" s="90">
        <v>63792.493450241549</v>
      </c>
      <c r="G67" s="90">
        <v>0</v>
      </c>
      <c r="H67" s="90">
        <v>0</v>
      </c>
      <c r="I67" s="224">
        <v>97528.808535425997</v>
      </c>
      <c r="J67" s="224">
        <v>0</v>
      </c>
      <c r="K67" s="90">
        <v>64188.159506818185</v>
      </c>
      <c r="L67" s="90">
        <v>64815.738647540988</v>
      </c>
      <c r="M67" s="90">
        <v>63190.528305882355</v>
      </c>
      <c r="N67" s="224">
        <v>0</v>
      </c>
      <c r="O67" s="224">
        <v>64166.660820365534</v>
      </c>
      <c r="P67" s="224">
        <v>0</v>
      </c>
      <c r="Q67" s="90">
        <v>0</v>
      </c>
      <c r="R67" s="224">
        <v>0</v>
      </c>
      <c r="S67" s="90"/>
    </row>
    <row r="68" spans="1:19" x14ac:dyDescent="0.2">
      <c r="A68" s="216"/>
      <c r="B68" s="225" t="s">
        <v>54</v>
      </c>
      <c r="C68" s="227">
        <v>4.0720425204278419</v>
      </c>
      <c r="D68" s="226">
        <v>0</v>
      </c>
      <c r="E68" s="226">
        <v>0</v>
      </c>
      <c r="F68" s="226">
        <v>-1.9561633193648502</v>
      </c>
      <c r="G68" s="226">
        <v>0</v>
      </c>
      <c r="H68" s="226">
        <v>0</v>
      </c>
      <c r="I68" s="227">
        <v>3.2331158441670076</v>
      </c>
      <c r="J68" s="227">
        <v>0</v>
      </c>
      <c r="K68" s="226">
        <v>0.37090165144975118</v>
      </c>
      <c r="L68" s="226">
        <v>1.8327137284285941</v>
      </c>
      <c r="M68" s="226">
        <v>-0.82422789037335331</v>
      </c>
      <c r="N68" s="227">
        <v>0</v>
      </c>
      <c r="O68" s="227">
        <v>0.56773523364171719</v>
      </c>
      <c r="P68" s="227">
        <v>0</v>
      </c>
      <c r="Q68" s="226">
        <v>0</v>
      </c>
      <c r="R68" s="227">
        <v>0</v>
      </c>
      <c r="S68" s="230"/>
    </row>
    <row r="69" spans="1:19" x14ac:dyDescent="0.2">
      <c r="A69" s="220" t="s">
        <v>114</v>
      </c>
      <c r="B69" s="214" t="s">
        <v>14</v>
      </c>
      <c r="C69" s="221">
        <v>114104.2691161142</v>
      </c>
      <c r="D69" s="222">
        <v>96670.059248704652</v>
      </c>
      <c r="E69" s="222">
        <v>88980.04168618421</v>
      </c>
      <c r="F69" s="222">
        <v>88769.625456250011</v>
      </c>
      <c r="G69" s="222">
        <v>0</v>
      </c>
      <c r="H69" s="222">
        <v>82860.049583333326</v>
      </c>
      <c r="I69" s="221">
        <v>108816.0737400261</v>
      </c>
      <c r="J69" s="221">
        <v>0</v>
      </c>
      <c r="K69" s="222">
        <v>0</v>
      </c>
      <c r="L69" s="222">
        <v>0</v>
      </c>
      <c r="M69" s="222">
        <v>0</v>
      </c>
      <c r="N69" s="221">
        <v>0</v>
      </c>
      <c r="O69" s="221">
        <v>0</v>
      </c>
      <c r="P69" s="221">
        <v>0</v>
      </c>
      <c r="Q69" s="222">
        <v>0</v>
      </c>
      <c r="R69" s="221">
        <v>0</v>
      </c>
      <c r="S69" s="90"/>
    </row>
    <row r="70" spans="1:19" x14ac:dyDescent="0.2">
      <c r="A70" s="216"/>
      <c r="B70" s="223" t="s">
        <v>16</v>
      </c>
      <c r="C70" s="224">
        <v>115314.97207998147</v>
      </c>
      <c r="D70" s="90">
        <v>95926.061966326524</v>
      </c>
      <c r="E70" s="90">
        <v>91215.494530872485</v>
      </c>
      <c r="F70" s="90">
        <v>91060.852975000002</v>
      </c>
      <c r="G70" s="90">
        <v>0</v>
      </c>
      <c r="H70" s="90">
        <v>81942.025384615394</v>
      </c>
      <c r="I70" s="224">
        <v>110011.517023112</v>
      </c>
      <c r="J70" s="224">
        <v>0</v>
      </c>
      <c r="K70" s="90">
        <v>0</v>
      </c>
      <c r="L70" s="90">
        <v>0</v>
      </c>
      <c r="M70" s="90">
        <v>0</v>
      </c>
      <c r="N70" s="224">
        <v>0</v>
      </c>
      <c r="O70" s="224">
        <v>0</v>
      </c>
      <c r="P70" s="224">
        <v>0</v>
      </c>
      <c r="Q70" s="90">
        <v>0</v>
      </c>
      <c r="R70" s="224">
        <v>0</v>
      </c>
      <c r="S70" s="90"/>
    </row>
    <row r="71" spans="1:19" x14ac:dyDescent="0.2">
      <c r="A71" s="216"/>
      <c r="B71" s="225" t="s">
        <v>18</v>
      </c>
      <c r="C71" s="227">
        <v>1.0610496638256708</v>
      </c>
      <c r="D71" s="512">
        <v>-0.76962535055868142</v>
      </c>
      <c r="E71" s="226">
        <v>2.5123081562181055</v>
      </c>
      <c r="F71" s="226">
        <v>2.5810940476246791</v>
      </c>
      <c r="G71" s="226">
        <v>0</v>
      </c>
      <c r="H71" s="512">
        <v>-1.1079213726449255</v>
      </c>
      <c r="I71" s="227">
        <v>1.0985907155058265</v>
      </c>
      <c r="J71" s="227">
        <v>0</v>
      </c>
      <c r="K71" s="226">
        <v>0</v>
      </c>
      <c r="L71" s="226">
        <v>0</v>
      </c>
      <c r="M71" s="226">
        <v>0</v>
      </c>
      <c r="N71" s="227">
        <v>0</v>
      </c>
      <c r="O71" s="227">
        <v>0</v>
      </c>
      <c r="P71" s="227">
        <v>0</v>
      </c>
      <c r="Q71" s="226">
        <v>0</v>
      </c>
      <c r="R71" s="227">
        <v>0</v>
      </c>
      <c r="S71" s="230"/>
    </row>
    <row r="72" spans="1:19" x14ac:dyDescent="0.2">
      <c r="A72" s="216"/>
      <c r="B72" s="214" t="s">
        <v>20</v>
      </c>
      <c r="C72" s="221">
        <v>78401.501458144994</v>
      </c>
      <c r="D72" s="222">
        <v>72367.856142608696</v>
      </c>
      <c r="E72" s="222">
        <v>69937.35787394541</v>
      </c>
      <c r="F72" s="222">
        <v>71373.302698947373</v>
      </c>
      <c r="G72" s="222">
        <v>0</v>
      </c>
      <c r="H72" s="222">
        <v>66594.874639999995</v>
      </c>
      <c r="I72" s="221">
        <v>76213.591940350088</v>
      </c>
      <c r="J72" s="221">
        <v>0</v>
      </c>
      <c r="K72" s="222">
        <v>0</v>
      </c>
      <c r="L72" s="222">
        <v>0</v>
      </c>
      <c r="M72" s="222">
        <v>0</v>
      </c>
      <c r="N72" s="221">
        <v>0</v>
      </c>
      <c r="O72" s="221">
        <v>0</v>
      </c>
      <c r="P72" s="221">
        <v>0</v>
      </c>
      <c r="Q72" s="222">
        <v>0</v>
      </c>
      <c r="R72" s="221">
        <v>0</v>
      </c>
      <c r="S72" s="90"/>
    </row>
    <row r="73" spans="1:19" x14ac:dyDescent="0.2">
      <c r="A73" s="216"/>
      <c r="B73" s="223" t="s">
        <v>22</v>
      </c>
      <c r="C73" s="224">
        <v>79726.595865504816</v>
      </c>
      <c r="D73" s="90">
        <v>72236.816506550225</v>
      </c>
      <c r="E73" s="90">
        <v>70503.123205925935</v>
      </c>
      <c r="F73" s="90">
        <v>70346.58794545455</v>
      </c>
      <c r="G73" s="90">
        <v>0</v>
      </c>
      <c r="H73" s="90">
        <v>66578.10263157895</v>
      </c>
      <c r="I73" s="224">
        <v>77194.469029805958</v>
      </c>
      <c r="J73" s="224">
        <v>0</v>
      </c>
      <c r="K73" s="90">
        <v>0</v>
      </c>
      <c r="L73" s="90">
        <v>0</v>
      </c>
      <c r="M73" s="90">
        <v>0</v>
      </c>
      <c r="N73" s="224">
        <v>0</v>
      </c>
      <c r="O73" s="224">
        <v>0</v>
      </c>
      <c r="P73" s="224">
        <v>0</v>
      </c>
      <c r="Q73" s="90">
        <v>0</v>
      </c>
      <c r="R73" s="224">
        <v>0</v>
      </c>
      <c r="S73" s="90"/>
    </row>
    <row r="74" spans="1:19" x14ac:dyDescent="0.2">
      <c r="A74" s="216"/>
      <c r="B74" s="225" t="s">
        <v>24</v>
      </c>
      <c r="C74" s="227">
        <v>1.6901390696799727</v>
      </c>
      <c r="D74" s="226">
        <v>-0.18107436511625152</v>
      </c>
      <c r="E74" s="226">
        <v>0.80896011685236435</v>
      </c>
      <c r="F74" s="226">
        <v>-1.4385137224537667</v>
      </c>
      <c r="G74" s="226">
        <v>0</v>
      </c>
      <c r="H74" s="226">
        <v>-2.5185134008752948E-2</v>
      </c>
      <c r="I74" s="227">
        <v>1.2870107083045896</v>
      </c>
      <c r="J74" s="227">
        <v>0</v>
      </c>
      <c r="K74" s="226">
        <v>0</v>
      </c>
      <c r="L74" s="226">
        <v>0</v>
      </c>
      <c r="M74" s="226">
        <v>0</v>
      </c>
      <c r="N74" s="227">
        <v>0</v>
      </c>
      <c r="O74" s="227">
        <v>0</v>
      </c>
      <c r="P74" s="227">
        <v>0</v>
      </c>
      <c r="Q74" s="226">
        <v>0</v>
      </c>
      <c r="R74" s="227">
        <v>0</v>
      </c>
      <c r="S74" s="230"/>
    </row>
    <row r="75" spans="1:19" x14ac:dyDescent="0.2">
      <c r="A75" s="216"/>
      <c r="B75" s="214" t="s">
        <v>26</v>
      </c>
      <c r="C75" s="221">
        <v>69049.553146133243</v>
      </c>
      <c r="D75" s="222">
        <v>64029.218874698796</v>
      </c>
      <c r="E75" s="222">
        <v>58545.062373195884</v>
      </c>
      <c r="F75" s="222">
        <v>56233.136203225804</v>
      </c>
      <c r="G75" s="222">
        <v>0</v>
      </c>
      <c r="H75" s="222">
        <v>55388.154999999999</v>
      </c>
      <c r="I75" s="221">
        <v>66022.436329974167</v>
      </c>
      <c r="J75" s="221">
        <v>0</v>
      </c>
      <c r="K75" s="222">
        <v>0</v>
      </c>
      <c r="L75" s="222">
        <v>0</v>
      </c>
      <c r="M75" s="222">
        <v>0</v>
      </c>
      <c r="N75" s="221">
        <v>0</v>
      </c>
      <c r="O75" s="221">
        <v>0</v>
      </c>
      <c r="P75" s="221">
        <v>0</v>
      </c>
      <c r="Q75" s="222">
        <v>0</v>
      </c>
      <c r="R75" s="221">
        <v>0</v>
      </c>
      <c r="S75" s="90"/>
    </row>
    <row r="76" spans="1:19" x14ac:dyDescent="0.2">
      <c r="A76" s="216"/>
      <c r="B76" s="223" t="s">
        <v>28</v>
      </c>
      <c r="C76" s="224">
        <v>70250.113207504604</v>
      </c>
      <c r="D76" s="90">
        <v>64990.171856756766</v>
      </c>
      <c r="E76" s="90">
        <v>58639.988605820108</v>
      </c>
      <c r="F76" s="90">
        <v>59842.952799999999</v>
      </c>
      <c r="G76" s="90">
        <v>0</v>
      </c>
      <c r="H76" s="90">
        <v>54848.53</v>
      </c>
      <c r="I76" s="224">
        <v>67120.253921571493</v>
      </c>
      <c r="J76" s="224">
        <v>0</v>
      </c>
      <c r="K76" s="90">
        <v>0</v>
      </c>
      <c r="L76" s="90">
        <v>0</v>
      </c>
      <c r="M76" s="90">
        <v>0</v>
      </c>
      <c r="N76" s="224">
        <v>0</v>
      </c>
      <c r="O76" s="224">
        <v>0</v>
      </c>
      <c r="P76" s="224">
        <v>0</v>
      </c>
      <c r="Q76" s="90">
        <v>0</v>
      </c>
      <c r="R76" s="224">
        <v>0</v>
      </c>
      <c r="S76" s="90"/>
    </row>
    <row r="77" spans="1:19" x14ac:dyDescent="0.2">
      <c r="A77" s="216"/>
      <c r="B77" s="225" t="s">
        <v>30</v>
      </c>
      <c r="C77" s="227">
        <v>1.7386934551633551</v>
      </c>
      <c r="D77" s="226">
        <v>1.5008038500961496</v>
      </c>
      <c r="E77" s="226">
        <v>0.1621421666939499</v>
      </c>
      <c r="F77" s="512">
        <v>6.4193762619398758</v>
      </c>
      <c r="G77" s="226">
        <v>0</v>
      </c>
      <c r="H77" s="512">
        <v>-0.97426065193902922</v>
      </c>
      <c r="I77" s="227">
        <v>1.6627947295227534</v>
      </c>
      <c r="J77" s="227">
        <v>0</v>
      </c>
      <c r="K77" s="226">
        <v>0</v>
      </c>
      <c r="L77" s="226">
        <v>0</v>
      </c>
      <c r="M77" s="226">
        <v>0</v>
      </c>
      <c r="N77" s="227">
        <v>0</v>
      </c>
      <c r="O77" s="227">
        <v>0</v>
      </c>
      <c r="P77" s="227">
        <v>0</v>
      </c>
      <c r="Q77" s="226">
        <v>0</v>
      </c>
      <c r="R77" s="227">
        <v>0</v>
      </c>
      <c r="S77" s="230"/>
    </row>
    <row r="78" spans="1:19" x14ac:dyDescent="0.2">
      <c r="A78" s="216"/>
      <c r="B78" s="214" t="s">
        <v>32</v>
      </c>
      <c r="C78" s="221">
        <v>49270.07460216996</v>
      </c>
      <c r="D78" s="222">
        <v>47799.094380219787</v>
      </c>
      <c r="E78" s="222">
        <v>46776.353515053772</v>
      </c>
      <c r="F78" s="222">
        <v>44103.214886666668</v>
      </c>
      <c r="G78" s="222">
        <v>0</v>
      </c>
      <c r="H78" s="222">
        <v>42020.78</v>
      </c>
      <c r="I78" s="221">
        <v>48193.315039025052</v>
      </c>
      <c r="J78" s="221">
        <v>0</v>
      </c>
      <c r="K78" s="222">
        <v>0</v>
      </c>
      <c r="L78" s="222">
        <v>0</v>
      </c>
      <c r="M78" s="222">
        <v>0</v>
      </c>
      <c r="N78" s="221">
        <v>0</v>
      </c>
      <c r="O78" s="221">
        <v>0</v>
      </c>
      <c r="P78" s="221">
        <v>0</v>
      </c>
      <c r="Q78" s="222">
        <v>0</v>
      </c>
      <c r="R78" s="221">
        <v>0</v>
      </c>
      <c r="S78" s="90"/>
    </row>
    <row r="79" spans="1:19" x14ac:dyDescent="0.2">
      <c r="A79" s="216"/>
      <c r="B79" s="223" t="s">
        <v>34</v>
      </c>
      <c r="C79" s="224">
        <v>49392.514852269567</v>
      </c>
      <c r="D79" s="90">
        <v>47884.192481914892</v>
      </c>
      <c r="E79" s="90">
        <v>48131.630537777775</v>
      </c>
      <c r="F79" s="90">
        <v>44205.303729292937</v>
      </c>
      <c r="G79" s="90">
        <v>0</v>
      </c>
      <c r="H79" s="90">
        <v>42020.78</v>
      </c>
      <c r="I79" s="224">
        <v>48501.815872768559</v>
      </c>
      <c r="J79" s="224">
        <v>0</v>
      </c>
      <c r="K79" s="90">
        <v>0</v>
      </c>
      <c r="L79" s="90">
        <v>0</v>
      </c>
      <c r="M79" s="90">
        <v>0</v>
      </c>
      <c r="N79" s="224">
        <v>0</v>
      </c>
      <c r="O79" s="224">
        <v>0</v>
      </c>
      <c r="P79" s="224">
        <v>0</v>
      </c>
      <c r="Q79" s="90">
        <v>0</v>
      </c>
      <c r="R79" s="224">
        <v>0</v>
      </c>
      <c r="S79" s="90"/>
    </row>
    <row r="80" spans="1:19" x14ac:dyDescent="0.2">
      <c r="A80" s="216"/>
      <c r="B80" s="225" t="s">
        <v>36</v>
      </c>
      <c r="C80" s="227">
        <v>0.24850835134358609</v>
      </c>
      <c r="D80" s="226">
        <v>0.17803287446868415</v>
      </c>
      <c r="E80" s="226">
        <v>2.8973550114115723</v>
      </c>
      <c r="F80" s="226">
        <v>0.2314770995461643</v>
      </c>
      <c r="G80" s="226">
        <v>0</v>
      </c>
      <c r="H80" s="226">
        <v>0</v>
      </c>
      <c r="I80" s="227">
        <v>0.6401320048095771</v>
      </c>
      <c r="J80" s="227">
        <v>0</v>
      </c>
      <c r="K80" s="226">
        <v>0</v>
      </c>
      <c r="L80" s="226">
        <v>0</v>
      </c>
      <c r="M80" s="226">
        <v>0</v>
      </c>
      <c r="N80" s="227">
        <v>0</v>
      </c>
      <c r="O80" s="227">
        <v>0</v>
      </c>
      <c r="P80" s="227">
        <v>0</v>
      </c>
      <c r="Q80" s="226">
        <v>0</v>
      </c>
      <c r="R80" s="227">
        <v>0</v>
      </c>
      <c r="S80" s="230"/>
    </row>
    <row r="81" spans="1:19" x14ac:dyDescent="0.2">
      <c r="A81" s="216"/>
      <c r="B81" s="214" t="s">
        <v>38</v>
      </c>
      <c r="C81" s="221">
        <v>57198.300282290504</v>
      </c>
      <c r="D81" s="222">
        <v>53629.285800000005</v>
      </c>
      <c r="E81" s="222">
        <v>46160.887551111111</v>
      </c>
      <c r="F81" s="222">
        <v>0</v>
      </c>
      <c r="G81" s="222">
        <v>0</v>
      </c>
      <c r="H81" s="222">
        <v>0</v>
      </c>
      <c r="I81" s="221">
        <v>56330.965895367524</v>
      </c>
      <c r="J81" s="221">
        <v>0</v>
      </c>
      <c r="K81" s="222">
        <v>0</v>
      </c>
      <c r="L81" s="222">
        <v>0</v>
      </c>
      <c r="M81" s="222">
        <v>0</v>
      </c>
      <c r="N81" s="221">
        <v>0</v>
      </c>
      <c r="O81" s="221">
        <v>0</v>
      </c>
      <c r="P81" s="221">
        <v>0</v>
      </c>
      <c r="Q81" s="222">
        <v>0</v>
      </c>
      <c r="R81" s="221">
        <v>0</v>
      </c>
      <c r="S81" s="90"/>
    </row>
    <row r="82" spans="1:19" x14ac:dyDescent="0.2">
      <c r="A82" s="216"/>
      <c r="B82" s="223" t="s">
        <v>40</v>
      </c>
      <c r="C82" s="224">
        <v>56330.810296491232</v>
      </c>
      <c r="D82" s="90">
        <v>54706.488400000002</v>
      </c>
      <c r="E82" s="90">
        <v>43782.048199999997</v>
      </c>
      <c r="F82" s="90">
        <v>0</v>
      </c>
      <c r="G82" s="90">
        <v>0</v>
      </c>
      <c r="H82" s="90">
        <v>0</v>
      </c>
      <c r="I82" s="224">
        <v>55849.452394117645</v>
      </c>
      <c r="J82" s="224">
        <v>0</v>
      </c>
      <c r="K82" s="90">
        <v>0</v>
      </c>
      <c r="L82" s="90">
        <v>0</v>
      </c>
      <c r="M82" s="90">
        <v>0</v>
      </c>
      <c r="N82" s="224">
        <v>0</v>
      </c>
      <c r="O82" s="224">
        <v>0</v>
      </c>
      <c r="P82" s="224">
        <v>0</v>
      </c>
      <c r="Q82" s="90">
        <v>0</v>
      </c>
      <c r="R82" s="224">
        <v>0</v>
      </c>
      <c r="S82" s="90"/>
    </row>
    <row r="83" spans="1:19" x14ac:dyDescent="0.2">
      <c r="A83" s="216"/>
      <c r="B83" s="225" t="s">
        <v>42</v>
      </c>
      <c r="C83" s="227">
        <v>-1.5166359516243526</v>
      </c>
      <c r="D83" s="226">
        <v>2.0086088858561619</v>
      </c>
      <c r="E83" s="226">
        <v>-5.1533657113442004</v>
      </c>
      <c r="F83" s="226">
        <v>0</v>
      </c>
      <c r="G83" s="226">
        <v>0</v>
      </c>
      <c r="H83" s="226">
        <v>0</v>
      </c>
      <c r="I83" s="227">
        <v>-0.85479361767783502</v>
      </c>
      <c r="J83" s="227">
        <v>0</v>
      </c>
      <c r="K83" s="226">
        <v>0</v>
      </c>
      <c r="L83" s="226">
        <v>0</v>
      </c>
      <c r="M83" s="226">
        <v>0</v>
      </c>
      <c r="N83" s="227">
        <v>0</v>
      </c>
      <c r="O83" s="227">
        <v>0</v>
      </c>
      <c r="P83" s="227">
        <v>0</v>
      </c>
      <c r="Q83" s="226">
        <v>0</v>
      </c>
      <c r="R83" s="227">
        <v>0</v>
      </c>
      <c r="S83" s="230"/>
    </row>
    <row r="84" spans="1:19" x14ac:dyDescent="0.2">
      <c r="A84" s="216"/>
      <c r="B84" s="214" t="s">
        <v>44</v>
      </c>
      <c r="C84" s="221">
        <v>0</v>
      </c>
      <c r="D84" s="222">
        <v>0</v>
      </c>
      <c r="E84" s="222">
        <v>0</v>
      </c>
      <c r="F84" s="222">
        <v>0</v>
      </c>
      <c r="G84" s="222">
        <v>0</v>
      </c>
      <c r="H84" s="222">
        <v>0</v>
      </c>
      <c r="I84" s="221">
        <v>0</v>
      </c>
      <c r="J84" s="221">
        <v>57557.836516068935</v>
      </c>
      <c r="K84" s="222">
        <v>53060.702731092439</v>
      </c>
      <c r="L84" s="222">
        <v>46161.699769053121</v>
      </c>
      <c r="M84" s="222">
        <v>50101.859649122809</v>
      </c>
      <c r="N84" s="221">
        <v>0</v>
      </c>
      <c r="O84" s="221">
        <v>54243.92208265065</v>
      </c>
      <c r="P84" s="221">
        <v>0</v>
      </c>
      <c r="Q84" s="222">
        <v>0</v>
      </c>
      <c r="R84" s="221">
        <v>0</v>
      </c>
      <c r="S84" s="90"/>
    </row>
    <row r="85" spans="1:19" x14ac:dyDescent="0.2">
      <c r="A85" s="216"/>
      <c r="B85" s="223" t="s">
        <v>46</v>
      </c>
      <c r="C85" s="224">
        <v>0</v>
      </c>
      <c r="D85" s="90">
        <v>0</v>
      </c>
      <c r="E85" s="90">
        <v>0</v>
      </c>
      <c r="F85" s="90">
        <v>0</v>
      </c>
      <c r="G85" s="90">
        <v>0</v>
      </c>
      <c r="H85" s="90">
        <v>0</v>
      </c>
      <c r="I85" s="224">
        <v>0</v>
      </c>
      <c r="J85" s="224">
        <v>57320.089237668159</v>
      </c>
      <c r="K85" s="90">
        <v>53679.730678366519</v>
      </c>
      <c r="L85" s="90">
        <v>47575.791383219956</v>
      </c>
      <c r="M85" s="90">
        <v>48943.15789473684</v>
      </c>
      <c r="N85" s="224">
        <v>0</v>
      </c>
      <c r="O85" s="224">
        <v>54585.753821823935</v>
      </c>
      <c r="P85" s="224">
        <v>0</v>
      </c>
      <c r="Q85" s="90">
        <v>0</v>
      </c>
      <c r="R85" s="224">
        <v>0</v>
      </c>
      <c r="S85" s="90"/>
    </row>
    <row r="86" spans="1:19" x14ac:dyDescent="0.2">
      <c r="A86" s="216"/>
      <c r="B86" s="225" t="s">
        <v>48</v>
      </c>
      <c r="C86" s="227">
        <v>0</v>
      </c>
      <c r="D86" s="226">
        <v>0</v>
      </c>
      <c r="E86" s="226">
        <v>0</v>
      </c>
      <c r="F86" s="226">
        <v>0</v>
      </c>
      <c r="G86" s="226">
        <v>0</v>
      </c>
      <c r="H86" s="226">
        <v>0</v>
      </c>
      <c r="I86" s="227">
        <v>0</v>
      </c>
      <c r="J86" s="513">
        <v>-0.41305805219833586</v>
      </c>
      <c r="K86" s="512">
        <v>1.1666410646901275</v>
      </c>
      <c r="L86" s="512">
        <v>3.0633439003362786</v>
      </c>
      <c r="M86" s="512">
        <v>-2.31269210863764</v>
      </c>
      <c r="N86" s="227">
        <v>0</v>
      </c>
      <c r="O86" s="227">
        <v>0.63017519023134316</v>
      </c>
      <c r="P86" s="227">
        <v>0</v>
      </c>
      <c r="Q86" s="226">
        <v>0</v>
      </c>
      <c r="R86" s="227">
        <v>0</v>
      </c>
      <c r="S86" s="230"/>
    </row>
    <row r="87" spans="1:19" x14ac:dyDescent="0.2">
      <c r="A87" s="216"/>
      <c r="B87" s="214" t="s">
        <v>50</v>
      </c>
      <c r="C87" s="221">
        <v>82114.445515932341</v>
      </c>
      <c r="D87" s="222">
        <v>70789.5371002584</v>
      </c>
      <c r="E87" s="222">
        <v>66913.88671960785</v>
      </c>
      <c r="F87" s="222">
        <v>62745.088510991962</v>
      </c>
      <c r="G87" s="222">
        <v>0</v>
      </c>
      <c r="H87" s="222">
        <v>68274.343258591558</v>
      </c>
      <c r="I87" s="221">
        <v>78037.041880881618</v>
      </c>
      <c r="J87" s="221">
        <v>57557.836516068935</v>
      </c>
      <c r="K87" s="222">
        <v>53060.702731092439</v>
      </c>
      <c r="L87" s="222">
        <v>46161.699769053121</v>
      </c>
      <c r="M87" s="222">
        <v>50101.859649122809</v>
      </c>
      <c r="N87" s="221">
        <v>0</v>
      </c>
      <c r="O87" s="221">
        <v>54243.92208265065</v>
      </c>
      <c r="P87" s="221">
        <v>0</v>
      </c>
      <c r="Q87" s="222">
        <v>0</v>
      </c>
      <c r="R87" s="221">
        <v>0</v>
      </c>
      <c r="S87" s="90"/>
    </row>
    <row r="88" spans="1:19" x14ac:dyDescent="0.2">
      <c r="A88" s="216"/>
      <c r="B88" s="223" t="s">
        <v>52</v>
      </c>
      <c r="C88" s="224">
        <v>84280.965103844472</v>
      </c>
      <c r="D88" s="90">
        <v>70891.363825721783</v>
      </c>
      <c r="E88" s="90">
        <v>68472.149521417334</v>
      </c>
      <c r="F88" s="90">
        <v>63623.862019796958</v>
      </c>
      <c r="G88" s="90">
        <v>0</v>
      </c>
      <c r="H88" s="90">
        <v>68101.646086956534</v>
      </c>
      <c r="I88" s="224">
        <v>79759.539716048021</v>
      </c>
      <c r="J88" s="224">
        <v>57320.089237668159</v>
      </c>
      <c r="K88" s="90">
        <v>53679.730678366519</v>
      </c>
      <c r="L88" s="90">
        <v>47575.791383219956</v>
      </c>
      <c r="M88" s="90">
        <v>48943.15789473684</v>
      </c>
      <c r="N88" s="224">
        <v>0</v>
      </c>
      <c r="O88" s="224">
        <v>54585.753821823935</v>
      </c>
      <c r="P88" s="224">
        <v>0</v>
      </c>
      <c r="Q88" s="90">
        <v>0</v>
      </c>
      <c r="R88" s="224">
        <v>0</v>
      </c>
      <c r="S88" s="90"/>
    </row>
    <row r="89" spans="1:19" x14ac:dyDescent="0.2">
      <c r="A89" s="216"/>
      <c r="B89" s="225" t="s">
        <v>54</v>
      </c>
      <c r="C89" s="227">
        <v>2.6384146836767837</v>
      </c>
      <c r="D89" s="226">
        <v>0.14384431603100736</v>
      </c>
      <c r="E89" s="226">
        <v>2.3287584658460201</v>
      </c>
      <c r="F89" s="226">
        <v>1.4005454923392902</v>
      </c>
      <c r="G89" s="226">
        <v>0</v>
      </c>
      <c r="H89" s="226">
        <v>-0.25294592872307353</v>
      </c>
      <c r="I89" s="227">
        <v>2.2072823285583816</v>
      </c>
      <c r="J89" s="227">
        <v>-0.41305805219833586</v>
      </c>
      <c r="K89" s="226">
        <v>1.1666410646901275</v>
      </c>
      <c r="L89" s="226">
        <v>3.0633439003362786</v>
      </c>
      <c r="M89" s="226">
        <v>-2.31269210863764</v>
      </c>
      <c r="N89" s="227">
        <v>0</v>
      </c>
      <c r="O89" s="227">
        <v>0.63017519023134316</v>
      </c>
      <c r="P89" s="227">
        <v>0</v>
      </c>
      <c r="Q89" s="226">
        <v>0</v>
      </c>
      <c r="R89" s="227">
        <v>0</v>
      </c>
      <c r="S89" s="230"/>
    </row>
    <row r="90" spans="1:19" x14ac:dyDescent="0.2">
      <c r="A90" s="220" t="s">
        <v>112</v>
      </c>
      <c r="B90" s="214" t="s">
        <v>14</v>
      </c>
      <c r="C90" s="221">
        <v>109932.35000450957</v>
      </c>
      <c r="D90" s="222">
        <v>138407.57790754258</v>
      </c>
      <c r="E90" s="222">
        <v>79855.477259649124</v>
      </c>
      <c r="F90" s="222">
        <v>77533.850428937149</v>
      </c>
      <c r="G90" s="222">
        <v>76128.232952493621</v>
      </c>
      <c r="H90" s="222">
        <v>88098.703703703708</v>
      </c>
      <c r="I90" s="221">
        <v>101196.83490453183</v>
      </c>
      <c r="J90" s="221">
        <v>66547.272438461529</v>
      </c>
      <c r="K90" s="222">
        <v>66354.798276521746</v>
      </c>
      <c r="L90" s="222">
        <v>59640.973458064524</v>
      </c>
      <c r="M90" s="222">
        <v>57061.599999999999</v>
      </c>
      <c r="N90" s="221">
        <v>0</v>
      </c>
      <c r="O90" s="221">
        <v>64010.766101151843</v>
      </c>
      <c r="P90" s="221">
        <v>0</v>
      </c>
      <c r="Q90" s="222">
        <v>0</v>
      </c>
      <c r="R90" s="221">
        <v>0</v>
      </c>
      <c r="S90" s="90"/>
    </row>
    <row r="91" spans="1:19" x14ac:dyDescent="0.2">
      <c r="A91" s="216"/>
      <c r="B91" s="223" t="s">
        <v>16</v>
      </c>
      <c r="C91" s="224">
        <v>110687.1774558598</v>
      </c>
      <c r="D91" s="90">
        <v>140732.47676450841</v>
      </c>
      <c r="E91" s="90">
        <v>78069.643554046997</v>
      </c>
      <c r="F91" s="90">
        <v>77759.091602409637</v>
      </c>
      <c r="G91" s="90">
        <v>75146.273186915889</v>
      </c>
      <c r="H91" s="90">
        <v>87866.032258064515</v>
      </c>
      <c r="I91" s="224">
        <v>102298.98566951965</v>
      </c>
      <c r="J91" s="224">
        <v>65817.522785365858</v>
      </c>
      <c r="K91" s="90">
        <v>63044.922580645165</v>
      </c>
      <c r="L91" s="90">
        <v>60783.103926315787</v>
      </c>
      <c r="M91" s="90">
        <v>57801</v>
      </c>
      <c r="N91" s="224">
        <v>0</v>
      </c>
      <c r="O91" s="224">
        <v>63490.059725287363</v>
      </c>
      <c r="P91" s="224">
        <v>0</v>
      </c>
      <c r="Q91" s="90">
        <v>0</v>
      </c>
      <c r="R91" s="224">
        <v>0</v>
      </c>
      <c r="S91" s="90"/>
    </row>
    <row r="92" spans="1:19" x14ac:dyDescent="0.2">
      <c r="A92" s="216"/>
      <c r="B92" s="225" t="s">
        <v>18</v>
      </c>
      <c r="C92" s="227">
        <v>0.68662905079283898</v>
      </c>
      <c r="D92" s="226">
        <v>1.6797482421944243</v>
      </c>
      <c r="E92" s="512">
        <v>-2.2363321426224898</v>
      </c>
      <c r="F92" s="226">
        <v>0.29050688470441793</v>
      </c>
      <c r="G92" s="512">
        <v>-1.2898759467995347</v>
      </c>
      <c r="H92" s="226">
        <v>-0.26410314324455969</v>
      </c>
      <c r="I92" s="227">
        <v>1.0891158463874662</v>
      </c>
      <c r="J92" s="513">
        <v>-1.0965883744829577</v>
      </c>
      <c r="K92" s="512">
        <v>-4.9881482301901761</v>
      </c>
      <c r="L92" s="226">
        <v>1.915009769339751</v>
      </c>
      <c r="M92" s="226">
        <v>1.2957926171015208</v>
      </c>
      <c r="N92" s="227">
        <v>0</v>
      </c>
      <c r="O92" s="227">
        <v>-0.81346687062242506</v>
      </c>
      <c r="P92" s="227">
        <v>0</v>
      </c>
      <c r="Q92" s="226">
        <v>0</v>
      </c>
      <c r="R92" s="227">
        <v>0</v>
      </c>
      <c r="S92" s="230"/>
    </row>
    <row r="93" spans="1:19" x14ac:dyDescent="0.2">
      <c r="A93" s="216"/>
      <c r="B93" s="214" t="s">
        <v>20</v>
      </c>
      <c r="C93" s="221">
        <v>78178.574449187814</v>
      </c>
      <c r="D93" s="222">
        <v>94234.647671369297</v>
      </c>
      <c r="E93" s="222">
        <v>64300.30805295</v>
      </c>
      <c r="F93" s="222">
        <v>63595.956791295277</v>
      </c>
      <c r="G93" s="222">
        <v>60804.073142355068</v>
      </c>
      <c r="H93" s="222">
        <v>65407.92658227848</v>
      </c>
      <c r="I93" s="221">
        <v>72068.454938327384</v>
      </c>
      <c r="J93" s="221">
        <v>53207.609969841273</v>
      </c>
      <c r="K93" s="222">
        <v>56869.633167160493</v>
      </c>
      <c r="L93" s="222">
        <v>51394.79934057971</v>
      </c>
      <c r="M93" s="222">
        <v>48030.399999999994</v>
      </c>
      <c r="N93" s="221">
        <v>0</v>
      </c>
      <c r="O93" s="221">
        <v>53835.801681731202</v>
      </c>
      <c r="P93" s="221">
        <v>0</v>
      </c>
      <c r="Q93" s="222">
        <v>0</v>
      </c>
      <c r="R93" s="221">
        <v>0</v>
      </c>
      <c r="S93" s="90"/>
    </row>
    <row r="94" spans="1:19" x14ac:dyDescent="0.2">
      <c r="A94" s="216"/>
      <c r="B94" s="223" t="s">
        <v>22</v>
      </c>
      <c r="C94" s="224">
        <v>78719.641196172248</v>
      </c>
      <c r="D94" s="90">
        <v>94950.598954330708</v>
      </c>
      <c r="E94" s="90">
        <v>64050.025990049748</v>
      </c>
      <c r="F94" s="90">
        <v>63979.966869976364</v>
      </c>
      <c r="G94" s="90">
        <v>61680.025048763244</v>
      </c>
      <c r="H94" s="90">
        <v>64257.383177570096</v>
      </c>
      <c r="I94" s="224">
        <v>72481.42980355749</v>
      </c>
      <c r="J94" s="224">
        <v>53180.431160902255</v>
      </c>
      <c r="K94" s="90">
        <v>55796.404343283582</v>
      </c>
      <c r="L94" s="90">
        <v>50740.356251006706</v>
      </c>
      <c r="M94" s="90">
        <v>48408.333333333336</v>
      </c>
      <c r="N94" s="224">
        <v>0</v>
      </c>
      <c r="O94" s="224">
        <v>53016.188335981307</v>
      </c>
      <c r="P94" s="224">
        <v>0</v>
      </c>
      <c r="Q94" s="90">
        <v>0</v>
      </c>
      <c r="R94" s="224">
        <v>0</v>
      </c>
      <c r="S94" s="90"/>
    </row>
    <row r="95" spans="1:19" x14ac:dyDescent="0.2">
      <c r="A95" s="216"/>
      <c r="B95" s="225" t="s">
        <v>24</v>
      </c>
      <c r="C95" s="227">
        <v>0.69209083281008188</v>
      </c>
      <c r="D95" s="226">
        <v>0.75975376430354435</v>
      </c>
      <c r="E95" s="226">
        <v>-0.38923929057097273</v>
      </c>
      <c r="F95" s="226">
        <v>0.60382781871071511</v>
      </c>
      <c r="G95" s="226">
        <v>1.4406138620966873</v>
      </c>
      <c r="H95" s="512">
        <v>-1.7590274831003589</v>
      </c>
      <c r="I95" s="227">
        <v>0.57303138465159187</v>
      </c>
      <c r="J95" s="227">
        <v>-5.1080679914814353E-2</v>
      </c>
      <c r="K95" s="512">
        <v>-1.887173811588166</v>
      </c>
      <c r="L95" s="512">
        <v>-1.2733644220229035</v>
      </c>
      <c r="M95" s="226">
        <v>0.78686276469348926</v>
      </c>
      <c r="N95" s="227">
        <v>0</v>
      </c>
      <c r="O95" s="227">
        <v>-1.5224317650089429</v>
      </c>
      <c r="P95" s="227">
        <v>0</v>
      </c>
      <c r="Q95" s="226">
        <v>0</v>
      </c>
      <c r="R95" s="227">
        <v>0</v>
      </c>
      <c r="S95" s="230"/>
    </row>
    <row r="96" spans="1:19" x14ac:dyDescent="0.2">
      <c r="A96" s="216"/>
      <c r="B96" s="214" t="s">
        <v>26</v>
      </c>
      <c r="C96" s="221">
        <v>71213.253589595814</v>
      </c>
      <c r="D96" s="222">
        <v>85603.49</v>
      </c>
      <c r="E96" s="222">
        <v>55042.177326992751</v>
      </c>
      <c r="F96" s="222">
        <v>53814.067719978782</v>
      </c>
      <c r="G96" s="222">
        <v>52963.541875376883</v>
      </c>
      <c r="H96" s="222">
        <v>55047.811644725742</v>
      </c>
      <c r="I96" s="221">
        <v>61239.524631338041</v>
      </c>
      <c r="J96" s="221">
        <v>44721.775437037039</v>
      </c>
      <c r="K96" s="222">
        <v>45844.630506896559</v>
      </c>
      <c r="L96" s="222">
        <v>45355.043060758617</v>
      </c>
      <c r="M96" s="222">
        <v>43409.428571428572</v>
      </c>
      <c r="N96" s="221">
        <v>0</v>
      </c>
      <c r="O96" s="221">
        <v>45166.643955088279</v>
      </c>
      <c r="P96" s="221">
        <v>0</v>
      </c>
      <c r="Q96" s="222">
        <v>0</v>
      </c>
      <c r="R96" s="221">
        <v>0</v>
      </c>
      <c r="S96" s="90"/>
    </row>
    <row r="97" spans="1:19" x14ac:dyDescent="0.2">
      <c r="A97" s="216"/>
      <c r="B97" s="223" t="s">
        <v>28</v>
      </c>
      <c r="C97" s="224">
        <v>72696.47593032787</v>
      </c>
      <c r="D97" s="90">
        <v>86689</v>
      </c>
      <c r="E97" s="90">
        <v>55024.142642680781</v>
      </c>
      <c r="F97" s="90">
        <v>54026.023678978978</v>
      </c>
      <c r="G97" s="90">
        <v>52515.056417603912</v>
      </c>
      <c r="H97" s="90">
        <v>57306.610416053518</v>
      </c>
      <c r="I97" s="224">
        <v>61598.41291193926</v>
      </c>
      <c r="J97" s="224">
        <v>45379.460619565216</v>
      </c>
      <c r="K97" s="90">
        <v>44878.817682758621</v>
      </c>
      <c r="L97" s="90">
        <v>44774.004882315116</v>
      </c>
      <c r="M97" s="90">
        <v>42554</v>
      </c>
      <c r="N97" s="224">
        <v>0</v>
      </c>
      <c r="O97" s="224">
        <v>44895.748613291136</v>
      </c>
      <c r="P97" s="224">
        <v>0</v>
      </c>
      <c r="Q97" s="90">
        <v>0</v>
      </c>
      <c r="R97" s="224">
        <v>0</v>
      </c>
      <c r="S97" s="90"/>
    </row>
    <row r="98" spans="1:19" x14ac:dyDescent="0.2">
      <c r="A98" s="216"/>
      <c r="B98" s="225" t="s">
        <v>30</v>
      </c>
      <c r="C98" s="227">
        <v>2.0827897420330106</v>
      </c>
      <c r="D98" s="226">
        <v>1.2680674584645961</v>
      </c>
      <c r="E98" s="226">
        <v>-3.2765208768595316E-2</v>
      </c>
      <c r="F98" s="226">
        <v>0.39386719491844985</v>
      </c>
      <c r="G98" s="512">
        <v>-0.84678146870965798</v>
      </c>
      <c r="H98" s="226">
        <v>4.1033398128628367</v>
      </c>
      <c r="I98" s="227">
        <v>0.58604027833613404</v>
      </c>
      <c r="J98" s="227">
        <v>1.4706150999173102</v>
      </c>
      <c r="K98" s="512">
        <v>-2.1067087103966249</v>
      </c>
      <c r="L98" s="512">
        <v>-1.2810883624674982</v>
      </c>
      <c r="M98" s="512">
        <v>-1.9706054642506916</v>
      </c>
      <c r="N98" s="227">
        <v>0</v>
      </c>
      <c r="O98" s="227">
        <v>-0.59976858600897787</v>
      </c>
      <c r="P98" s="227">
        <v>0</v>
      </c>
      <c r="Q98" s="226">
        <v>0</v>
      </c>
      <c r="R98" s="227">
        <v>0</v>
      </c>
      <c r="S98" s="230"/>
    </row>
    <row r="99" spans="1:19" x14ac:dyDescent="0.2">
      <c r="A99" s="216"/>
      <c r="B99" s="214" t="s">
        <v>32</v>
      </c>
      <c r="C99" s="221">
        <v>52086.671101886786</v>
      </c>
      <c r="D99" s="222">
        <v>49219.849999999991</v>
      </c>
      <c r="E99" s="222">
        <v>39102.52634343892</v>
      </c>
      <c r="F99" s="222">
        <v>43186.014888607599</v>
      </c>
      <c r="G99" s="222">
        <v>42800.056170247932</v>
      </c>
      <c r="H99" s="222">
        <v>44627.810784615387</v>
      </c>
      <c r="I99" s="221">
        <v>43449.488756434112</v>
      </c>
      <c r="J99" s="221">
        <v>40720.681578947369</v>
      </c>
      <c r="K99" s="222">
        <v>40216.907791858408</v>
      </c>
      <c r="L99" s="222">
        <v>40226.843277826083</v>
      </c>
      <c r="M99" s="222">
        <v>36416.199999999997</v>
      </c>
      <c r="N99" s="221">
        <v>0</v>
      </c>
      <c r="O99" s="221">
        <v>40062.251290211083</v>
      </c>
      <c r="P99" s="221">
        <v>0</v>
      </c>
      <c r="Q99" s="222">
        <v>0</v>
      </c>
      <c r="R99" s="221">
        <v>0</v>
      </c>
      <c r="S99" s="90"/>
    </row>
    <row r="100" spans="1:19" x14ac:dyDescent="0.2">
      <c r="A100" s="216"/>
      <c r="B100" s="223" t="s">
        <v>34</v>
      </c>
      <c r="C100" s="224">
        <v>53057.727207619049</v>
      </c>
      <c r="D100" s="90">
        <v>34803</v>
      </c>
      <c r="E100" s="90">
        <v>40069.604796638654</v>
      </c>
      <c r="F100" s="90">
        <v>45303.42456764706</v>
      </c>
      <c r="G100" s="90">
        <v>42834.847773770489</v>
      </c>
      <c r="H100" s="90">
        <v>48678.31722222222</v>
      </c>
      <c r="I100" s="224">
        <v>43579.953581325302</v>
      </c>
      <c r="J100" s="224">
        <v>41034.088235294119</v>
      </c>
      <c r="K100" s="90">
        <v>38696.778364705882</v>
      </c>
      <c r="L100" s="90">
        <v>41626.422541899439</v>
      </c>
      <c r="M100" s="90">
        <v>37557.210526315786</v>
      </c>
      <c r="N100" s="224">
        <v>0</v>
      </c>
      <c r="O100" s="224">
        <v>39851.982837698415</v>
      </c>
      <c r="P100" s="224">
        <v>0</v>
      </c>
      <c r="Q100" s="90">
        <v>0</v>
      </c>
      <c r="R100" s="224">
        <v>0</v>
      </c>
      <c r="S100" s="90"/>
    </row>
    <row r="101" spans="1:19" x14ac:dyDescent="0.2">
      <c r="A101" s="216"/>
      <c r="B101" s="225" t="s">
        <v>36</v>
      </c>
      <c r="C101" s="227">
        <v>1.8643082485205846</v>
      </c>
      <c r="D101" s="512">
        <v>-29.290723153361892</v>
      </c>
      <c r="E101" s="226">
        <v>2.4731866291856663</v>
      </c>
      <c r="F101" s="226">
        <v>4.9029985389970099</v>
      </c>
      <c r="G101" s="226">
        <v>8.128868659462693E-2</v>
      </c>
      <c r="H101" s="512">
        <v>9.0761934461799108</v>
      </c>
      <c r="I101" s="227">
        <v>0.30026780205065412</v>
      </c>
      <c r="J101" s="227">
        <v>0.76964982950771887</v>
      </c>
      <c r="K101" s="512">
        <v>-3.7798267211888024</v>
      </c>
      <c r="L101" s="226">
        <v>3.4792172341418475</v>
      </c>
      <c r="M101" s="226">
        <v>3.1332498347323154</v>
      </c>
      <c r="N101" s="227">
        <v>0</v>
      </c>
      <c r="O101" s="227">
        <v>-0.52485430983267134</v>
      </c>
      <c r="P101" s="227">
        <v>0</v>
      </c>
      <c r="Q101" s="226">
        <v>0</v>
      </c>
      <c r="R101" s="227">
        <v>0</v>
      </c>
      <c r="S101" s="230"/>
    </row>
    <row r="102" spans="1:19" x14ac:dyDescent="0.2">
      <c r="A102" s="216"/>
      <c r="B102" s="214" t="s">
        <v>38</v>
      </c>
      <c r="C102" s="221">
        <v>51315.764477076926</v>
      </c>
      <c r="D102" s="222">
        <v>62667.887383783789</v>
      </c>
      <c r="E102" s="222">
        <v>43699.473141538459</v>
      </c>
      <c r="F102" s="222">
        <v>47609.981512709222</v>
      </c>
      <c r="G102" s="222">
        <v>45102.486388888887</v>
      </c>
      <c r="H102" s="222">
        <v>43400.1</v>
      </c>
      <c r="I102" s="221">
        <v>50140.536737910537</v>
      </c>
      <c r="J102" s="221">
        <v>36945.783333333333</v>
      </c>
      <c r="K102" s="222">
        <v>45637.898786666665</v>
      </c>
      <c r="L102" s="222">
        <v>36465.237386046516</v>
      </c>
      <c r="M102" s="222">
        <v>37333.300000000003</v>
      </c>
      <c r="N102" s="221">
        <v>0</v>
      </c>
      <c r="O102" s="221">
        <v>38164.25372967033</v>
      </c>
      <c r="P102" s="221">
        <v>0</v>
      </c>
      <c r="Q102" s="222">
        <v>0</v>
      </c>
      <c r="R102" s="221">
        <v>0</v>
      </c>
      <c r="S102" s="90"/>
    </row>
    <row r="103" spans="1:19" x14ac:dyDescent="0.2">
      <c r="A103" s="216"/>
      <c r="B103" s="223" t="s">
        <v>40</v>
      </c>
      <c r="C103" s="224">
        <v>51683.89883489933</v>
      </c>
      <c r="D103" s="90">
        <v>66738.961818390802</v>
      </c>
      <c r="E103" s="90">
        <v>42630.766376785716</v>
      </c>
      <c r="F103" s="90">
        <v>47214.059448780485</v>
      </c>
      <c r="G103" s="90">
        <v>45387.416666666664</v>
      </c>
      <c r="H103" s="90">
        <v>44824</v>
      </c>
      <c r="I103" s="224">
        <v>50194.332619404915</v>
      </c>
      <c r="J103" s="224">
        <v>35327.970588235294</v>
      </c>
      <c r="K103" s="90">
        <v>36897.749450000003</v>
      </c>
      <c r="L103" s="90">
        <v>34156.294117647056</v>
      </c>
      <c r="M103" s="90">
        <v>39800</v>
      </c>
      <c r="N103" s="224">
        <v>0</v>
      </c>
      <c r="O103" s="224">
        <v>35612.708218749998</v>
      </c>
      <c r="P103" s="224">
        <v>0</v>
      </c>
      <c r="Q103" s="90">
        <v>0</v>
      </c>
      <c r="R103" s="224">
        <v>0</v>
      </c>
      <c r="S103" s="90"/>
    </row>
    <row r="104" spans="1:19" x14ac:dyDescent="0.2">
      <c r="A104" s="216"/>
      <c r="B104" s="225" t="s">
        <v>42</v>
      </c>
      <c r="C104" s="227">
        <v>0.71739038007872225</v>
      </c>
      <c r="D104" s="226">
        <v>6.4962688301193037</v>
      </c>
      <c r="E104" s="226">
        <v>-2.4455827219959922</v>
      </c>
      <c r="F104" s="226">
        <v>-0.83159466008834415</v>
      </c>
      <c r="G104" s="226">
        <v>0.63173962366733472</v>
      </c>
      <c r="H104" s="226">
        <v>3.280868016433145</v>
      </c>
      <c r="I104" s="227">
        <v>0.10729019869805939</v>
      </c>
      <c r="J104" s="227">
        <v>-4.3788833234411664</v>
      </c>
      <c r="K104" s="226">
        <v>-19.151077435712573</v>
      </c>
      <c r="L104" s="226">
        <v>-6.3319024745550703</v>
      </c>
      <c r="M104" s="226">
        <v>6.6072380421768147</v>
      </c>
      <c r="N104" s="227">
        <v>0</v>
      </c>
      <c r="O104" s="227">
        <v>-6.6856947577011425</v>
      </c>
      <c r="P104" s="227">
        <v>0</v>
      </c>
      <c r="Q104" s="226">
        <v>0</v>
      </c>
      <c r="R104" s="227">
        <v>0</v>
      </c>
      <c r="S104" s="230"/>
    </row>
    <row r="105" spans="1:19" x14ac:dyDescent="0.2">
      <c r="A105" s="216"/>
      <c r="B105" s="214" t="s">
        <v>44</v>
      </c>
      <c r="C105" s="221">
        <v>0</v>
      </c>
      <c r="D105" s="222">
        <v>0</v>
      </c>
      <c r="E105" s="222">
        <v>0</v>
      </c>
      <c r="F105" s="222">
        <v>0</v>
      </c>
      <c r="G105" s="222">
        <v>0</v>
      </c>
      <c r="H105" s="222">
        <v>0</v>
      </c>
      <c r="I105" s="221">
        <v>0</v>
      </c>
      <c r="J105" s="221">
        <v>0</v>
      </c>
      <c r="K105" s="222">
        <v>0</v>
      </c>
      <c r="L105" s="222">
        <v>0</v>
      </c>
      <c r="M105" s="222">
        <v>0</v>
      </c>
      <c r="N105" s="221">
        <v>0</v>
      </c>
      <c r="O105" s="221">
        <v>0</v>
      </c>
      <c r="P105" s="221">
        <v>45023.665847234435</v>
      </c>
      <c r="Q105" s="222">
        <v>0</v>
      </c>
      <c r="R105" s="221">
        <v>45023.665847234435</v>
      </c>
      <c r="S105" s="90"/>
    </row>
    <row r="106" spans="1:19" x14ac:dyDescent="0.2">
      <c r="A106" s="216"/>
      <c r="B106" s="223" t="s">
        <v>46</v>
      </c>
      <c r="C106" s="224">
        <v>0</v>
      </c>
      <c r="D106" s="90">
        <v>0</v>
      </c>
      <c r="E106" s="90">
        <v>0</v>
      </c>
      <c r="F106" s="90">
        <v>0</v>
      </c>
      <c r="G106" s="90">
        <v>0</v>
      </c>
      <c r="H106" s="90">
        <v>0</v>
      </c>
      <c r="I106" s="224">
        <v>0</v>
      </c>
      <c r="J106" s="224">
        <v>0</v>
      </c>
      <c r="K106" s="90">
        <v>0</v>
      </c>
      <c r="L106" s="90">
        <v>0</v>
      </c>
      <c r="M106" s="90">
        <v>0</v>
      </c>
      <c r="N106" s="224">
        <v>0</v>
      </c>
      <c r="O106" s="224">
        <v>0</v>
      </c>
      <c r="P106" s="224">
        <v>44688.970657167833</v>
      </c>
      <c r="Q106" s="90">
        <v>0</v>
      </c>
      <c r="R106" s="224">
        <v>44688.970657167833</v>
      </c>
      <c r="S106" s="90"/>
    </row>
    <row r="107" spans="1:19" x14ac:dyDescent="0.2">
      <c r="A107" s="216"/>
      <c r="B107" s="225" t="s">
        <v>48</v>
      </c>
      <c r="C107" s="227">
        <v>0</v>
      </c>
      <c r="D107" s="226">
        <v>0</v>
      </c>
      <c r="E107" s="226">
        <v>0</v>
      </c>
      <c r="F107" s="226">
        <v>0</v>
      </c>
      <c r="G107" s="226">
        <v>0</v>
      </c>
      <c r="H107" s="226">
        <v>0</v>
      </c>
      <c r="I107" s="227">
        <v>0</v>
      </c>
      <c r="J107" s="227">
        <v>0</v>
      </c>
      <c r="K107" s="226">
        <v>0</v>
      </c>
      <c r="L107" s="226">
        <v>0</v>
      </c>
      <c r="M107" s="226">
        <v>0</v>
      </c>
      <c r="N107" s="227">
        <v>0</v>
      </c>
      <c r="O107" s="227">
        <v>0</v>
      </c>
      <c r="P107" s="227">
        <v>-0.74337614178779987</v>
      </c>
      <c r="Q107" s="226">
        <v>0</v>
      </c>
      <c r="R107" s="227">
        <v>-0.74337614178779987</v>
      </c>
      <c r="S107" s="230"/>
    </row>
    <row r="108" spans="1:19" x14ac:dyDescent="0.2">
      <c r="A108" s="216"/>
      <c r="B108" s="214" t="s">
        <v>50</v>
      </c>
      <c r="C108" s="221">
        <v>82834.245913112522</v>
      </c>
      <c r="D108" s="222">
        <v>107284.9052771282</v>
      </c>
      <c r="E108" s="222">
        <v>60750.07001122785</v>
      </c>
      <c r="F108" s="222">
        <v>59474.124227744163</v>
      </c>
      <c r="G108" s="222">
        <v>58237.508542764066</v>
      </c>
      <c r="H108" s="222">
        <v>58864.825675675675</v>
      </c>
      <c r="I108" s="221">
        <v>72573.992372108783</v>
      </c>
      <c r="J108" s="221">
        <v>49898.093414316711</v>
      </c>
      <c r="K108" s="222">
        <v>50469.596227610629</v>
      </c>
      <c r="L108" s="222">
        <v>45727.225563689193</v>
      </c>
      <c r="M108" s="222">
        <v>42884.390000000007</v>
      </c>
      <c r="N108" s="221">
        <v>0</v>
      </c>
      <c r="O108" s="221">
        <v>47971.754367968657</v>
      </c>
      <c r="P108" s="221">
        <v>45023.665847234435</v>
      </c>
      <c r="Q108" s="222">
        <v>0</v>
      </c>
      <c r="R108" s="221">
        <v>45023.665847234435</v>
      </c>
      <c r="S108" s="90"/>
    </row>
    <row r="109" spans="1:19" x14ac:dyDescent="0.2">
      <c r="A109" s="216"/>
      <c r="B109" s="223" t="s">
        <v>52</v>
      </c>
      <c r="C109" s="224">
        <v>83583.112568585304</v>
      </c>
      <c r="D109" s="90">
        <v>106692.94224066148</v>
      </c>
      <c r="E109" s="90">
        <v>59435.184831609862</v>
      </c>
      <c r="F109" s="90">
        <v>59712.520429401506</v>
      </c>
      <c r="G109" s="90">
        <v>57471.931542704624</v>
      </c>
      <c r="H109" s="90">
        <v>60143.221283227183</v>
      </c>
      <c r="I109" s="224">
        <v>72517.79191399776</v>
      </c>
      <c r="J109" s="224">
        <v>50141.680871092081</v>
      </c>
      <c r="K109" s="90">
        <v>45201.627115881325</v>
      </c>
      <c r="L109" s="90">
        <v>45975.491998082187</v>
      </c>
      <c r="M109" s="90">
        <v>42776.953125</v>
      </c>
      <c r="N109" s="224">
        <v>0</v>
      </c>
      <c r="O109" s="224">
        <v>46682.95063402399</v>
      </c>
      <c r="P109" s="224">
        <v>44688.970657167833</v>
      </c>
      <c r="Q109" s="90">
        <v>0</v>
      </c>
      <c r="R109" s="224">
        <v>44688.970657167833</v>
      </c>
      <c r="S109" s="90"/>
    </row>
    <row r="110" spans="1:19" x14ac:dyDescent="0.2">
      <c r="A110" s="216"/>
      <c r="B110" s="225" t="s">
        <v>54</v>
      </c>
      <c r="C110" s="227">
        <v>0.90405441278271859</v>
      </c>
      <c r="D110" s="226">
        <v>-0.55176731054347472</v>
      </c>
      <c r="E110" s="226">
        <v>-2.1644175543747859</v>
      </c>
      <c r="F110" s="226">
        <v>0.40084020530416242</v>
      </c>
      <c r="G110" s="226">
        <v>-1.3145771843884348</v>
      </c>
      <c r="H110" s="226">
        <v>2.1717478865817346</v>
      </c>
      <c r="I110" s="227">
        <v>-7.7438840380816387E-2</v>
      </c>
      <c r="J110" s="227">
        <v>0.48816986804045093</v>
      </c>
      <c r="K110" s="226">
        <v>-10.437906195982864</v>
      </c>
      <c r="L110" s="226">
        <v>0.54292914414238069</v>
      </c>
      <c r="M110" s="226">
        <v>-0.25052676510032362</v>
      </c>
      <c r="N110" s="227">
        <v>0</v>
      </c>
      <c r="O110" s="227">
        <v>-2.6865887039670531</v>
      </c>
      <c r="P110" s="227">
        <v>-0.74337614178779987</v>
      </c>
      <c r="Q110" s="226">
        <v>0</v>
      </c>
      <c r="R110" s="227">
        <v>-0.74337614178779987</v>
      </c>
      <c r="S110" s="230"/>
    </row>
    <row r="111" spans="1:19" x14ac:dyDescent="0.2">
      <c r="A111" s="220" t="s">
        <v>115</v>
      </c>
      <c r="B111" s="214" t="s">
        <v>14</v>
      </c>
      <c r="C111" s="221">
        <v>104880.10045857519</v>
      </c>
      <c r="D111" s="222">
        <v>0</v>
      </c>
      <c r="E111" s="222">
        <v>80386.085236321829</v>
      </c>
      <c r="F111" s="222">
        <v>89722.689160360358</v>
      </c>
      <c r="G111" s="222">
        <v>0</v>
      </c>
      <c r="H111" s="222">
        <v>0</v>
      </c>
      <c r="I111" s="221">
        <v>95418.927701073626</v>
      </c>
      <c r="J111" s="221">
        <v>0</v>
      </c>
      <c r="K111" s="222">
        <v>58478.707629870129</v>
      </c>
      <c r="L111" s="222">
        <v>58411.062288471854</v>
      </c>
      <c r="M111" s="222">
        <v>57940.472627848103</v>
      </c>
      <c r="N111" s="221">
        <v>0</v>
      </c>
      <c r="O111" s="221">
        <v>58366.905191749174</v>
      </c>
      <c r="P111" s="221">
        <v>61578.059739999997</v>
      </c>
      <c r="Q111" s="222">
        <v>0</v>
      </c>
      <c r="R111" s="221">
        <v>61578.059739999997</v>
      </c>
      <c r="S111" s="90"/>
    </row>
    <row r="112" spans="1:19" x14ac:dyDescent="0.2">
      <c r="A112" s="216"/>
      <c r="B112" s="223" t="s">
        <v>16</v>
      </c>
      <c r="C112" s="224">
        <v>106855.40418501293</v>
      </c>
      <c r="D112" s="90">
        <v>0</v>
      </c>
      <c r="E112" s="90">
        <v>81931.38266989011</v>
      </c>
      <c r="F112" s="90">
        <v>90921.118459459467</v>
      </c>
      <c r="G112" s="90">
        <v>0</v>
      </c>
      <c r="H112" s="90">
        <v>0</v>
      </c>
      <c r="I112" s="224">
        <v>97072.467241044782</v>
      </c>
      <c r="J112" s="224">
        <v>0</v>
      </c>
      <c r="K112" s="90">
        <v>60494.964972151902</v>
      </c>
      <c r="L112" s="90">
        <v>59509.659220765025</v>
      </c>
      <c r="M112" s="90">
        <v>59511.427653164559</v>
      </c>
      <c r="N112" s="224">
        <v>0</v>
      </c>
      <c r="O112" s="224">
        <v>59768.063888888886</v>
      </c>
      <c r="P112" s="224">
        <v>60867.073700000001</v>
      </c>
      <c r="Q112" s="90">
        <v>0</v>
      </c>
      <c r="R112" s="224">
        <v>60867.073700000001</v>
      </c>
      <c r="S112" s="90"/>
    </row>
    <row r="113" spans="1:19" x14ac:dyDescent="0.2">
      <c r="A113" s="216"/>
      <c r="B113" s="225" t="s">
        <v>18</v>
      </c>
      <c r="C113" s="227">
        <v>1.8833922906261193</v>
      </c>
      <c r="D113" s="226">
        <v>0</v>
      </c>
      <c r="E113" s="226">
        <v>1.9223444319067928</v>
      </c>
      <c r="F113" s="226">
        <v>1.3357037225636088</v>
      </c>
      <c r="G113" s="226">
        <v>0</v>
      </c>
      <c r="H113" s="226">
        <v>0</v>
      </c>
      <c r="I113" s="227">
        <v>1.7329261392994577</v>
      </c>
      <c r="J113" s="227">
        <v>0</v>
      </c>
      <c r="K113" s="226">
        <v>3.4478486683448799</v>
      </c>
      <c r="L113" s="226">
        <v>1.8808028637924503</v>
      </c>
      <c r="M113" s="226">
        <v>2.7113258730330125</v>
      </c>
      <c r="N113" s="227">
        <v>0</v>
      </c>
      <c r="O113" s="227">
        <v>2.4006047477360197</v>
      </c>
      <c r="P113" s="513">
        <v>-1.1546093576218226</v>
      </c>
      <c r="Q113" s="226">
        <v>0</v>
      </c>
      <c r="R113" s="227">
        <v>-1.1546093576218226</v>
      </c>
      <c r="S113" s="230"/>
    </row>
    <row r="114" spans="1:19" x14ac:dyDescent="0.2">
      <c r="A114" s="216"/>
      <c r="B114" s="214" t="s">
        <v>20</v>
      </c>
      <c r="C114" s="221">
        <v>76048.276668932042</v>
      </c>
      <c r="D114" s="222">
        <v>0</v>
      </c>
      <c r="E114" s="222">
        <v>63652.113879715303</v>
      </c>
      <c r="F114" s="222">
        <v>66698.789339583323</v>
      </c>
      <c r="G114" s="222">
        <v>0</v>
      </c>
      <c r="H114" s="222">
        <v>0</v>
      </c>
      <c r="I114" s="221">
        <v>69662.165112973758</v>
      </c>
      <c r="J114" s="221">
        <v>0</v>
      </c>
      <c r="K114" s="222">
        <v>49249.016180733946</v>
      </c>
      <c r="L114" s="222">
        <v>47019.341111436952</v>
      </c>
      <c r="M114" s="222">
        <v>47935.08638378379</v>
      </c>
      <c r="N114" s="221">
        <v>0</v>
      </c>
      <c r="O114" s="221">
        <v>47891.743360067121</v>
      </c>
      <c r="P114" s="221">
        <v>49410.908539999997</v>
      </c>
      <c r="Q114" s="222">
        <v>0</v>
      </c>
      <c r="R114" s="221">
        <v>49410.908539999997</v>
      </c>
      <c r="S114" s="90"/>
    </row>
    <row r="115" spans="1:19" x14ac:dyDescent="0.2">
      <c r="A115" s="216"/>
      <c r="B115" s="223" t="s">
        <v>22</v>
      </c>
      <c r="C115" s="224">
        <v>78228.740860098522</v>
      </c>
      <c r="D115" s="90">
        <v>0</v>
      </c>
      <c r="E115" s="90">
        <v>64532.876192763157</v>
      </c>
      <c r="F115" s="90">
        <v>69076.451277073167</v>
      </c>
      <c r="G115" s="90">
        <v>0</v>
      </c>
      <c r="H115" s="90">
        <v>0</v>
      </c>
      <c r="I115" s="224">
        <v>71053.42083037975</v>
      </c>
      <c r="J115" s="224">
        <v>0</v>
      </c>
      <c r="K115" s="90">
        <v>49938.896699999998</v>
      </c>
      <c r="L115" s="90">
        <v>48030.448491793315</v>
      </c>
      <c r="M115" s="90">
        <v>49140.222148571433</v>
      </c>
      <c r="N115" s="224">
        <v>0</v>
      </c>
      <c r="O115" s="224">
        <v>48815.894868150688</v>
      </c>
      <c r="P115" s="224">
        <v>49302.314276190475</v>
      </c>
      <c r="Q115" s="90">
        <v>0</v>
      </c>
      <c r="R115" s="224">
        <v>49302.314276190475</v>
      </c>
      <c r="S115" s="90"/>
    </row>
    <row r="116" spans="1:19" x14ac:dyDescent="0.2">
      <c r="A116" s="216"/>
      <c r="B116" s="225" t="s">
        <v>24</v>
      </c>
      <c r="C116" s="227">
        <v>2.8672105229404417</v>
      </c>
      <c r="D116" s="226">
        <v>0</v>
      </c>
      <c r="E116" s="226">
        <v>1.3837125892036324</v>
      </c>
      <c r="F116" s="512">
        <v>3.564775254591896</v>
      </c>
      <c r="G116" s="226">
        <v>0</v>
      </c>
      <c r="H116" s="226">
        <v>0</v>
      </c>
      <c r="I116" s="227">
        <v>1.9971468230275922</v>
      </c>
      <c r="J116" s="227">
        <v>0</v>
      </c>
      <c r="K116" s="226">
        <v>1.4008006103803756</v>
      </c>
      <c r="L116" s="226">
        <v>2.1504073780192168</v>
      </c>
      <c r="M116" s="226">
        <v>2.5140994951775757</v>
      </c>
      <c r="N116" s="227">
        <v>0</v>
      </c>
      <c r="O116" s="227">
        <v>1.9296677114789245</v>
      </c>
      <c r="P116" s="227">
        <v>-0.21977791345733086</v>
      </c>
      <c r="Q116" s="226">
        <v>0</v>
      </c>
      <c r="R116" s="227">
        <v>-0.21977791345733086</v>
      </c>
      <c r="S116" s="230"/>
    </row>
    <row r="117" spans="1:19" x14ac:dyDescent="0.2">
      <c r="A117" s="216"/>
      <c r="B117" s="214" t="s">
        <v>26</v>
      </c>
      <c r="C117" s="221">
        <v>64989.15304034188</v>
      </c>
      <c r="D117" s="222">
        <v>0</v>
      </c>
      <c r="E117" s="222">
        <v>53997.603959869499</v>
      </c>
      <c r="F117" s="222">
        <v>58875.751162105262</v>
      </c>
      <c r="G117" s="222">
        <v>0</v>
      </c>
      <c r="H117" s="222">
        <v>0</v>
      </c>
      <c r="I117" s="221">
        <v>59297.967202305474</v>
      </c>
      <c r="J117" s="221">
        <v>0</v>
      </c>
      <c r="K117" s="222">
        <v>42873.134978378381</v>
      </c>
      <c r="L117" s="222">
        <v>40289.991255033558</v>
      </c>
      <c r="M117" s="222">
        <v>40942.131662500004</v>
      </c>
      <c r="N117" s="221">
        <v>0</v>
      </c>
      <c r="O117" s="221">
        <v>41133.451012552301</v>
      </c>
      <c r="P117" s="221">
        <v>44244.25603783784</v>
      </c>
      <c r="Q117" s="222">
        <v>0</v>
      </c>
      <c r="R117" s="221">
        <v>44244.25603783784</v>
      </c>
      <c r="S117" s="90"/>
    </row>
    <row r="118" spans="1:19" x14ac:dyDescent="0.2">
      <c r="A118" s="216"/>
      <c r="B118" s="223" t="s">
        <v>28</v>
      </c>
      <c r="C118" s="224">
        <v>66575.857431932774</v>
      </c>
      <c r="D118" s="90">
        <v>0</v>
      </c>
      <c r="E118" s="90">
        <v>54369.890693883353</v>
      </c>
      <c r="F118" s="90">
        <v>60552.154655056176</v>
      </c>
      <c r="G118" s="90">
        <v>0</v>
      </c>
      <c r="H118" s="90">
        <v>0</v>
      </c>
      <c r="I118" s="224">
        <v>60035.875242818431</v>
      </c>
      <c r="J118" s="224">
        <v>0</v>
      </c>
      <c r="K118" s="90">
        <v>44111.146864285714</v>
      </c>
      <c r="L118" s="90">
        <v>40919.929538562094</v>
      </c>
      <c r="M118" s="90">
        <v>43826.688273684216</v>
      </c>
      <c r="N118" s="224">
        <v>0</v>
      </c>
      <c r="O118" s="224">
        <v>41945.967197368416</v>
      </c>
      <c r="P118" s="224">
        <v>44613.446860000004</v>
      </c>
      <c r="Q118" s="90">
        <v>0</v>
      </c>
      <c r="R118" s="224">
        <v>44613.446860000004</v>
      </c>
      <c r="S118" s="90"/>
    </row>
    <row r="119" spans="1:19" x14ac:dyDescent="0.2">
      <c r="A119" s="216"/>
      <c r="B119" s="225" t="s">
        <v>30</v>
      </c>
      <c r="C119" s="227">
        <v>2.4414911063788614</v>
      </c>
      <c r="D119" s="226">
        <v>0</v>
      </c>
      <c r="E119" s="226">
        <v>0.68945046948848787</v>
      </c>
      <c r="F119" s="226">
        <v>2.8473581395763374</v>
      </c>
      <c r="G119" s="226">
        <v>0</v>
      </c>
      <c r="H119" s="226">
        <v>0</v>
      </c>
      <c r="I119" s="227">
        <v>1.2444069760358794</v>
      </c>
      <c r="J119" s="227">
        <v>0</v>
      </c>
      <c r="K119" s="226">
        <v>2.8876168876656285</v>
      </c>
      <c r="L119" s="226">
        <v>1.5635105988012241</v>
      </c>
      <c r="M119" s="512">
        <v>7.0454480361760341</v>
      </c>
      <c r="N119" s="227">
        <v>0</v>
      </c>
      <c r="O119" s="227">
        <v>1.9753173264459805</v>
      </c>
      <c r="P119" s="227">
        <v>0.8344378575298681</v>
      </c>
      <c r="Q119" s="226">
        <v>0</v>
      </c>
      <c r="R119" s="227">
        <v>0.8344378575298681</v>
      </c>
      <c r="S119" s="230"/>
    </row>
    <row r="120" spans="1:19" x14ac:dyDescent="0.2">
      <c r="A120" s="216"/>
      <c r="B120" s="214" t="s">
        <v>32</v>
      </c>
      <c r="C120" s="221">
        <v>50868.498442553195</v>
      </c>
      <c r="D120" s="222">
        <v>0</v>
      </c>
      <c r="E120" s="222">
        <v>42277.778252434458</v>
      </c>
      <c r="F120" s="222">
        <v>43837.6633</v>
      </c>
      <c r="G120" s="222">
        <v>0</v>
      </c>
      <c r="H120" s="222">
        <v>0</v>
      </c>
      <c r="I120" s="221">
        <v>44482.54244432717</v>
      </c>
      <c r="J120" s="221">
        <v>0</v>
      </c>
      <c r="K120" s="222">
        <v>39638.886736363638</v>
      </c>
      <c r="L120" s="222">
        <v>36785.494027983535</v>
      </c>
      <c r="M120" s="222">
        <v>38857.099935999999</v>
      </c>
      <c r="N120" s="221">
        <v>0</v>
      </c>
      <c r="O120" s="221">
        <v>37504.39841856288</v>
      </c>
      <c r="P120" s="221">
        <v>38518.710143661971</v>
      </c>
      <c r="Q120" s="222">
        <v>0</v>
      </c>
      <c r="R120" s="221">
        <v>38518.710143661971</v>
      </c>
      <c r="S120" s="90"/>
    </row>
    <row r="121" spans="1:19" x14ac:dyDescent="0.2">
      <c r="A121" s="216"/>
      <c r="B121" s="223" t="s">
        <v>34</v>
      </c>
      <c r="C121" s="224">
        <v>51386.941247058821</v>
      </c>
      <c r="D121" s="90">
        <v>0</v>
      </c>
      <c r="E121" s="90">
        <v>42656.768524832216</v>
      </c>
      <c r="F121" s="90">
        <v>42677.810235294113</v>
      </c>
      <c r="G121" s="90">
        <v>0</v>
      </c>
      <c r="H121" s="90">
        <v>0</v>
      </c>
      <c r="I121" s="224">
        <v>44793.064272422067</v>
      </c>
      <c r="J121" s="224">
        <v>0</v>
      </c>
      <c r="K121" s="90">
        <v>40283.297955555558</v>
      </c>
      <c r="L121" s="90">
        <v>37649.295580291968</v>
      </c>
      <c r="M121" s="90">
        <v>38877.028184615381</v>
      </c>
      <c r="N121" s="224">
        <v>0</v>
      </c>
      <c r="O121" s="224">
        <v>38338.991122564097</v>
      </c>
      <c r="P121" s="224">
        <v>39055.863666666672</v>
      </c>
      <c r="Q121" s="90">
        <v>0</v>
      </c>
      <c r="R121" s="224">
        <v>39055.863666666672</v>
      </c>
      <c r="S121" s="90"/>
    </row>
    <row r="122" spans="1:19" x14ac:dyDescent="0.2">
      <c r="A122" s="216"/>
      <c r="B122" s="225" t="s">
        <v>36</v>
      </c>
      <c r="C122" s="227">
        <v>1.0191824417445983</v>
      </c>
      <c r="D122" s="226">
        <v>0</v>
      </c>
      <c r="E122" s="226">
        <v>0.89642901794616969</v>
      </c>
      <c r="F122" s="512">
        <v>-2.6457912612004733</v>
      </c>
      <c r="G122" s="226">
        <v>0</v>
      </c>
      <c r="H122" s="226">
        <v>0</v>
      </c>
      <c r="I122" s="227">
        <v>0.69807571921846867</v>
      </c>
      <c r="J122" s="227">
        <v>0</v>
      </c>
      <c r="K122" s="226">
        <v>1.6257046356469795</v>
      </c>
      <c r="L122" s="226">
        <v>2.3482124547554517</v>
      </c>
      <c r="M122" s="226">
        <v>5.1285990586547904E-2</v>
      </c>
      <c r="N122" s="227">
        <v>0</v>
      </c>
      <c r="O122" s="227">
        <v>2.2253195336900382</v>
      </c>
      <c r="P122" s="227">
        <v>1.3945262471180817</v>
      </c>
      <c r="Q122" s="226">
        <v>0</v>
      </c>
      <c r="R122" s="227">
        <v>1.3945262471180817</v>
      </c>
      <c r="S122" s="230"/>
    </row>
    <row r="123" spans="1:19" x14ac:dyDescent="0.2">
      <c r="A123" s="216"/>
      <c r="B123" s="214" t="s">
        <v>38</v>
      </c>
      <c r="C123" s="221">
        <v>48689.083882894738</v>
      </c>
      <c r="D123" s="222">
        <v>0</v>
      </c>
      <c r="E123" s="222">
        <v>48461.324489361708</v>
      </c>
      <c r="F123" s="222">
        <v>44473.221907692307</v>
      </c>
      <c r="G123" s="222">
        <v>0</v>
      </c>
      <c r="H123" s="222">
        <v>0</v>
      </c>
      <c r="I123" s="221">
        <v>47532.937589254769</v>
      </c>
      <c r="J123" s="221">
        <v>0</v>
      </c>
      <c r="K123" s="222">
        <v>0</v>
      </c>
      <c r="L123" s="222">
        <v>0</v>
      </c>
      <c r="M123" s="222">
        <v>0</v>
      </c>
      <c r="N123" s="221">
        <v>0</v>
      </c>
      <c r="O123" s="221">
        <v>0</v>
      </c>
      <c r="P123" s="221">
        <v>0</v>
      </c>
      <c r="Q123" s="222">
        <v>0</v>
      </c>
      <c r="R123" s="221">
        <v>0</v>
      </c>
      <c r="S123" s="90"/>
    </row>
    <row r="124" spans="1:19" x14ac:dyDescent="0.2">
      <c r="A124" s="216"/>
      <c r="B124" s="223" t="s">
        <v>40</v>
      </c>
      <c r="C124" s="224">
        <v>44669.691423204422</v>
      </c>
      <c r="D124" s="90">
        <v>0</v>
      </c>
      <c r="E124" s="90">
        <v>46668.258206329112</v>
      </c>
      <c r="F124" s="90">
        <v>45481.773786503065</v>
      </c>
      <c r="G124" s="90">
        <v>0</v>
      </c>
      <c r="H124" s="90">
        <v>0</v>
      </c>
      <c r="I124" s="224">
        <v>45562.40651673307</v>
      </c>
      <c r="J124" s="224">
        <v>0</v>
      </c>
      <c r="K124" s="90">
        <v>0</v>
      </c>
      <c r="L124" s="90">
        <v>0</v>
      </c>
      <c r="M124" s="90">
        <v>0</v>
      </c>
      <c r="N124" s="224">
        <v>0</v>
      </c>
      <c r="O124" s="224">
        <v>0</v>
      </c>
      <c r="P124" s="224">
        <v>0</v>
      </c>
      <c r="Q124" s="90">
        <v>0</v>
      </c>
      <c r="R124" s="224">
        <v>0</v>
      </c>
      <c r="S124" s="90"/>
    </row>
    <row r="125" spans="1:19" x14ac:dyDescent="0.2">
      <c r="A125" s="216"/>
      <c r="B125" s="225" t="s">
        <v>42</v>
      </c>
      <c r="C125" s="227">
        <v>-8.2552230174583219</v>
      </c>
      <c r="D125" s="226">
        <v>0</v>
      </c>
      <c r="E125" s="226">
        <v>-3.6999943809340428</v>
      </c>
      <c r="F125" s="226">
        <v>2.2677733601223848</v>
      </c>
      <c r="G125" s="226">
        <v>0</v>
      </c>
      <c r="H125" s="226">
        <v>0</v>
      </c>
      <c r="I125" s="227">
        <v>-4.1456118061744922</v>
      </c>
      <c r="J125" s="227">
        <v>0</v>
      </c>
      <c r="K125" s="226">
        <v>0</v>
      </c>
      <c r="L125" s="226">
        <v>0</v>
      </c>
      <c r="M125" s="226">
        <v>0</v>
      </c>
      <c r="N125" s="227">
        <v>0</v>
      </c>
      <c r="O125" s="227">
        <v>0</v>
      </c>
      <c r="P125" s="227">
        <v>0</v>
      </c>
      <c r="Q125" s="226">
        <v>0</v>
      </c>
      <c r="R125" s="227">
        <v>0</v>
      </c>
      <c r="S125" s="230"/>
    </row>
    <row r="126" spans="1:19" x14ac:dyDescent="0.2">
      <c r="A126" s="216"/>
      <c r="B126" s="214" t="s">
        <v>44</v>
      </c>
      <c r="C126" s="221">
        <v>0</v>
      </c>
      <c r="D126" s="222">
        <v>0</v>
      </c>
      <c r="E126" s="222">
        <v>0</v>
      </c>
      <c r="F126" s="222">
        <v>0</v>
      </c>
      <c r="G126" s="222">
        <v>0</v>
      </c>
      <c r="H126" s="222">
        <v>0</v>
      </c>
      <c r="I126" s="221">
        <v>0</v>
      </c>
      <c r="J126" s="221">
        <v>0</v>
      </c>
      <c r="K126" s="222">
        <v>0</v>
      </c>
      <c r="L126" s="222">
        <v>0</v>
      </c>
      <c r="M126" s="222">
        <v>0</v>
      </c>
      <c r="N126" s="221">
        <v>0</v>
      </c>
      <c r="O126" s="221">
        <v>0</v>
      </c>
      <c r="P126" s="221">
        <v>0</v>
      </c>
      <c r="Q126" s="222">
        <v>0</v>
      </c>
      <c r="R126" s="221">
        <v>0</v>
      </c>
      <c r="S126" s="90"/>
    </row>
    <row r="127" spans="1:19" x14ac:dyDescent="0.2">
      <c r="A127" s="216"/>
      <c r="B127" s="223" t="s">
        <v>46</v>
      </c>
      <c r="C127" s="224">
        <v>0</v>
      </c>
      <c r="D127" s="90">
        <v>0</v>
      </c>
      <c r="E127" s="90">
        <v>0</v>
      </c>
      <c r="F127" s="90">
        <v>0</v>
      </c>
      <c r="G127" s="90">
        <v>0</v>
      </c>
      <c r="H127" s="90">
        <v>0</v>
      </c>
      <c r="I127" s="224">
        <v>0</v>
      </c>
      <c r="J127" s="224">
        <v>0</v>
      </c>
      <c r="K127" s="90">
        <v>0</v>
      </c>
      <c r="L127" s="90">
        <v>0</v>
      </c>
      <c r="M127" s="90">
        <v>0</v>
      </c>
      <c r="N127" s="224">
        <v>0</v>
      </c>
      <c r="O127" s="224">
        <v>0</v>
      </c>
      <c r="P127" s="224">
        <v>0</v>
      </c>
      <c r="Q127" s="90">
        <v>0</v>
      </c>
      <c r="R127" s="224">
        <v>0</v>
      </c>
      <c r="S127" s="90"/>
    </row>
    <row r="128" spans="1:19" x14ac:dyDescent="0.2">
      <c r="A128" s="216"/>
      <c r="B128" s="225" t="s">
        <v>48</v>
      </c>
      <c r="C128" s="227">
        <v>0</v>
      </c>
      <c r="D128" s="226">
        <v>0</v>
      </c>
      <c r="E128" s="226">
        <v>0</v>
      </c>
      <c r="F128" s="226">
        <v>0</v>
      </c>
      <c r="G128" s="226">
        <v>0</v>
      </c>
      <c r="H128" s="226">
        <v>0</v>
      </c>
      <c r="I128" s="227">
        <v>0</v>
      </c>
      <c r="J128" s="227">
        <v>0</v>
      </c>
      <c r="K128" s="226">
        <v>0</v>
      </c>
      <c r="L128" s="226">
        <v>0</v>
      </c>
      <c r="M128" s="226">
        <v>0</v>
      </c>
      <c r="N128" s="227">
        <v>0</v>
      </c>
      <c r="O128" s="227">
        <v>0</v>
      </c>
      <c r="P128" s="227">
        <v>0</v>
      </c>
      <c r="Q128" s="226">
        <v>0</v>
      </c>
      <c r="R128" s="227">
        <v>0</v>
      </c>
      <c r="S128" s="230"/>
    </row>
    <row r="129" spans="1:19" x14ac:dyDescent="0.2">
      <c r="A129" s="216"/>
      <c r="B129" s="214" t="s">
        <v>50</v>
      </c>
      <c r="C129" s="221">
        <v>80062.521640869963</v>
      </c>
      <c r="D129" s="222">
        <v>0</v>
      </c>
      <c r="E129" s="222">
        <v>59655.037797591482</v>
      </c>
      <c r="F129" s="222">
        <v>62844.843185015299</v>
      </c>
      <c r="G129" s="222">
        <v>0</v>
      </c>
      <c r="H129" s="222">
        <v>0</v>
      </c>
      <c r="I129" s="221">
        <v>69042.577551673297</v>
      </c>
      <c r="J129" s="221">
        <v>0</v>
      </c>
      <c r="K129" s="222">
        <v>49864.814483203125</v>
      </c>
      <c r="L129" s="222">
        <v>47706.153072694397</v>
      </c>
      <c r="M129" s="222">
        <v>50811.44674394904</v>
      </c>
      <c r="N129" s="221">
        <v>0</v>
      </c>
      <c r="O129" s="221">
        <v>48603.485888788731</v>
      </c>
      <c r="P129" s="221">
        <v>44076.473624050632</v>
      </c>
      <c r="Q129" s="222">
        <v>0</v>
      </c>
      <c r="R129" s="221">
        <v>44076.473624050632</v>
      </c>
      <c r="S129" s="90"/>
    </row>
    <row r="130" spans="1:19" x14ac:dyDescent="0.2">
      <c r="A130" s="216"/>
      <c r="B130" s="223" t="s">
        <v>52</v>
      </c>
      <c r="C130" s="224">
        <v>81064.44199460416</v>
      </c>
      <c r="D130" s="90">
        <v>0</v>
      </c>
      <c r="E130" s="90">
        <v>60676.013868046815</v>
      </c>
      <c r="F130" s="90">
        <v>64050.819125519272</v>
      </c>
      <c r="G130" s="90">
        <v>0</v>
      </c>
      <c r="H130" s="90">
        <v>0</v>
      </c>
      <c r="I130" s="224">
        <v>70056.051629862312</v>
      </c>
      <c r="J130" s="224">
        <v>0</v>
      </c>
      <c r="K130" s="90">
        <v>50840.615992366409</v>
      </c>
      <c r="L130" s="90">
        <v>48270.239783422468</v>
      </c>
      <c r="M130" s="90">
        <v>51980.002325786169</v>
      </c>
      <c r="N130" s="224">
        <v>0</v>
      </c>
      <c r="O130" s="224">
        <v>49343.220048088646</v>
      </c>
      <c r="P130" s="224">
        <v>44564.229773493978</v>
      </c>
      <c r="Q130" s="90">
        <v>0</v>
      </c>
      <c r="R130" s="224">
        <v>44564.229773493978</v>
      </c>
      <c r="S130" s="90"/>
    </row>
    <row r="131" spans="1:19" x14ac:dyDescent="0.2">
      <c r="A131" s="216"/>
      <c r="B131" s="225" t="s">
        <v>54</v>
      </c>
      <c r="C131" s="227">
        <v>1.2514224298710328</v>
      </c>
      <c r="D131" s="226">
        <v>0</v>
      </c>
      <c r="E131" s="226">
        <v>1.7114666391118349</v>
      </c>
      <c r="F131" s="226">
        <v>1.9189735853959862</v>
      </c>
      <c r="G131" s="226">
        <v>0</v>
      </c>
      <c r="H131" s="226">
        <v>0</v>
      </c>
      <c r="I131" s="227">
        <v>1.4678972224501659</v>
      </c>
      <c r="J131" s="227">
        <v>0</v>
      </c>
      <c r="K131" s="226">
        <v>1.9568938925702435</v>
      </c>
      <c r="L131" s="226">
        <v>1.1824191941624793</v>
      </c>
      <c r="M131" s="226">
        <v>2.2997880531246393</v>
      </c>
      <c r="N131" s="227">
        <v>0</v>
      </c>
      <c r="O131" s="227">
        <v>1.5219775820041492</v>
      </c>
      <c r="P131" s="227">
        <v>1.106613368400686</v>
      </c>
      <c r="Q131" s="226">
        <v>0</v>
      </c>
      <c r="R131" s="227">
        <v>1.106613368400686</v>
      </c>
      <c r="S131" s="230"/>
    </row>
    <row r="132" spans="1:19" x14ac:dyDescent="0.2">
      <c r="A132" s="220" t="s">
        <v>76</v>
      </c>
      <c r="B132" s="214" t="s">
        <v>14</v>
      </c>
      <c r="C132" s="221">
        <v>110371.4612013986</v>
      </c>
      <c r="D132" s="222">
        <v>92609.639215730334</v>
      </c>
      <c r="E132" s="222">
        <v>77867.110492203399</v>
      </c>
      <c r="F132" s="222">
        <v>72272.364383064516</v>
      </c>
      <c r="G132" s="222">
        <v>0</v>
      </c>
      <c r="H132" s="222">
        <v>60118.385550000006</v>
      </c>
      <c r="I132" s="221">
        <v>90812.388790356083</v>
      </c>
      <c r="J132" s="221">
        <v>0</v>
      </c>
      <c r="K132" s="222">
        <v>78594.205828947364</v>
      </c>
      <c r="L132" s="222">
        <v>55962.317900000002</v>
      </c>
      <c r="M132" s="222">
        <v>53192.893199999999</v>
      </c>
      <c r="N132" s="221">
        <v>0</v>
      </c>
      <c r="O132" s="221">
        <v>69653.545229268304</v>
      </c>
      <c r="P132" s="221">
        <v>0</v>
      </c>
      <c r="Q132" s="222">
        <v>0</v>
      </c>
      <c r="R132" s="221">
        <v>0</v>
      </c>
      <c r="S132" s="90"/>
    </row>
    <row r="133" spans="1:19" x14ac:dyDescent="0.2">
      <c r="A133" s="216"/>
      <c r="B133" s="223" t="s">
        <v>16</v>
      </c>
      <c r="C133" s="224">
        <v>109545.88376470588</v>
      </c>
      <c r="D133" s="90">
        <v>92190.136563953492</v>
      </c>
      <c r="E133" s="90">
        <v>78784.35028082192</v>
      </c>
      <c r="F133" s="90">
        <v>71544.342466375543</v>
      </c>
      <c r="G133" s="90">
        <v>0</v>
      </c>
      <c r="H133" s="90">
        <v>62060.08964705882</v>
      </c>
      <c r="I133" s="224">
        <v>90582.816887441848</v>
      </c>
      <c r="J133" s="224">
        <v>0</v>
      </c>
      <c r="K133" s="90">
        <v>78542.045436619708</v>
      </c>
      <c r="L133" s="90">
        <v>64910.004112820512</v>
      </c>
      <c r="M133" s="90">
        <v>49266.900828571423</v>
      </c>
      <c r="N133" s="224">
        <v>0</v>
      </c>
      <c r="O133" s="224">
        <v>70949.290306451614</v>
      </c>
      <c r="P133" s="224">
        <v>43067.790122352941</v>
      </c>
      <c r="Q133" s="90">
        <v>0</v>
      </c>
      <c r="R133" s="224">
        <v>43067.790122352941</v>
      </c>
      <c r="S133" s="90"/>
    </row>
    <row r="134" spans="1:19" x14ac:dyDescent="0.2">
      <c r="A134" s="216"/>
      <c r="B134" s="225" t="s">
        <v>18</v>
      </c>
      <c r="C134" s="227">
        <v>-0.74799900962284271</v>
      </c>
      <c r="D134" s="226">
        <v>-0.45297946879981665</v>
      </c>
      <c r="E134" s="512">
        <v>1.1779553431745247</v>
      </c>
      <c r="F134" s="226">
        <v>-1.0073309803872548</v>
      </c>
      <c r="G134" s="226">
        <v>0</v>
      </c>
      <c r="H134" s="226">
        <v>3.2298007993643019</v>
      </c>
      <c r="I134" s="227">
        <v>-0.25279800033034072</v>
      </c>
      <c r="J134" s="227">
        <v>0</v>
      </c>
      <c r="K134" s="512">
        <v>-6.6366714667463106E-2</v>
      </c>
      <c r="L134" s="512">
        <v>15.98876985190156</v>
      </c>
      <c r="M134" s="512">
        <v>-7.3806708664393081</v>
      </c>
      <c r="N134" s="227">
        <v>0</v>
      </c>
      <c r="O134" s="227">
        <v>1.8602715381080703</v>
      </c>
      <c r="P134" s="513">
        <v>0</v>
      </c>
      <c r="Q134" s="226">
        <v>0</v>
      </c>
      <c r="R134" s="227">
        <v>0</v>
      </c>
      <c r="S134" s="230"/>
    </row>
    <row r="135" spans="1:19" x14ac:dyDescent="0.2">
      <c r="A135" s="216"/>
      <c r="B135" s="214" t="s">
        <v>20</v>
      </c>
      <c r="C135" s="221">
        <v>78092.475473400671</v>
      </c>
      <c r="D135" s="222">
        <v>70354.94346783626</v>
      </c>
      <c r="E135" s="222">
        <v>65813.779988811191</v>
      </c>
      <c r="F135" s="222">
        <v>59278.728357491294</v>
      </c>
      <c r="G135" s="222">
        <v>0</v>
      </c>
      <c r="H135" s="222">
        <v>47366.956821428568</v>
      </c>
      <c r="I135" s="221">
        <v>68078.118377419363</v>
      </c>
      <c r="J135" s="221">
        <v>0</v>
      </c>
      <c r="K135" s="222">
        <v>61144.436852631581</v>
      </c>
      <c r="L135" s="222">
        <v>50105.781994444449</v>
      </c>
      <c r="M135" s="222">
        <v>49059.907590697672</v>
      </c>
      <c r="N135" s="221">
        <v>0</v>
      </c>
      <c r="O135" s="221">
        <v>55874.17057011494</v>
      </c>
      <c r="P135" s="221">
        <v>0</v>
      </c>
      <c r="Q135" s="222">
        <v>0</v>
      </c>
      <c r="R135" s="221">
        <v>0</v>
      </c>
      <c r="S135" s="90"/>
    </row>
    <row r="136" spans="1:19" x14ac:dyDescent="0.2">
      <c r="A136" s="216"/>
      <c r="B136" s="223" t="s">
        <v>22</v>
      </c>
      <c r="C136" s="224">
        <v>78856.801085234896</v>
      </c>
      <c r="D136" s="90">
        <v>69635.856395705516</v>
      </c>
      <c r="E136" s="90">
        <v>66568.446000704222</v>
      </c>
      <c r="F136" s="90">
        <v>58562.442978245614</v>
      </c>
      <c r="G136" s="90">
        <v>0</v>
      </c>
      <c r="H136" s="90">
        <v>48170.680393939394</v>
      </c>
      <c r="I136" s="224">
        <v>68014.668249918424</v>
      </c>
      <c r="J136" s="224">
        <v>0</v>
      </c>
      <c r="K136" s="90">
        <v>61680.048303921569</v>
      </c>
      <c r="L136" s="90">
        <v>56835.156333333332</v>
      </c>
      <c r="M136" s="90">
        <v>46905.44670869565</v>
      </c>
      <c r="N136" s="224">
        <v>0</v>
      </c>
      <c r="O136" s="224">
        <v>57038.484258695644</v>
      </c>
      <c r="P136" s="224">
        <v>39831.583844444445</v>
      </c>
      <c r="Q136" s="90">
        <v>0</v>
      </c>
      <c r="R136" s="224">
        <v>39831.583844444445</v>
      </c>
      <c r="S136" s="90"/>
    </row>
    <row r="137" spans="1:19" x14ac:dyDescent="0.2">
      <c r="A137" s="216"/>
      <c r="B137" s="225" t="s">
        <v>24</v>
      </c>
      <c r="C137" s="227">
        <v>0.97874424802241611</v>
      </c>
      <c r="D137" s="226">
        <v>-1.0220846420827334</v>
      </c>
      <c r="E137" s="512">
        <v>1.1466686946431719</v>
      </c>
      <c r="F137" s="226">
        <v>-1.2083345899830877</v>
      </c>
      <c r="G137" s="226">
        <v>0</v>
      </c>
      <c r="H137" s="226">
        <v>1.6968022149719895</v>
      </c>
      <c r="I137" s="227">
        <v>-9.3201940672297465E-2</v>
      </c>
      <c r="J137" s="227">
        <v>0</v>
      </c>
      <c r="K137" s="512">
        <v>0.87597740507595423</v>
      </c>
      <c r="L137" s="512">
        <v>13.430334925488266</v>
      </c>
      <c r="M137" s="512">
        <v>-4.3914898902307202</v>
      </c>
      <c r="N137" s="227">
        <v>0</v>
      </c>
      <c r="O137" s="227">
        <v>2.0838138207700796</v>
      </c>
      <c r="P137" s="513">
        <v>0</v>
      </c>
      <c r="Q137" s="226">
        <v>0</v>
      </c>
      <c r="R137" s="227">
        <v>0</v>
      </c>
      <c r="S137" s="230"/>
    </row>
    <row r="138" spans="1:19" x14ac:dyDescent="0.2">
      <c r="A138" s="216"/>
      <c r="B138" s="214" t="s">
        <v>26</v>
      </c>
      <c r="C138" s="221">
        <v>69235.887364028778</v>
      </c>
      <c r="D138" s="222">
        <v>60126.92549972752</v>
      </c>
      <c r="E138" s="222">
        <v>56650.663425519291</v>
      </c>
      <c r="F138" s="222">
        <v>51669.645381096409</v>
      </c>
      <c r="G138" s="222">
        <v>0</v>
      </c>
      <c r="H138" s="222">
        <v>46031.747488888883</v>
      </c>
      <c r="I138" s="221">
        <v>57786.565763542341</v>
      </c>
      <c r="J138" s="221">
        <v>0</v>
      </c>
      <c r="K138" s="222">
        <v>60773.265053521136</v>
      </c>
      <c r="L138" s="222">
        <v>42199.823363636366</v>
      </c>
      <c r="M138" s="222">
        <v>43269.9058358209</v>
      </c>
      <c r="N138" s="221">
        <v>0</v>
      </c>
      <c r="O138" s="221">
        <v>52907.824334387355</v>
      </c>
      <c r="P138" s="221">
        <v>53078.270400000001</v>
      </c>
      <c r="Q138" s="222">
        <v>0</v>
      </c>
      <c r="R138" s="221">
        <v>53078.270400000001</v>
      </c>
      <c r="S138" s="90"/>
    </row>
    <row r="139" spans="1:19" x14ac:dyDescent="0.2">
      <c r="A139" s="216"/>
      <c r="B139" s="223" t="s">
        <v>28</v>
      </c>
      <c r="C139" s="224">
        <v>69201.331504761911</v>
      </c>
      <c r="D139" s="90">
        <v>59942.395000579716</v>
      </c>
      <c r="E139" s="90">
        <v>57691.724913157894</v>
      </c>
      <c r="F139" s="90">
        <v>51891.033630103098</v>
      </c>
      <c r="G139" s="90">
        <v>0</v>
      </c>
      <c r="H139" s="90">
        <v>46075.554285714286</v>
      </c>
      <c r="I139" s="224">
        <v>58013.329977902882</v>
      </c>
      <c r="J139" s="224">
        <v>0</v>
      </c>
      <c r="K139" s="90">
        <v>56961.514662857138</v>
      </c>
      <c r="L139" s="90">
        <v>50109.055555555555</v>
      </c>
      <c r="M139" s="90">
        <v>43218.455914285711</v>
      </c>
      <c r="N139" s="224">
        <v>0</v>
      </c>
      <c r="O139" s="224">
        <v>52048.089295934958</v>
      </c>
      <c r="P139" s="224">
        <v>41292.288472222222</v>
      </c>
      <c r="Q139" s="90">
        <v>0</v>
      </c>
      <c r="R139" s="224">
        <v>41292.288472222222</v>
      </c>
      <c r="S139" s="90"/>
    </row>
    <row r="140" spans="1:19" x14ac:dyDescent="0.2">
      <c r="A140" s="216"/>
      <c r="B140" s="225" t="s">
        <v>30</v>
      </c>
      <c r="C140" s="227">
        <v>-4.9910329140695008E-2</v>
      </c>
      <c r="D140" s="226">
        <v>-0.3069016045875162</v>
      </c>
      <c r="E140" s="512">
        <v>1.8376863123718299</v>
      </c>
      <c r="F140" s="226">
        <v>0.42846868286749623</v>
      </c>
      <c r="G140" s="226">
        <v>0</v>
      </c>
      <c r="H140" s="226">
        <v>9.516648664267556E-2</v>
      </c>
      <c r="I140" s="227">
        <v>0.39241683835035374</v>
      </c>
      <c r="J140" s="227">
        <v>0</v>
      </c>
      <c r="K140" s="512">
        <v>-6.2720842582788778</v>
      </c>
      <c r="L140" s="512">
        <v>18.742334828667985</v>
      </c>
      <c r="M140" s="512">
        <v>-0.11890463023054947</v>
      </c>
      <c r="N140" s="227">
        <v>0</v>
      </c>
      <c r="O140" s="227">
        <v>-1.6249676664432648</v>
      </c>
      <c r="P140" s="513">
        <v>-22.204909540115267</v>
      </c>
      <c r="Q140" s="226">
        <v>0</v>
      </c>
      <c r="R140" s="227">
        <v>-22.204909540115267</v>
      </c>
      <c r="S140" s="230"/>
    </row>
    <row r="141" spans="1:19" x14ac:dyDescent="0.2">
      <c r="A141" s="216"/>
      <c r="B141" s="214" t="s">
        <v>32</v>
      </c>
      <c r="C141" s="221">
        <v>43912.270076995308</v>
      </c>
      <c r="D141" s="222">
        <v>42829.302763333333</v>
      </c>
      <c r="E141" s="222">
        <v>42393.650379870131</v>
      </c>
      <c r="F141" s="222">
        <v>40891.092090178572</v>
      </c>
      <c r="G141" s="222">
        <v>0</v>
      </c>
      <c r="H141" s="222">
        <v>38955</v>
      </c>
      <c r="I141" s="221">
        <v>42462.540926843103</v>
      </c>
      <c r="J141" s="221">
        <v>0</v>
      </c>
      <c r="K141" s="222">
        <v>48035.276890322573</v>
      </c>
      <c r="L141" s="222">
        <v>38866.671387719303</v>
      </c>
      <c r="M141" s="222">
        <v>36994.990340229881</v>
      </c>
      <c r="N141" s="221">
        <v>0</v>
      </c>
      <c r="O141" s="221">
        <v>42852.522479069768</v>
      </c>
      <c r="P141" s="221">
        <v>37556.669825531921</v>
      </c>
      <c r="Q141" s="222">
        <v>0</v>
      </c>
      <c r="R141" s="221">
        <v>37556.669825531921</v>
      </c>
      <c r="S141" s="90"/>
    </row>
    <row r="142" spans="1:19" x14ac:dyDescent="0.2">
      <c r="A142" s="216"/>
      <c r="B142" s="223" t="s">
        <v>34</v>
      </c>
      <c r="C142" s="224">
        <v>44098.75939259259</v>
      </c>
      <c r="D142" s="90">
        <v>42297.024710638296</v>
      </c>
      <c r="E142" s="90">
        <v>45026.05462822086</v>
      </c>
      <c r="F142" s="90">
        <v>40730.366793415633</v>
      </c>
      <c r="G142" s="90">
        <v>0</v>
      </c>
      <c r="H142" s="90">
        <v>39224</v>
      </c>
      <c r="I142" s="224">
        <v>43076.799460190479</v>
      </c>
      <c r="J142" s="224">
        <v>0</v>
      </c>
      <c r="K142" s="90">
        <v>47309.626957575754</v>
      </c>
      <c r="L142" s="90">
        <v>43982.853366896547</v>
      </c>
      <c r="M142" s="90">
        <v>37238.667428037385</v>
      </c>
      <c r="N142" s="224">
        <v>0</v>
      </c>
      <c r="O142" s="224">
        <v>44079.865383436852</v>
      </c>
      <c r="P142" s="224">
        <v>36556.390779741385</v>
      </c>
      <c r="Q142" s="90">
        <v>0</v>
      </c>
      <c r="R142" s="224">
        <v>36556.390779741385</v>
      </c>
      <c r="S142" s="90"/>
    </row>
    <row r="143" spans="1:19" x14ac:dyDescent="0.2">
      <c r="A143" s="216"/>
      <c r="B143" s="225" t="s">
        <v>36</v>
      </c>
      <c r="C143" s="227">
        <v>0.42468611909676701</v>
      </c>
      <c r="D143" s="226">
        <v>-1.2427894416967413</v>
      </c>
      <c r="E143" s="226">
        <v>6.2094304801850218</v>
      </c>
      <c r="F143" s="226">
        <v>-0.39305699248258286</v>
      </c>
      <c r="G143" s="226">
        <v>0</v>
      </c>
      <c r="H143" s="226">
        <v>0.69054036709023237</v>
      </c>
      <c r="I143" s="227">
        <v>1.4465892053084057</v>
      </c>
      <c r="J143" s="227">
        <v>0</v>
      </c>
      <c r="K143" s="512">
        <v>-1.5106604556556895</v>
      </c>
      <c r="L143" s="512">
        <v>13.163416872363817</v>
      </c>
      <c r="M143" s="512">
        <v>0.65867590602536108</v>
      </c>
      <c r="N143" s="227">
        <v>0</v>
      </c>
      <c r="O143" s="227">
        <v>2.8641088863941406</v>
      </c>
      <c r="P143" s="513">
        <v>-2.6633858924055143</v>
      </c>
      <c r="Q143" s="226">
        <v>0</v>
      </c>
      <c r="R143" s="227">
        <v>-2.6633858924055143</v>
      </c>
      <c r="S143" s="230"/>
    </row>
    <row r="144" spans="1:19" x14ac:dyDescent="0.2">
      <c r="A144" s="216"/>
      <c r="B144" s="214" t="s">
        <v>38</v>
      </c>
      <c r="C144" s="221">
        <v>64156.826361904765</v>
      </c>
      <c r="D144" s="222">
        <v>62343</v>
      </c>
      <c r="E144" s="222">
        <v>65725.600000000006</v>
      </c>
      <c r="F144" s="222">
        <v>47615.952622222219</v>
      </c>
      <c r="G144" s="222">
        <v>0</v>
      </c>
      <c r="H144" s="222">
        <v>0</v>
      </c>
      <c r="I144" s="221">
        <v>57941.460464864867</v>
      </c>
      <c r="J144" s="221">
        <v>0</v>
      </c>
      <c r="K144" s="222">
        <v>38882</v>
      </c>
      <c r="L144" s="222">
        <v>0</v>
      </c>
      <c r="M144" s="222">
        <v>0</v>
      </c>
      <c r="N144" s="221">
        <v>0</v>
      </c>
      <c r="O144" s="221">
        <v>38882</v>
      </c>
      <c r="P144" s="221">
        <v>26200</v>
      </c>
      <c r="Q144" s="222">
        <v>0</v>
      </c>
      <c r="R144" s="221">
        <v>26200</v>
      </c>
      <c r="S144" s="90"/>
    </row>
    <row r="145" spans="1:19" x14ac:dyDescent="0.2">
      <c r="A145" s="216"/>
      <c r="B145" s="223" t="s">
        <v>40</v>
      </c>
      <c r="C145" s="224">
        <v>60988.702821052633</v>
      </c>
      <c r="D145" s="90">
        <v>62277</v>
      </c>
      <c r="E145" s="90">
        <v>46360.85</v>
      </c>
      <c r="F145" s="90">
        <v>41566.4467</v>
      </c>
      <c r="G145" s="90">
        <v>0</v>
      </c>
      <c r="H145" s="90">
        <v>0</v>
      </c>
      <c r="I145" s="224">
        <v>52988.182133333336</v>
      </c>
      <c r="J145" s="224">
        <v>0</v>
      </c>
      <c r="K145" s="90">
        <v>0</v>
      </c>
      <c r="L145" s="90">
        <v>0</v>
      </c>
      <c r="M145" s="90">
        <v>0</v>
      </c>
      <c r="N145" s="224">
        <v>0</v>
      </c>
      <c r="O145" s="224">
        <v>0</v>
      </c>
      <c r="P145" s="224">
        <v>26333</v>
      </c>
      <c r="Q145" s="90">
        <v>0</v>
      </c>
      <c r="R145" s="224">
        <v>26333</v>
      </c>
      <c r="S145" s="90"/>
    </row>
    <row r="146" spans="1:19" x14ac:dyDescent="0.2">
      <c r="A146" s="216"/>
      <c r="B146" s="225" t="s">
        <v>42</v>
      </c>
      <c r="C146" s="227">
        <v>-4.9380926715123641</v>
      </c>
      <c r="D146" s="226">
        <v>-0.10586593522929599</v>
      </c>
      <c r="E146" s="226">
        <v>-29.46302506177198</v>
      </c>
      <c r="F146" s="226">
        <v>-12.704788183527663</v>
      </c>
      <c r="G146" s="226">
        <v>0</v>
      </c>
      <c r="H146" s="226">
        <v>0</v>
      </c>
      <c r="I146" s="227">
        <v>-8.5487633411228057</v>
      </c>
      <c r="J146" s="227">
        <v>0</v>
      </c>
      <c r="K146" s="226">
        <v>-100</v>
      </c>
      <c r="L146" s="226">
        <v>0</v>
      </c>
      <c r="M146" s="226">
        <v>0</v>
      </c>
      <c r="N146" s="227">
        <v>0</v>
      </c>
      <c r="O146" s="227">
        <v>-100</v>
      </c>
      <c r="P146" s="227">
        <v>0.50763358778625955</v>
      </c>
      <c r="Q146" s="226">
        <v>0</v>
      </c>
      <c r="R146" s="227">
        <v>0.50763358778625955</v>
      </c>
      <c r="S146" s="230"/>
    </row>
    <row r="147" spans="1:19" x14ac:dyDescent="0.2">
      <c r="A147" s="216"/>
      <c r="B147" s="214" t="s">
        <v>44</v>
      </c>
      <c r="C147" s="221">
        <v>0</v>
      </c>
      <c r="D147" s="222">
        <v>0</v>
      </c>
      <c r="E147" s="222">
        <v>0</v>
      </c>
      <c r="F147" s="222">
        <v>0</v>
      </c>
      <c r="G147" s="222">
        <v>0</v>
      </c>
      <c r="H147" s="222">
        <v>0</v>
      </c>
      <c r="I147" s="221">
        <v>0</v>
      </c>
      <c r="J147" s="221">
        <v>0</v>
      </c>
      <c r="K147" s="222">
        <v>39308</v>
      </c>
      <c r="L147" s="222">
        <v>0</v>
      </c>
      <c r="M147" s="222">
        <v>0</v>
      </c>
      <c r="N147" s="221">
        <v>0</v>
      </c>
      <c r="O147" s="221">
        <v>39308</v>
      </c>
      <c r="P147" s="221">
        <v>40903.802615151515</v>
      </c>
      <c r="Q147" s="222">
        <v>0</v>
      </c>
      <c r="R147" s="221">
        <v>40903.802615151515</v>
      </c>
      <c r="S147" s="90"/>
    </row>
    <row r="148" spans="1:19" x14ac:dyDescent="0.2">
      <c r="A148" s="216"/>
      <c r="B148" s="223" t="s">
        <v>46</v>
      </c>
      <c r="C148" s="224">
        <v>0</v>
      </c>
      <c r="D148" s="90">
        <v>0</v>
      </c>
      <c r="E148" s="90">
        <v>0</v>
      </c>
      <c r="F148" s="90">
        <v>0</v>
      </c>
      <c r="G148" s="90">
        <v>0</v>
      </c>
      <c r="H148" s="90">
        <v>0</v>
      </c>
      <c r="I148" s="224">
        <v>0</v>
      </c>
      <c r="J148" s="224">
        <v>0</v>
      </c>
      <c r="K148" s="90">
        <v>39229.520181818181</v>
      </c>
      <c r="L148" s="90">
        <v>0</v>
      </c>
      <c r="M148" s="90">
        <v>0</v>
      </c>
      <c r="N148" s="224">
        <v>0</v>
      </c>
      <c r="O148" s="224">
        <v>39229.520181818181</v>
      </c>
      <c r="P148" s="224">
        <v>40128.999783783787</v>
      </c>
      <c r="Q148" s="90">
        <v>0</v>
      </c>
      <c r="R148" s="224">
        <v>40128.999783783787</v>
      </c>
      <c r="S148" s="90"/>
    </row>
    <row r="149" spans="1:19" x14ac:dyDescent="0.2">
      <c r="A149" s="216"/>
      <c r="B149" s="225" t="s">
        <v>48</v>
      </c>
      <c r="C149" s="227">
        <v>0</v>
      </c>
      <c r="D149" s="226">
        <v>0</v>
      </c>
      <c r="E149" s="226">
        <v>0</v>
      </c>
      <c r="F149" s="226">
        <v>0</v>
      </c>
      <c r="G149" s="226">
        <v>0</v>
      </c>
      <c r="H149" s="226">
        <v>0</v>
      </c>
      <c r="I149" s="227">
        <v>0</v>
      </c>
      <c r="J149" s="227">
        <v>0</v>
      </c>
      <c r="K149" s="226">
        <v>-0.19965355190245931</v>
      </c>
      <c r="L149" s="226">
        <v>0</v>
      </c>
      <c r="M149" s="226">
        <v>0</v>
      </c>
      <c r="N149" s="227">
        <v>0</v>
      </c>
      <c r="O149" s="227">
        <v>-0.19965355190245931</v>
      </c>
      <c r="P149" s="227">
        <v>-1.8942073397369825</v>
      </c>
      <c r="Q149" s="226">
        <v>0</v>
      </c>
      <c r="R149" s="227">
        <v>-1.8942073397369825</v>
      </c>
      <c r="S149" s="230"/>
    </row>
    <row r="150" spans="1:19" x14ac:dyDescent="0.2">
      <c r="A150" s="216"/>
      <c r="B150" s="214" t="s">
        <v>50</v>
      </c>
      <c r="C150" s="221">
        <v>81172.056250565423</v>
      </c>
      <c r="D150" s="222">
        <v>67301.43570905141</v>
      </c>
      <c r="E150" s="222">
        <v>60355.430876537219</v>
      </c>
      <c r="F150" s="222">
        <v>55296.592518022815</v>
      </c>
      <c r="G150" s="222">
        <v>0</v>
      </c>
      <c r="H150" s="222">
        <v>48373.200119587629</v>
      </c>
      <c r="I150" s="221">
        <v>65585.878201746731</v>
      </c>
      <c r="J150" s="221">
        <v>0</v>
      </c>
      <c r="K150" s="222">
        <v>54621.772600000004</v>
      </c>
      <c r="L150" s="222">
        <v>43833.85845</v>
      </c>
      <c r="M150" s="222">
        <v>42470.149945714293</v>
      </c>
      <c r="N150" s="221">
        <v>0</v>
      </c>
      <c r="O150" s="221">
        <v>49938.14158728972</v>
      </c>
      <c r="P150" s="221">
        <v>39066.325418487395</v>
      </c>
      <c r="Q150" s="222">
        <v>0</v>
      </c>
      <c r="R150" s="221">
        <v>39066.325418487395</v>
      </c>
      <c r="S150" s="90"/>
    </row>
    <row r="151" spans="1:19" x14ac:dyDescent="0.2">
      <c r="A151" s="216"/>
      <c r="B151" s="223" t="s">
        <v>52</v>
      </c>
      <c r="C151" s="224">
        <v>81583.390838250416</v>
      </c>
      <c r="D151" s="90">
        <v>67036.569235795891</v>
      </c>
      <c r="E151" s="90">
        <v>61415.446717851242</v>
      </c>
      <c r="F151" s="90">
        <v>54609.933519589249</v>
      </c>
      <c r="G151" s="90">
        <v>0</v>
      </c>
      <c r="H151" s="90">
        <v>48942.509231578952</v>
      </c>
      <c r="I151" s="224">
        <v>65592.802745623747</v>
      </c>
      <c r="J151" s="224">
        <v>0</v>
      </c>
      <c r="K151" s="90">
        <v>53410.162368421064</v>
      </c>
      <c r="L151" s="90">
        <v>49839.826275781248</v>
      </c>
      <c r="M151" s="90">
        <v>41591.630755274258</v>
      </c>
      <c r="N151" s="224">
        <v>0</v>
      </c>
      <c r="O151" s="224">
        <v>50202.046624006914</v>
      </c>
      <c r="P151" s="224">
        <v>37999.944890775994</v>
      </c>
      <c r="Q151" s="90">
        <v>0</v>
      </c>
      <c r="R151" s="224">
        <v>37999.944890775994</v>
      </c>
      <c r="S151" s="90"/>
    </row>
    <row r="152" spans="1:19" x14ac:dyDescent="0.2">
      <c r="A152" s="216"/>
      <c r="B152" s="225" t="s">
        <v>54</v>
      </c>
      <c r="C152" s="227">
        <v>0.50674407756194706</v>
      </c>
      <c r="D152" s="226">
        <v>-0.39355248586457259</v>
      </c>
      <c r="E152" s="226">
        <v>1.7562890794075958</v>
      </c>
      <c r="F152" s="226">
        <v>-1.2417745238275999</v>
      </c>
      <c r="G152" s="226">
        <v>0</v>
      </c>
      <c r="H152" s="226">
        <v>1.1769101704743192</v>
      </c>
      <c r="I152" s="227">
        <v>1.0557979959825258E-2</v>
      </c>
      <c r="J152" s="227">
        <v>0</v>
      </c>
      <c r="K152" s="226">
        <v>-2.2181818236688629</v>
      </c>
      <c r="L152" s="226">
        <v>13.70166359557893</v>
      </c>
      <c r="M152" s="226">
        <v>-2.0685568371266996</v>
      </c>
      <c r="N152" s="227">
        <v>0</v>
      </c>
      <c r="O152" s="227">
        <v>0.52846387216052138</v>
      </c>
      <c r="P152" s="227">
        <v>-2.7296668327212479</v>
      </c>
      <c r="Q152" s="226">
        <v>0</v>
      </c>
      <c r="R152" s="227">
        <v>-2.7296668327212479</v>
      </c>
      <c r="S152" s="230"/>
    </row>
    <row r="153" spans="1:19" x14ac:dyDescent="0.2">
      <c r="A153" s="220" t="s">
        <v>107</v>
      </c>
      <c r="B153" s="214" t="s">
        <v>14</v>
      </c>
      <c r="C153" s="221">
        <v>134424.0034949464</v>
      </c>
      <c r="D153" s="222">
        <v>110076.71695463918</v>
      </c>
      <c r="E153" s="222">
        <v>89033.518126984127</v>
      </c>
      <c r="F153" s="222">
        <v>91892.37147647058</v>
      </c>
      <c r="G153" s="222">
        <v>0</v>
      </c>
      <c r="H153" s="222">
        <v>88734</v>
      </c>
      <c r="I153" s="221">
        <v>114004.12994166066</v>
      </c>
      <c r="J153" s="221">
        <v>0</v>
      </c>
      <c r="K153" s="222">
        <v>83249.804099849178</v>
      </c>
      <c r="L153" s="222">
        <v>73463.597089552233</v>
      </c>
      <c r="M153" s="222">
        <v>69976.515969230764</v>
      </c>
      <c r="N153" s="221">
        <v>0</v>
      </c>
      <c r="O153" s="221">
        <v>81061.993123205742</v>
      </c>
      <c r="P153" s="221">
        <v>0</v>
      </c>
      <c r="Q153" s="222">
        <v>0</v>
      </c>
      <c r="R153" s="221">
        <v>0</v>
      </c>
      <c r="S153" s="90"/>
    </row>
    <row r="154" spans="1:19" x14ac:dyDescent="0.2">
      <c r="A154" s="216"/>
      <c r="B154" s="223" t="s">
        <v>16</v>
      </c>
      <c r="C154" s="224">
        <v>136359.43085451689</v>
      </c>
      <c r="D154" s="90">
        <v>110045.92914797232</v>
      </c>
      <c r="E154" s="90">
        <v>89527.685111328348</v>
      </c>
      <c r="F154" s="90">
        <v>92272.059112922012</v>
      </c>
      <c r="G154" s="90">
        <v>0</v>
      </c>
      <c r="H154" s="90">
        <v>91892.039933333333</v>
      </c>
      <c r="I154" s="224">
        <v>115025.98856348061</v>
      </c>
      <c r="J154" s="224">
        <v>0</v>
      </c>
      <c r="K154" s="90">
        <v>82928.053463774762</v>
      </c>
      <c r="L154" s="90">
        <v>73990.972708804722</v>
      </c>
      <c r="M154" s="90">
        <v>70355.926757894733</v>
      </c>
      <c r="N154" s="224">
        <v>0</v>
      </c>
      <c r="O154" s="224">
        <v>80968.454349917374</v>
      </c>
      <c r="P154" s="224">
        <v>0</v>
      </c>
      <c r="Q154" s="90">
        <v>0</v>
      </c>
      <c r="R154" s="224">
        <v>0</v>
      </c>
      <c r="S154" s="90"/>
    </row>
    <row r="155" spans="1:19" x14ac:dyDescent="0.2">
      <c r="A155" s="216"/>
      <c r="B155" s="225" t="s">
        <v>18</v>
      </c>
      <c r="C155" s="227">
        <v>1.4397929753991061</v>
      </c>
      <c r="D155" s="226">
        <v>-2.796940853491367E-2</v>
      </c>
      <c r="E155" s="226">
        <v>0.55503477200509521</v>
      </c>
      <c r="F155" s="226">
        <v>0.41318733029830723</v>
      </c>
      <c r="G155" s="226">
        <v>0</v>
      </c>
      <c r="H155" s="512">
        <v>3.5589964763600572</v>
      </c>
      <c r="I155" s="227">
        <v>0.89633474010359504</v>
      </c>
      <c r="J155" s="227">
        <v>0</v>
      </c>
      <c r="K155" s="226">
        <v>-0.38648816000637104</v>
      </c>
      <c r="L155" s="226">
        <v>0.71787339600267219</v>
      </c>
      <c r="M155" s="226">
        <v>0.5421973120679493</v>
      </c>
      <c r="N155" s="227">
        <v>0</v>
      </c>
      <c r="O155" s="227">
        <v>-0.11539165234464331</v>
      </c>
      <c r="P155" s="227">
        <v>0</v>
      </c>
      <c r="Q155" s="226">
        <v>0</v>
      </c>
      <c r="R155" s="227">
        <v>0</v>
      </c>
      <c r="S155" s="230"/>
    </row>
    <row r="156" spans="1:19" x14ac:dyDescent="0.2">
      <c r="A156" s="216"/>
      <c r="B156" s="214" t="s">
        <v>20</v>
      </c>
      <c r="C156" s="221">
        <v>94546.65602079207</v>
      </c>
      <c r="D156" s="222">
        <v>78949.448602197808</v>
      </c>
      <c r="E156" s="222">
        <v>72323.344700000001</v>
      </c>
      <c r="F156" s="222">
        <v>73598.272450303033</v>
      </c>
      <c r="G156" s="222">
        <v>0</v>
      </c>
      <c r="H156" s="222">
        <v>64696</v>
      </c>
      <c r="I156" s="221">
        <v>81246.602108148145</v>
      </c>
      <c r="J156" s="221">
        <v>0</v>
      </c>
      <c r="K156" s="222">
        <v>65752.374839357435</v>
      </c>
      <c r="L156" s="222">
        <v>60542.034524822702</v>
      </c>
      <c r="M156" s="222">
        <v>62538.324138888885</v>
      </c>
      <c r="N156" s="221">
        <v>0</v>
      </c>
      <c r="O156" s="221">
        <v>64492.576602962967</v>
      </c>
      <c r="P156" s="221">
        <v>0</v>
      </c>
      <c r="Q156" s="222">
        <v>0</v>
      </c>
      <c r="R156" s="221">
        <v>0</v>
      </c>
      <c r="S156" s="90"/>
    </row>
    <row r="157" spans="1:19" x14ac:dyDescent="0.2">
      <c r="A157" s="216"/>
      <c r="B157" s="223" t="s">
        <v>22</v>
      </c>
      <c r="C157" s="224">
        <v>95723.469797335682</v>
      </c>
      <c r="D157" s="90">
        <v>77899.76492970137</v>
      </c>
      <c r="E157" s="90">
        <v>71361.675513688489</v>
      </c>
      <c r="F157" s="90">
        <v>72766.012550053536</v>
      </c>
      <c r="G157" s="90">
        <v>0</v>
      </c>
      <c r="H157" s="90">
        <v>64213.627</v>
      </c>
      <c r="I157" s="224">
        <v>80992.21083370765</v>
      </c>
      <c r="J157" s="224">
        <v>0</v>
      </c>
      <c r="K157" s="90">
        <v>65960.299677906369</v>
      </c>
      <c r="L157" s="90">
        <v>60966.16991543625</v>
      </c>
      <c r="M157" s="90">
        <v>62223.867025641033</v>
      </c>
      <c r="N157" s="224">
        <v>0</v>
      </c>
      <c r="O157" s="224">
        <v>64670.667492331864</v>
      </c>
      <c r="P157" s="224">
        <v>0</v>
      </c>
      <c r="Q157" s="90">
        <v>0</v>
      </c>
      <c r="R157" s="224">
        <v>0</v>
      </c>
      <c r="S157" s="90"/>
    </row>
    <row r="158" spans="1:19" x14ac:dyDescent="0.2">
      <c r="A158" s="216"/>
      <c r="B158" s="225" t="s">
        <v>24</v>
      </c>
      <c r="C158" s="227">
        <v>1.2446910616117552</v>
      </c>
      <c r="D158" s="226">
        <v>-1.3295642858577439</v>
      </c>
      <c r="E158" s="226">
        <v>-1.3296801887420342</v>
      </c>
      <c r="F158" s="226">
        <v>-1.1308144505857494</v>
      </c>
      <c r="G158" s="226">
        <v>0</v>
      </c>
      <c r="H158" s="226">
        <v>-0.74559941882032832</v>
      </c>
      <c r="I158" s="227">
        <v>-0.3131100474846597</v>
      </c>
      <c r="J158" s="227">
        <v>0</v>
      </c>
      <c r="K158" s="226">
        <v>0.31622407412192194</v>
      </c>
      <c r="L158" s="226">
        <v>0.70056349103968329</v>
      </c>
      <c r="M158" s="226">
        <v>-0.50282305702577978</v>
      </c>
      <c r="N158" s="227">
        <v>0</v>
      </c>
      <c r="O158" s="227">
        <v>0.27614168753914459</v>
      </c>
      <c r="P158" s="227">
        <v>0</v>
      </c>
      <c r="Q158" s="226">
        <v>0</v>
      </c>
      <c r="R158" s="227">
        <v>0</v>
      </c>
      <c r="S158" s="230"/>
    </row>
    <row r="159" spans="1:19" x14ac:dyDescent="0.2">
      <c r="A159" s="216"/>
      <c r="B159" s="214" t="s">
        <v>26</v>
      </c>
      <c r="C159" s="221">
        <v>82449.777770000001</v>
      </c>
      <c r="D159" s="222">
        <v>66949.671695566503</v>
      </c>
      <c r="E159" s="222">
        <v>61291.112627986346</v>
      </c>
      <c r="F159" s="222">
        <v>64489.254883333335</v>
      </c>
      <c r="G159" s="222">
        <v>0</v>
      </c>
      <c r="H159" s="222">
        <v>52941</v>
      </c>
      <c r="I159" s="221">
        <v>67836.610830391408</v>
      </c>
      <c r="J159" s="221">
        <v>0</v>
      </c>
      <c r="K159" s="222">
        <v>57284.154180869562</v>
      </c>
      <c r="L159" s="222">
        <v>53215.534363842264</v>
      </c>
      <c r="M159" s="222">
        <v>52106.221780952379</v>
      </c>
      <c r="N159" s="221">
        <v>0</v>
      </c>
      <c r="O159" s="221">
        <v>55594.900709802081</v>
      </c>
      <c r="P159" s="221">
        <v>0</v>
      </c>
      <c r="Q159" s="222">
        <v>0</v>
      </c>
      <c r="R159" s="221">
        <v>0</v>
      </c>
      <c r="S159" s="90"/>
    </row>
    <row r="160" spans="1:19" x14ac:dyDescent="0.2">
      <c r="A160" s="216"/>
      <c r="B160" s="223" t="s">
        <v>28</v>
      </c>
      <c r="C160" s="224">
        <v>83874.672253797471</v>
      </c>
      <c r="D160" s="90">
        <v>67645.408977323605</v>
      </c>
      <c r="E160" s="90">
        <v>61867.559730618741</v>
      </c>
      <c r="F160" s="90">
        <v>64734.952512451659</v>
      </c>
      <c r="G160" s="90">
        <v>0</v>
      </c>
      <c r="H160" s="90">
        <v>56772.45199999999</v>
      </c>
      <c r="I160" s="224">
        <v>68981.597089295057</v>
      </c>
      <c r="J160" s="224">
        <v>0</v>
      </c>
      <c r="K160" s="90">
        <v>57761.058183433473</v>
      </c>
      <c r="L160" s="90">
        <v>53106.188626823576</v>
      </c>
      <c r="M160" s="90">
        <v>51552.08643888888</v>
      </c>
      <c r="N160" s="224">
        <v>0</v>
      </c>
      <c r="O160" s="224">
        <v>55912.075199791063</v>
      </c>
      <c r="P160" s="224">
        <v>0</v>
      </c>
      <c r="Q160" s="90">
        <v>0</v>
      </c>
      <c r="R160" s="224">
        <v>0</v>
      </c>
      <c r="S160" s="90"/>
    </row>
    <row r="161" spans="1:19" x14ac:dyDescent="0.2">
      <c r="A161" s="216"/>
      <c r="B161" s="225" t="s">
        <v>30</v>
      </c>
      <c r="C161" s="227">
        <v>1.7281968761302464</v>
      </c>
      <c r="D161" s="226">
        <v>1.039194463746973</v>
      </c>
      <c r="E161" s="226">
        <v>0.94050683356200304</v>
      </c>
      <c r="F161" s="226">
        <v>0.38099002626532441</v>
      </c>
      <c r="G161" s="226">
        <v>0</v>
      </c>
      <c r="H161" s="512">
        <v>7.2372112351485427</v>
      </c>
      <c r="I161" s="227">
        <v>1.6878588786907456</v>
      </c>
      <c r="J161" s="227">
        <v>0</v>
      </c>
      <c r="K161" s="226">
        <v>0.83252342534050516</v>
      </c>
      <c r="L161" s="226">
        <v>-0.2054771004855</v>
      </c>
      <c r="M161" s="226">
        <v>-1.0634725050551734</v>
      </c>
      <c r="N161" s="227">
        <v>0</v>
      </c>
      <c r="O161" s="227">
        <v>0.57051003948112089</v>
      </c>
      <c r="P161" s="227">
        <v>0</v>
      </c>
      <c r="Q161" s="226">
        <v>0</v>
      </c>
      <c r="R161" s="227">
        <v>0</v>
      </c>
      <c r="S161" s="230"/>
    </row>
    <row r="162" spans="1:19" x14ac:dyDescent="0.2">
      <c r="A162" s="216"/>
      <c r="B162" s="214" t="s">
        <v>32</v>
      </c>
      <c r="C162" s="221">
        <v>59796.114910100005</v>
      </c>
      <c r="D162" s="222">
        <v>50110.490388888895</v>
      </c>
      <c r="E162" s="222">
        <v>49596</v>
      </c>
      <c r="F162" s="222">
        <v>58855.126241025646</v>
      </c>
      <c r="G162" s="222">
        <v>0</v>
      </c>
      <c r="H162" s="222">
        <v>43250</v>
      </c>
      <c r="I162" s="221">
        <v>55119.232844712249</v>
      </c>
      <c r="J162" s="221">
        <v>0</v>
      </c>
      <c r="K162" s="222">
        <v>50097.721591578942</v>
      </c>
      <c r="L162" s="222">
        <v>42208.599005333337</v>
      </c>
      <c r="M162" s="222">
        <v>50496.235955555552</v>
      </c>
      <c r="N162" s="221">
        <v>0</v>
      </c>
      <c r="O162" s="221">
        <v>46812.260336312851</v>
      </c>
      <c r="P162" s="221">
        <v>0</v>
      </c>
      <c r="Q162" s="222">
        <v>0</v>
      </c>
      <c r="R162" s="221">
        <v>0</v>
      </c>
      <c r="S162" s="90"/>
    </row>
    <row r="163" spans="1:19" x14ac:dyDescent="0.2">
      <c r="A163" s="216"/>
      <c r="B163" s="223" t="s">
        <v>34</v>
      </c>
      <c r="C163" s="224">
        <v>60098.437980300012</v>
      </c>
      <c r="D163" s="90">
        <v>50727.554774999997</v>
      </c>
      <c r="E163" s="90">
        <v>50577.044999999998</v>
      </c>
      <c r="F163" s="90">
        <v>61574.236687877783</v>
      </c>
      <c r="G163" s="90">
        <v>0</v>
      </c>
      <c r="H163" s="90">
        <v>49666.666999999994</v>
      </c>
      <c r="I163" s="224">
        <v>56305.501617159556</v>
      </c>
      <c r="J163" s="224">
        <v>0</v>
      </c>
      <c r="K163" s="90">
        <v>51333.113549571695</v>
      </c>
      <c r="L163" s="90">
        <v>44746.657397796975</v>
      </c>
      <c r="M163" s="90">
        <v>50968.199733333335</v>
      </c>
      <c r="N163" s="224">
        <v>0</v>
      </c>
      <c r="O163" s="224">
        <v>48979.210804862036</v>
      </c>
      <c r="P163" s="224">
        <v>0</v>
      </c>
      <c r="Q163" s="90">
        <v>0</v>
      </c>
      <c r="R163" s="224">
        <v>0</v>
      </c>
      <c r="S163" s="90"/>
    </row>
    <row r="164" spans="1:19" x14ac:dyDescent="0.2">
      <c r="A164" s="216"/>
      <c r="B164" s="225" t="s">
        <v>36</v>
      </c>
      <c r="C164" s="227">
        <v>0.50558982076767456</v>
      </c>
      <c r="D164" s="226">
        <v>1.2314075981342323</v>
      </c>
      <c r="E164" s="226">
        <v>1.978072828453904</v>
      </c>
      <c r="F164" s="226">
        <v>4.6200061413796609</v>
      </c>
      <c r="G164" s="226">
        <v>0</v>
      </c>
      <c r="H164" s="226">
        <v>14.836224277456633</v>
      </c>
      <c r="I164" s="227">
        <v>2.152186652868318</v>
      </c>
      <c r="J164" s="227">
        <v>0</v>
      </c>
      <c r="K164" s="226">
        <v>2.4659643567511336</v>
      </c>
      <c r="L164" s="512">
        <v>6.013131097156144</v>
      </c>
      <c r="M164" s="226">
        <v>0.93465140291482951</v>
      </c>
      <c r="N164" s="227">
        <v>0</v>
      </c>
      <c r="O164" s="227">
        <v>4.6290233647791927</v>
      </c>
      <c r="P164" s="227">
        <v>0</v>
      </c>
      <c r="Q164" s="226">
        <v>0</v>
      </c>
      <c r="R164" s="227">
        <v>0</v>
      </c>
      <c r="S164" s="230"/>
    </row>
    <row r="165" spans="1:19" x14ac:dyDescent="0.2">
      <c r="A165" s="216"/>
      <c r="B165" s="214" t="s">
        <v>38</v>
      </c>
      <c r="C165" s="221">
        <v>59557.826306571427</v>
      </c>
      <c r="D165" s="222">
        <v>47159.22155564202</v>
      </c>
      <c r="E165" s="222">
        <v>39988.114000000001</v>
      </c>
      <c r="F165" s="222">
        <v>45853.010686324778</v>
      </c>
      <c r="G165" s="222">
        <v>0</v>
      </c>
      <c r="H165" s="222">
        <v>0</v>
      </c>
      <c r="I165" s="221">
        <v>48774.890780540176</v>
      </c>
      <c r="J165" s="221">
        <v>0</v>
      </c>
      <c r="K165" s="222">
        <v>81643.268800000005</v>
      </c>
      <c r="L165" s="222">
        <v>44093.037837837837</v>
      </c>
      <c r="M165" s="222">
        <v>0</v>
      </c>
      <c r="N165" s="221">
        <v>0</v>
      </c>
      <c r="O165" s="221">
        <v>45081.20181052632</v>
      </c>
      <c r="P165" s="221">
        <v>0</v>
      </c>
      <c r="Q165" s="222">
        <v>0</v>
      </c>
      <c r="R165" s="221">
        <v>0</v>
      </c>
      <c r="S165" s="90"/>
    </row>
    <row r="166" spans="1:19" x14ac:dyDescent="0.2">
      <c r="A166" s="216"/>
      <c r="B166" s="223" t="s">
        <v>40</v>
      </c>
      <c r="C166" s="224">
        <v>61578.683409091536</v>
      </c>
      <c r="D166" s="90">
        <v>47115.962562499997</v>
      </c>
      <c r="E166" s="90">
        <v>39680.976000000002</v>
      </c>
      <c r="F166" s="90">
        <v>45802.521618565392</v>
      </c>
      <c r="G166" s="90">
        <v>0</v>
      </c>
      <c r="H166" s="90">
        <v>0</v>
      </c>
      <c r="I166" s="224">
        <v>49483.323560090801</v>
      </c>
      <c r="J166" s="224">
        <v>0</v>
      </c>
      <c r="K166" s="90">
        <v>49360.729500000001</v>
      </c>
      <c r="L166" s="90">
        <v>41740.472999999998</v>
      </c>
      <c r="M166" s="90">
        <v>38290.123599999999</v>
      </c>
      <c r="N166" s="224">
        <v>0</v>
      </c>
      <c r="O166" s="224">
        <v>44098.505720000001</v>
      </c>
      <c r="P166" s="224">
        <v>0</v>
      </c>
      <c r="Q166" s="90">
        <v>0</v>
      </c>
      <c r="R166" s="224">
        <v>0</v>
      </c>
      <c r="S166" s="90"/>
    </row>
    <row r="167" spans="1:19" x14ac:dyDescent="0.2">
      <c r="A167" s="216"/>
      <c r="B167" s="225" t="s">
        <v>42</v>
      </c>
      <c r="C167" s="227">
        <v>3.3931008363499222</v>
      </c>
      <c r="D167" s="226">
        <v>-9.1729659046602977E-2</v>
      </c>
      <c r="E167" s="226">
        <v>-0.76807323296117191</v>
      </c>
      <c r="F167" s="226">
        <v>-0.1101106928501961</v>
      </c>
      <c r="G167" s="226">
        <v>0</v>
      </c>
      <c r="H167" s="226">
        <v>0</v>
      </c>
      <c r="I167" s="227">
        <v>1.4524538511796528</v>
      </c>
      <c r="J167" s="227">
        <v>0</v>
      </c>
      <c r="K167" s="226">
        <v>-39.5409686242254</v>
      </c>
      <c r="L167" s="226">
        <v>-5.3354564647823333</v>
      </c>
      <c r="M167" s="226">
        <v>0</v>
      </c>
      <c r="N167" s="227">
        <v>0</v>
      </c>
      <c r="O167" s="227">
        <v>-2.1798356100987135</v>
      </c>
      <c r="P167" s="227">
        <v>0</v>
      </c>
      <c r="Q167" s="226">
        <v>0</v>
      </c>
      <c r="R167" s="227">
        <v>0</v>
      </c>
      <c r="S167" s="230"/>
    </row>
    <row r="168" spans="1:19" x14ac:dyDescent="0.2">
      <c r="A168" s="216"/>
      <c r="B168" s="214" t="s">
        <v>44</v>
      </c>
      <c r="C168" s="221">
        <v>0</v>
      </c>
      <c r="D168" s="222">
        <v>0</v>
      </c>
      <c r="E168" s="222">
        <v>0</v>
      </c>
      <c r="F168" s="222">
        <v>0</v>
      </c>
      <c r="G168" s="222">
        <v>0</v>
      </c>
      <c r="H168" s="222">
        <v>0</v>
      </c>
      <c r="I168" s="221">
        <v>0</v>
      </c>
      <c r="J168" s="221">
        <v>0</v>
      </c>
      <c r="K168" s="222">
        <v>0</v>
      </c>
      <c r="L168" s="222">
        <v>0</v>
      </c>
      <c r="M168" s="222">
        <v>0</v>
      </c>
      <c r="N168" s="221">
        <v>0</v>
      </c>
      <c r="O168" s="221">
        <v>0</v>
      </c>
      <c r="P168" s="221">
        <v>0</v>
      </c>
      <c r="Q168" s="222">
        <v>0</v>
      </c>
      <c r="R168" s="221">
        <v>0</v>
      </c>
      <c r="S168" s="90"/>
    </row>
    <row r="169" spans="1:19" x14ac:dyDescent="0.2">
      <c r="A169" s="216"/>
      <c r="B169" s="223" t="s">
        <v>46</v>
      </c>
      <c r="C169" s="224">
        <v>0</v>
      </c>
      <c r="D169" s="90">
        <v>0</v>
      </c>
      <c r="E169" s="90">
        <v>0</v>
      </c>
      <c r="F169" s="90">
        <v>0</v>
      </c>
      <c r="G169" s="90">
        <v>0</v>
      </c>
      <c r="H169" s="90">
        <v>0</v>
      </c>
      <c r="I169" s="224">
        <v>0</v>
      </c>
      <c r="J169" s="224">
        <v>0</v>
      </c>
      <c r="K169" s="90">
        <v>0</v>
      </c>
      <c r="L169" s="90">
        <v>0</v>
      </c>
      <c r="M169" s="90">
        <v>0</v>
      </c>
      <c r="N169" s="224">
        <v>0</v>
      </c>
      <c r="O169" s="224">
        <v>0</v>
      </c>
      <c r="P169" s="224">
        <v>0</v>
      </c>
      <c r="Q169" s="90">
        <v>0</v>
      </c>
      <c r="R169" s="224">
        <v>0</v>
      </c>
      <c r="S169" s="90"/>
    </row>
    <row r="170" spans="1:19" x14ac:dyDescent="0.2">
      <c r="A170" s="216"/>
      <c r="B170" s="225" t="s">
        <v>48</v>
      </c>
      <c r="C170" s="227">
        <v>0</v>
      </c>
      <c r="D170" s="226">
        <v>0</v>
      </c>
      <c r="E170" s="226">
        <v>0</v>
      </c>
      <c r="F170" s="226">
        <v>0</v>
      </c>
      <c r="G170" s="226">
        <v>0</v>
      </c>
      <c r="H170" s="226">
        <v>0</v>
      </c>
      <c r="I170" s="227">
        <v>0</v>
      </c>
      <c r="J170" s="227">
        <v>0</v>
      </c>
      <c r="K170" s="226">
        <v>0</v>
      </c>
      <c r="L170" s="226">
        <v>0</v>
      </c>
      <c r="M170" s="226">
        <v>0</v>
      </c>
      <c r="N170" s="227">
        <v>0</v>
      </c>
      <c r="O170" s="227">
        <v>0</v>
      </c>
      <c r="P170" s="227">
        <v>0</v>
      </c>
      <c r="Q170" s="226">
        <v>0</v>
      </c>
      <c r="R170" s="227">
        <v>0</v>
      </c>
      <c r="S170" s="230"/>
    </row>
    <row r="171" spans="1:19" x14ac:dyDescent="0.2">
      <c r="A171" s="216"/>
      <c r="B171" s="214" t="s">
        <v>50</v>
      </c>
      <c r="C171" s="221">
        <v>102890.11120579406</v>
      </c>
      <c r="D171" s="222">
        <v>73566.957331851852</v>
      </c>
      <c r="E171" s="222">
        <v>65152.888091566267</v>
      </c>
      <c r="F171" s="222">
        <v>69478.791378168506</v>
      </c>
      <c r="G171" s="222">
        <v>0</v>
      </c>
      <c r="H171" s="222">
        <v>67412.923611111109</v>
      </c>
      <c r="I171" s="221">
        <v>80478.95291009717</v>
      </c>
      <c r="J171" s="221">
        <v>0</v>
      </c>
      <c r="K171" s="222">
        <v>69383.191922772268</v>
      </c>
      <c r="L171" s="222">
        <v>57177.534984383747</v>
      </c>
      <c r="M171" s="222">
        <v>60503.105001587304</v>
      </c>
      <c r="N171" s="221">
        <v>0</v>
      </c>
      <c r="O171" s="221">
        <v>65745.12407672072</v>
      </c>
      <c r="P171" s="221">
        <v>0</v>
      </c>
      <c r="Q171" s="222">
        <v>0</v>
      </c>
      <c r="R171" s="221">
        <v>0</v>
      </c>
      <c r="S171" s="90"/>
    </row>
    <row r="172" spans="1:19" x14ac:dyDescent="0.2">
      <c r="A172" s="216"/>
      <c r="B172" s="223" t="s">
        <v>52</v>
      </c>
      <c r="C172" s="224">
        <v>103906.00070144964</v>
      </c>
      <c r="D172" s="90">
        <v>73767.233333715034</v>
      </c>
      <c r="E172" s="90">
        <v>65202.053231413083</v>
      </c>
      <c r="F172" s="90">
        <v>69725.233976363612</v>
      </c>
      <c r="G172" s="90">
        <v>0</v>
      </c>
      <c r="H172" s="90">
        <v>70521.133042553192</v>
      </c>
      <c r="I172" s="224">
        <v>81222.938638556327</v>
      </c>
      <c r="J172" s="224">
        <v>0</v>
      </c>
      <c r="K172" s="90">
        <v>69163.877439217584</v>
      </c>
      <c r="L172" s="90">
        <v>58458.815147491601</v>
      </c>
      <c r="M172" s="90">
        <v>60146.85474573644</v>
      </c>
      <c r="N172" s="224">
        <v>0</v>
      </c>
      <c r="O172" s="224">
        <v>66084.629553953608</v>
      </c>
      <c r="P172" s="224">
        <v>0</v>
      </c>
      <c r="Q172" s="90">
        <v>0</v>
      </c>
      <c r="R172" s="224">
        <v>0</v>
      </c>
    </row>
    <row r="173" spans="1:19" x14ac:dyDescent="0.2">
      <c r="A173" s="216"/>
      <c r="B173" s="225" t="s">
        <v>54</v>
      </c>
      <c r="C173" s="227">
        <v>0.98735387079488968</v>
      </c>
      <c r="D173" s="226">
        <v>0.27223635328529389</v>
      </c>
      <c r="E173" s="226">
        <v>7.5461182592120257E-2</v>
      </c>
      <c r="F173" s="226">
        <v>0.35470190731116114</v>
      </c>
      <c r="G173" s="226">
        <v>0</v>
      </c>
      <c r="H173" s="226">
        <v>4.6107026144906467</v>
      </c>
      <c r="I173" s="227">
        <v>0.92444757487123475</v>
      </c>
      <c r="J173" s="227">
        <v>0</v>
      </c>
      <c r="K173" s="226">
        <v>-0.31609166064137689</v>
      </c>
      <c r="L173" s="226">
        <v>2.2408803797816681</v>
      </c>
      <c r="M173" s="226">
        <v>-0.58881317883027295</v>
      </c>
      <c r="N173" s="227">
        <v>0</v>
      </c>
      <c r="O173" s="227">
        <v>0.5163964354781726</v>
      </c>
      <c r="P173" s="227">
        <v>0</v>
      </c>
      <c r="Q173" s="226">
        <v>0</v>
      </c>
      <c r="R173" s="227">
        <v>0</v>
      </c>
      <c r="S173" s="527"/>
    </row>
    <row r="174" spans="1:19" x14ac:dyDescent="0.2">
      <c r="A174" s="220" t="s">
        <v>108</v>
      </c>
      <c r="B174" s="214" t="s">
        <v>14</v>
      </c>
      <c r="C174" s="221">
        <v>88670.495142521002</v>
      </c>
      <c r="D174" s="222">
        <v>94795.253882975216</v>
      </c>
      <c r="E174" s="222">
        <v>0</v>
      </c>
      <c r="F174" s="222">
        <v>66235.84277517072</v>
      </c>
      <c r="G174" s="222">
        <v>55384.145413481485</v>
      </c>
      <c r="H174" s="222">
        <v>0</v>
      </c>
      <c r="I174" s="221">
        <v>86896.227739107344</v>
      </c>
      <c r="J174" s="221">
        <v>0</v>
      </c>
      <c r="K174" s="222">
        <v>0</v>
      </c>
      <c r="L174" s="222">
        <v>0</v>
      </c>
      <c r="M174" s="222">
        <v>0</v>
      </c>
      <c r="N174" s="221">
        <v>0</v>
      </c>
      <c r="O174" s="221">
        <v>0</v>
      </c>
      <c r="P174" s="221">
        <v>0</v>
      </c>
      <c r="Q174" s="222">
        <v>0</v>
      </c>
      <c r="R174" s="221">
        <v>0</v>
      </c>
      <c r="S174" s="527"/>
    </row>
    <row r="175" spans="1:19" x14ac:dyDescent="0.2">
      <c r="A175" s="216"/>
      <c r="B175" s="223" t="s">
        <v>16</v>
      </c>
      <c r="C175" s="224">
        <v>93000.655335195523</v>
      </c>
      <c r="D175" s="90">
        <v>97484.796528744948</v>
      </c>
      <c r="E175" s="90">
        <v>0</v>
      </c>
      <c r="F175" s="90">
        <v>66967.309795348847</v>
      </c>
      <c r="G175" s="90">
        <v>56291.63824</v>
      </c>
      <c r="H175" s="90">
        <v>0</v>
      </c>
      <c r="I175" s="224">
        <v>89904.184663245498</v>
      </c>
      <c r="J175" s="224">
        <v>0</v>
      </c>
      <c r="K175" s="90">
        <v>0</v>
      </c>
      <c r="L175" s="90">
        <v>0</v>
      </c>
      <c r="M175" s="90">
        <v>0</v>
      </c>
      <c r="N175" s="224">
        <v>0</v>
      </c>
      <c r="O175" s="224">
        <v>0</v>
      </c>
      <c r="P175" s="224">
        <v>0</v>
      </c>
      <c r="Q175" s="90">
        <v>0</v>
      </c>
      <c r="R175" s="224">
        <v>0</v>
      </c>
      <c r="S175" s="90"/>
    </row>
    <row r="176" spans="1:19" x14ac:dyDescent="0.2">
      <c r="A176" s="216"/>
      <c r="B176" s="225" t="s">
        <v>18</v>
      </c>
      <c r="C176" s="227">
        <v>4.8834284569118616</v>
      </c>
      <c r="D176" s="226">
        <v>2.8372123451348883</v>
      </c>
      <c r="E176" s="226">
        <v>0</v>
      </c>
      <c r="F176" s="226">
        <v>1.1043371527120138</v>
      </c>
      <c r="G176" s="226">
        <v>1.6385426185480432</v>
      </c>
      <c r="H176" s="226">
        <v>0</v>
      </c>
      <c r="I176" s="227">
        <v>3.4615506362014763</v>
      </c>
      <c r="J176" s="227">
        <v>0</v>
      </c>
      <c r="K176" s="226">
        <v>0</v>
      </c>
      <c r="L176" s="226">
        <v>0</v>
      </c>
      <c r="M176" s="226">
        <v>0</v>
      </c>
      <c r="N176" s="227">
        <v>0</v>
      </c>
      <c r="O176" s="227">
        <v>0</v>
      </c>
      <c r="P176" s="227">
        <v>0</v>
      </c>
      <c r="Q176" s="226">
        <v>0</v>
      </c>
      <c r="R176" s="227">
        <v>0</v>
      </c>
      <c r="S176" s="230"/>
    </row>
    <row r="177" spans="1:19" x14ac:dyDescent="0.2">
      <c r="A177" s="216"/>
      <c r="B177" s="214" t="s">
        <v>20</v>
      </c>
      <c r="C177" s="221">
        <v>67237.493130336836</v>
      </c>
      <c r="D177" s="222">
        <v>72128.171328155833</v>
      </c>
      <c r="E177" s="222">
        <v>0</v>
      </c>
      <c r="F177" s="222">
        <v>58236.514973368423</v>
      </c>
      <c r="G177" s="222">
        <v>47080.092409999997</v>
      </c>
      <c r="H177" s="222">
        <v>0</v>
      </c>
      <c r="I177" s="221">
        <v>67331.25147659854</v>
      </c>
      <c r="J177" s="221">
        <v>0</v>
      </c>
      <c r="K177" s="222">
        <v>0</v>
      </c>
      <c r="L177" s="222">
        <v>0</v>
      </c>
      <c r="M177" s="222">
        <v>0</v>
      </c>
      <c r="N177" s="221">
        <v>0</v>
      </c>
      <c r="O177" s="221">
        <v>0</v>
      </c>
      <c r="P177" s="221">
        <v>0</v>
      </c>
      <c r="Q177" s="222">
        <v>0</v>
      </c>
      <c r="R177" s="221">
        <v>0</v>
      </c>
      <c r="S177" s="90"/>
    </row>
    <row r="178" spans="1:19" x14ac:dyDescent="0.2">
      <c r="A178" s="216"/>
      <c r="B178" s="223" t="s">
        <v>22</v>
      </c>
      <c r="C178" s="224">
        <v>69279.185369306942</v>
      </c>
      <c r="D178" s="90">
        <v>73873.650170212772</v>
      </c>
      <c r="E178" s="90">
        <v>0</v>
      </c>
      <c r="F178" s="90">
        <v>57054.185907142863</v>
      </c>
      <c r="G178" s="90">
        <v>47792.058947826088</v>
      </c>
      <c r="H178" s="90">
        <v>0</v>
      </c>
      <c r="I178" s="224">
        <v>68873.857111290316</v>
      </c>
      <c r="J178" s="224">
        <v>0</v>
      </c>
      <c r="K178" s="90">
        <v>0</v>
      </c>
      <c r="L178" s="90">
        <v>0</v>
      </c>
      <c r="M178" s="90">
        <v>0</v>
      </c>
      <c r="N178" s="224">
        <v>0</v>
      </c>
      <c r="O178" s="224">
        <v>0</v>
      </c>
      <c r="P178" s="224">
        <v>0</v>
      </c>
      <c r="Q178" s="90">
        <v>0</v>
      </c>
      <c r="R178" s="224">
        <v>0</v>
      </c>
      <c r="S178" s="90"/>
    </row>
    <row r="179" spans="1:19" x14ac:dyDescent="0.2">
      <c r="A179" s="216"/>
      <c r="B179" s="225" t="s">
        <v>24</v>
      </c>
      <c r="C179" s="227">
        <v>3.0365383120580933</v>
      </c>
      <c r="D179" s="226">
        <v>2.4199682452999838</v>
      </c>
      <c r="E179" s="226">
        <v>0</v>
      </c>
      <c r="F179" s="512">
        <v>-2.0302194710075625</v>
      </c>
      <c r="G179" s="226">
        <v>1.5122454128294491</v>
      </c>
      <c r="H179" s="226">
        <v>0</v>
      </c>
      <c r="I179" s="227">
        <v>2.2910693041669061</v>
      </c>
      <c r="J179" s="227">
        <v>0</v>
      </c>
      <c r="K179" s="226">
        <v>0</v>
      </c>
      <c r="L179" s="226">
        <v>0</v>
      </c>
      <c r="M179" s="226">
        <v>0</v>
      </c>
      <c r="N179" s="227">
        <v>0</v>
      </c>
      <c r="O179" s="227">
        <v>0</v>
      </c>
      <c r="P179" s="227">
        <v>0</v>
      </c>
      <c r="Q179" s="226">
        <v>0</v>
      </c>
      <c r="R179" s="227">
        <v>0</v>
      </c>
      <c r="S179" s="230"/>
    </row>
    <row r="180" spans="1:19" x14ac:dyDescent="0.2">
      <c r="A180" s="216"/>
      <c r="B180" s="214" t="s">
        <v>26</v>
      </c>
      <c r="C180" s="221">
        <v>59075.709494782786</v>
      </c>
      <c r="D180" s="222">
        <v>60303.25787369733</v>
      </c>
      <c r="E180" s="222">
        <v>0</v>
      </c>
      <c r="F180" s="222">
        <v>50802.034439736533</v>
      </c>
      <c r="G180" s="222">
        <v>48784.310935823531</v>
      </c>
      <c r="H180" s="222">
        <v>0</v>
      </c>
      <c r="I180" s="221">
        <v>57791.179785715409</v>
      </c>
      <c r="J180" s="221">
        <v>0</v>
      </c>
      <c r="K180" s="222">
        <v>0</v>
      </c>
      <c r="L180" s="222">
        <v>0</v>
      </c>
      <c r="M180" s="222">
        <v>0</v>
      </c>
      <c r="N180" s="221">
        <v>0</v>
      </c>
      <c r="O180" s="221">
        <v>0</v>
      </c>
      <c r="P180" s="221">
        <v>0</v>
      </c>
      <c r="Q180" s="222">
        <v>0</v>
      </c>
      <c r="R180" s="221">
        <v>0</v>
      </c>
      <c r="S180" s="90"/>
    </row>
    <row r="181" spans="1:19" x14ac:dyDescent="0.2">
      <c r="A181" s="216"/>
      <c r="B181" s="223" t="s">
        <v>28</v>
      </c>
      <c r="C181" s="224">
        <v>61201.809667510548</v>
      </c>
      <c r="D181" s="90">
        <v>62436.364134925374</v>
      </c>
      <c r="E181" s="90">
        <v>0</v>
      </c>
      <c r="F181" s="90">
        <v>50878.277138364778</v>
      </c>
      <c r="G181" s="90">
        <v>48150.003735483871</v>
      </c>
      <c r="H181" s="90">
        <v>0</v>
      </c>
      <c r="I181" s="224">
        <v>59567.703652052049</v>
      </c>
      <c r="J181" s="224">
        <v>0</v>
      </c>
      <c r="K181" s="90">
        <v>0</v>
      </c>
      <c r="L181" s="90">
        <v>0</v>
      </c>
      <c r="M181" s="90">
        <v>0</v>
      </c>
      <c r="N181" s="224">
        <v>0</v>
      </c>
      <c r="O181" s="224">
        <v>0</v>
      </c>
      <c r="P181" s="224">
        <v>0</v>
      </c>
      <c r="Q181" s="90">
        <v>0</v>
      </c>
      <c r="R181" s="224">
        <v>0</v>
      </c>
      <c r="S181" s="90"/>
    </row>
    <row r="182" spans="1:19" x14ac:dyDescent="0.2">
      <c r="A182" s="216"/>
      <c r="B182" s="225" t="s">
        <v>30</v>
      </c>
      <c r="C182" s="227">
        <v>3.5989414107934263</v>
      </c>
      <c r="D182" s="226">
        <v>3.5372985414747351</v>
      </c>
      <c r="E182" s="226">
        <v>0</v>
      </c>
      <c r="F182" s="226">
        <v>0.15007804208842587</v>
      </c>
      <c r="G182" s="512">
        <v>-1.3002278563985448</v>
      </c>
      <c r="H182" s="226">
        <v>0</v>
      </c>
      <c r="I182" s="227">
        <v>3.0740397979827261</v>
      </c>
      <c r="J182" s="227">
        <v>0</v>
      </c>
      <c r="K182" s="226">
        <v>0</v>
      </c>
      <c r="L182" s="226">
        <v>0</v>
      </c>
      <c r="M182" s="226">
        <v>0</v>
      </c>
      <c r="N182" s="227">
        <v>0</v>
      </c>
      <c r="O182" s="227">
        <v>0</v>
      </c>
      <c r="P182" s="227">
        <v>0</v>
      </c>
      <c r="Q182" s="226">
        <v>0</v>
      </c>
      <c r="R182" s="227">
        <v>0</v>
      </c>
      <c r="S182" s="230"/>
    </row>
    <row r="183" spans="1:19" x14ac:dyDescent="0.2">
      <c r="A183" s="216"/>
      <c r="B183" s="214" t="s">
        <v>32</v>
      </c>
      <c r="C183" s="221">
        <v>42580.890910029419</v>
      </c>
      <c r="D183" s="222">
        <v>38917.857848182743</v>
      </c>
      <c r="E183" s="222">
        <v>0</v>
      </c>
      <c r="F183" s="222">
        <v>42602.040884412701</v>
      </c>
      <c r="G183" s="222">
        <v>47372.234872367349</v>
      </c>
      <c r="H183" s="222">
        <v>0</v>
      </c>
      <c r="I183" s="221">
        <v>41829.063639444103</v>
      </c>
      <c r="J183" s="221">
        <v>0</v>
      </c>
      <c r="K183" s="222">
        <v>0</v>
      </c>
      <c r="L183" s="222">
        <v>0</v>
      </c>
      <c r="M183" s="222">
        <v>0</v>
      </c>
      <c r="N183" s="221">
        <v>0</v>
      </c>
      <c r="O183" s="221">
        <v>0</v>
      </c>
      <c r="P183" s="221">
        <v>0</v>
      </c>
      <c r="Q183" s="222">
        <v>0</v>
      </c>
      <c r="R183" s="221">
        <v>0</v>
      </c>
      <c r="S183" s="90"/>
    </row>
    <row r="184" spans="1:19" x14ac:dyDescent="0.2">
      <c r="A184" s="216"/>
      <c r="B184" s="223" t="s">
        <v>34</v>
      </c>
      <c r="C184" s="224">
        <v>44457.144155160146</v>
      </c>
      <c r="D184" s="90">
        <v>40186.209558139533</v>
      </c>
      <c r="E184" s="90">
        <v>0</v>
      </c>
      <c r="F184" s="90">
        <v>42977.073865000006</v>
      </c>
      <c r="G184" s="90">
        <v>47499.419049056611</v>
      </c>
      <c r="H184" s="90">
        <v>0</v>
      </c>
      <c r="I184" s="224">
        <v>43060.10558445441</v>
      </c>
      <c r="J184" s="224">
        <v>0</v>
      </c>
      <c r="K184" s="90">
        <v>0</v>
      </c>
      <c r="L184" s="90">
        <v>0</v>
      </c>
      <c r="M184" s="90">
        <v>0</v>
      </c>
      <c r="N184" s="224">
        <v>0</v>
      </c>
      <c r="O184" s="224">
        <v>0</v>
      </c>
      <c r="P184" s="224">
        <v>0</v>
      </c>
      <c r="Q184" s="90">
        <v>0</v>
      </c>
      <c r="R184" s="224">
        <v>0</v>
      </c>
      <c r="S184" s="90"/>
    </row>
    <row r="185" spans="1:19" x14ac:dyDescent="0.2">
      <c r="A185" s="216"/>
      <c r="B185" s="225" t="s">
        <v>36</v>
      </c>
      <c r="C185" s="227">
        <v>4.4063268875588468</v>
      </c>
      <c r="D185" s="226">
        <v>3.2590481082093161</v>
      </c>
      <c r="E185" s="226">
        <v>0</v>
      </c>
      <c r="F185" s="226">
        <v>0.88031693506148889</v>
      </c>
      <c r="G185" s="226">
        <v>0.26847831231084451</v>
      </c>
      <c r="H185" s="226">
        <v>0</v>
      </c>
      <c r="I185" s="227">
        <v>2.9430301276202977</v>
      </c>
      <c r="J185" s="227">
        <v>0</v>
      </c>
      <c r="K185" s="226">
        <v>0</v>
      </c>
      <c r="L185" s="226">
        <v>0</v>
      </c>
      <c r="M185" s="226">
        <v>0</v>
      </c>
      <c r="N185" s="227">
        <v>0</v>
      </c>
      <c r="O185" s="227">
        <v>0</v>
      </c>
      <c r="P185" s="227">
        <v>0</v>
      </c>
      <c r="Q185" s="226">
        <v>0</v>
      </c>
      <c r="R185" s="227">
        <v>0</v>
      </c>
      <c r="S185" s="230"/>
    </row>
    <row r="186" spans="1:19" x14ac:dyDescent="0.2">
      <c r="A186" s="216"/>
      <c r="B186" s="214" t="s">
        <v>38</v>
      </c>
      <c r="C186" s="221">
        <v>30827.677547169809</v>
      </c>
      <c r="D186" s="222">
        <v>42167.246821052628</v>
      </c>
      <c r="E186" s="222">
        <v>0</v>
      </c>
      <c r="F186" s="222">
        <v>0</v>
      </c>
      <c r="G186" s="222">
        <v>0</v>
      </c>
      <c r="H186" s="222">
        <v>0</v>
      </c>
      <c r="I186" s="221">
        <v>33820.063883333336</v>
      </c>
      <c r="J186" s="221">
        <v>0</v>
      </c>
      <c r="K186" s="222">
        <v>0</v>
      </c>
      <c r="L186" s="222">
        <v>0</v>
      </c>
      <c r="M186" s="222">
        <v>0</v>
      </c>
      <c r="N186" s="221">
        <v>0</v>
      </c>
      <c r="O186" s="221">
        <v>0</v>
      </c>
      <c r="P186" s="221">
        <v>0</v>
      </c>
      <c r="Q186" s="222">
        <v>0</v>
      </c>
      <c r="R186" s="221">
        <v>0</v>
      </c>
      <c r="S186" s="90"/>
    </row>
    <row r="187" spans="1:19" x14ac:dyDescent="0.2">
      <c r="A187" s="216"/>
      <c r="B187" s="223" t="s">
        <v>40</v>
      </c>
      <c r="C187" s="224">
        <v>32069.71263870968</v>
      </c>
      <c r="D187" s="90">
        <v>45278.633175000003</v>
      </c>
      <c r="E187" s="90">
        <v>0</v>
      </c>
      <c r="F187" s="90">
        <v>0</v>
      </c>
      <c r="G187" s="90">
        <v>0</v>
      </c>
      <c r="H187" s="90">
        <v>0</v>
      </c>
      <c r="I187" s="224">
        <v>34779.234799999998</v>
      </c>
      <c r="J187" s="224">
        <v>0</v>
      </c>
      <c r="K187" s="90">
        <v>0</v>
      </c>
      <c r="L187" s="90">
        <v>0</v>
      </c>
      <c r="M187" s="90">
        <v>0</v>
      </c>
      <c r="N187" s="224">
        <v>0</v>
      </c>
      <c r="O187" s="224">
        <v>0</v>
      </c>
      <c r="P187" s="224">
        <v>0</v>
      </c>
      <c r="Q187" s="90">
        <v>0</v>
      </c>
      <c r="R187" s="224">
        <v>0</v>
      </c>
      <c r="S187" s="90"/>
    </row>
    <row r="188" spans="1:19" x14ac:dyDescent="0.2">
      <c r="A188" s="216"/>
      <c r="B188" s="225" t="s">
        <v>42</v>
      </c>
      <c r="C188" s="227">
        <v>4.0289609544521054</v>
      </c>
      <c r="D188" s="226">
        <v>7.3786803467424127</v>
      </c>
      <c r="E188" s="226">
        <v>0</v>
      </c>
      <c r="F188" s="226">
        <v>0</v>
      </c>
      <c r="G188" s="226">
        <v>0</v>
      </c>
      <c r="H188" s="226">
        <v>0</v>
      </c>
      <c r="I188" s="227">
        <v>2.8361002509499862</v>
      </c>
      <c r="J188" s="227">
        <v>0</v>
      </c>
      <c r="K188" s="226">
        <v>0</v>
      </c>
      <c r="L188" s="226">
        <v>0</v>
      </c>
      <c r="M188" s="226">
        <v>0</v>
      </c>
      <c r="N188" s="227">
        <v>0</v>
      </c>
      <c r="O188" s="227">
        <v>0</v>
      </c>
      <c r="P188" s="227">
        <v>0</v>
      </c>
      <c r="Q188" s="226">
        <v>0</v>
      </c>
      <c r="R188" s="227">
        <v>0</v>
      </c>
      <c r="S188" s="529"/>
    </row>
    <row r="189" spans="1:19" x14ac:dyDescent="0.2">
      <c r="A189" s="216"/>
      <c r="B189" s="214" t="s">
        <v>44</v>
      </c>
      <c r="C189" s="221">
        <v>0</v>
      </c>
      <c r="D189" s="222">
        <v>0</v>
      </c>
      <c r="E189" s="222">
        <v>0</v>
      </c>
      <c r="F189" s="222">
        <v>0</v>
      </c>
      <c r="G189" s="222">
        <v>0</v>
      </c>
      <c r="H189" s="222">
        <v>0</v>
      </c>
      <c r="I189" s="221">
        <v>0</v>
      </c>
      <c r="J189" s="221">
        <v>0</v>
      </c>
      <c r="K189" s="222">
        <v>48532.744048788845</v>
      </c>
      <c r="L189" s="222">
        <v>50427.004317114108</v>
      </c>
      <c r="M189" s="222">
        <v>46379.342922758617</v>
      </c>
      <c r="N189" s="221">
        <v>0</v>
      </c>
      <c r="O189" s="221">
        <v>49309.383603560455</v>
      </c>
      <c r="P189" s="221">
        <v>0</v>
      </c>
      <c r="Q189" s="222">
        <v>0</v>
      </c>
      <c r="R189" s="221">
        <v>0</v>
      </c>
      <c r="S189" s="527"/>
    </row>
    <row r="190" spans="1:19" x14ac:dyDescent="0.2">
      <c r="A190" s="216"/>
      <c r="B190" s="223" t="s">
        <v>46</v>
      </c>
      <c r="C190" s="224">
        <v>0</v>
      </c>
      <c r="D190" s="90">
        <v>0</v>
      </c>
      <c r="E190" s="90">
        <v>0</v>
      </c>
      <c r="F190" s="90">
        <v>0</v>
      </c>
      <c r="G190" s="90">
        <v>0</v>
      </c>
      <c r="H190" s="90">
        <v>0</v>
      </c>
      <c r="I190" s="224">
        <v>0</v>
      </c>
      <c r="J190" s="224">
        <v>0</v>
      </c>
      <c r="K190" s="90">
        <v>49646.825981088681</v>
      </c>
      <c r="L190" s="90">
        <v>50652.287640033363</v>
      </c>
      <c r="M190" s="90">
        <v>46711.516386577183</v>
      </c>
      <c r="N190" s="224">
        <v>0</v>
      </c>
      <c r="O190" s="224">
        <v>49951.43258701772</v>
      </c>
      <c r="P190" s="224">
        <v>0</v>
      </c>
      <c r="Q190" s="90">
        <v>0</v>
      </c>
      <c r="R190" s="224">
        <v>0</v>
      </c>
      <c r="S190" s="527"/>
    </row>
    <row r="191" spans="1:19" x14ac:dyDescent="0.2">
      <c r="A191" s="216"/>
      <c r="B191" s="225" t="s">
        <v>48</v>
      </c>
      <c r="C191" s="227">
        <v>0</v>
      </c>
      <c r="D191" s="226">
        <v>0</v>
      </c>
      <c r="E191" s="226">
        <v>0</v>
      </c>
      <c r="F191" s="226">
        <v>0</v>
      </c>
      <c r="G191" s="226">
        <v>0</v>
      </c>
      <c r="H191" s="226">
        <v>0</v>
      </c>
      <c r="I191" s="227">
        <v>0</v>
      </c>
      <c r="J191" s="227">
        <v>0</v>
      </c>
      <c r="K191" s="226">
        <v>2.2955263588225616</v>
      </c>
      <c r="L191" s="226">
        <v>0.4467513507297462</v>
      </c>
      <c r="M191" s="226">
        <v>0.71620993935118205</v>
      </c>
      <c r="N191" s="227">
        <v>0</v>
      </c>
      <c r="O191" s="227">
        <v>1.3020827609998868</v>
      </c>
      <c r="P191" s="227">
        <v>0</v>
      </c>
      <c r="Q191" s="226">
        <v>0</v>
      </c>
      <c r="R191" s="227">
        <v>0</v>
      </c>
      <c r="S191" s="527"/>
    </row>
    <row r="192" spans="1:19" x14ac:dyDescent="0.2">
      <c r="A192" s="216"/>
      <c r="B192" s="214" t="s">
        <v>50</v>
      </c>
      <c r="C192" s="221">
        <v>64032.535242832259</v>
      </c>
      <c r="D192" s="222">
        <v>67040.908248304622</v>
      </c>
      <c r="E192" s="222">
        <v>0</v>
      </c>
      <c r="F192" s="222">
        <v>53010.426824948874</v>
      </c>
      <c r="G192" s="222">
        <v>49360.614268676931</v>
      </c>
      <c r="H192" s="222">
        <v>0</v>
      </c>
      <c r="I192" s="221">
        <v>62816.482272798901</v>
      </c>
      <c r="J192" s="221">
        <v>0</v>
      </c>
      <c r="K192" s="222">
        <v>48532.744048788845</v>
      </c>
      <c r="L192" s="222">
        <v>50427.004317114108</v>
      </c>
      <c r="M192" s="222">
        <v>46379.342922758617</v>
      </c>
      <c r="N192" s="221">
        <v>0</v>
      </c>
      <c r="O192" s="221">
        <v>49309.383603560455</v>
      </c>
      <c r="P192" s="221">
        <v>0</v>
      </c>
      <c r="Q192" s="222">
        <v>0</v>
      </c>
      <c r="R192" s="221">
        <v>0</v>
      </c>
      <c r="S192" s="90"/>
    </row>
    <row r="193" spans="1:19" x14ac:dyDescent="0.2">
      <c r="A193" s="216"/>
      <c r="B193" s="223" t="s">
        <v>52</v>
      </c>
      <c r="C193" s="224">
        <v>66354.314738948699</v>
      </c>
      <c r="D193" s="90">
        <v>68882.531365674251</v>
      </c>
      <c r="E193" s="90">
        <v>0</v>
      </c>
      <c r="F193" s="90">
        <v>53241.40962851153</v>
      </c>
      <c r="G193" s="90">
        <v>49621.064440875904</v>
      </c>
      <c r="H193" s="90">
        <v>0</v>
      </c>
      <c r="I193" s="224">
        <v>64657.137035562198</v>
      </c>
      <c r="J193" s="224">
        <v>0</v>
      </c>
      <c r="K193" s="90">
        <v>49646.825981088681</v>
      </c>
      <c r="L193" s="90">
        <v>50652.287640033363</v>
      </c>
      <c r="M193" s="90">
        <v>46711.516386577183</v>
      </c>
      <c r="N193" s="224">
        <v>0</v>
      </c>
      <c r="O193" s="224">
        <v>49951.43258701772</v>
      </c>
      <c r="P193" s="224">
        <v>0</v>
      </c>
      <c r="Q193" s="90">
        <v>0</v>
      </c>
      <c r="R193" s="224">
        <v>0</v>
      </c>
      <c r="S193" s="90"/>
    </row>
    <row r="194" spans="1:19" x14ac:dyDescent="0.2">
      <c r="A194" s="216"/>
      <c r="B194" s="225" t="s">
        <v>54</v>
      </c>
      <c r="C194" s="227">
        <v>3.6259371697707965</v>
      </c>
      <c r="D194" s="226">
        <v>2.7470139732425252</v>
      </c>
      <c r="E194" s="226">
        <v>0</v>
      </c>
      <c r="F194" s="226">
        <v>0.43573088804851146</v>
      </c>
      <c r="G194" s="226">
        <v>0.52764775329031544</v>
      </c>
      <c r="H194" s="226">
        <v>0</v>
      </c>
      <c r="I194" s="227">
        <v>2.9302098687566058</v>
      </c>
      <c r="J194" s="227">
        <v>0</v>
      </c>
      <c r="K194" s="226">
        <v>2.2955263588225616</v>
      </c>
      <c r="L194" s="226">
        <v>0.4467513507297462</v>
      </c>
      <c r="M194" s="226">
        <v>0.71620993935118205</v>
      </c>
      <c r="N194" s="227">
        <v>0</v>
      </c>
      <c r="O194" s="227">
        <v>1.3020827609998868</v>
      </c>
      <c r="P194" s="227">
        <v>0</v>
      </c>
      <c r="Q194" s="226">
        <v>0</v>
      </c>
      <c r="R194" s="227">
        <v>0</v>
      </c>
      <c r="S194" s="230"/>
    </row>
    <row r="195" spans="1:19" x14ac:dyDescent="0.2">
      <c r="A195" s="220" t="s">
        <v>109</v>
      </c>
      <c r="B195" s="214" t="s">
        <v>14</v>
      </c>
      <c r="C195" s="221">
        <v>126697.94861064537</v>
      </c>
      <c r="D195" s="222">
        <v>112680.47660392158</v>
      </c>
      <c r="E195" s="222">
        <v>93017.673420960695</v>
      </c>
      <c r="F195" s="222">
        <v>85931.190300000002</v>
      </c>
      <c r="G195" s="222">
        <v>86738.679415999999</v>
      </c>
      <c r="H195" s="222">
        <v>82031.37857391304</v>
      </c>
      <c r="I195" s="221">
        <v>111209.74035163083</v>
      </c>
      <c r="J195" s="221">
        <v>0</v>
      </c>
      <c r="K195" s="222">
        <v>0</v>
      </c>
      <c r="L195" s="222">
        <v>0</v>
      </c>
      <c r="M195" s="222">
        <v>0</v>
      </c>
      <c r="N195" s="221">
        <v>0</v>
      </c>
      <c r="O195" s="221">
        <v>0</v>
      </c>
      <c r="P195" s="221">
        <v>0</v>
      </c>
      <c r="Q195" s="222">
        <v>0</v>
      </c>
      <c r="R195" s="221">
        <v>0</v>
      </c>
      <c r="S195" s="90"/>
    </row>
    <row r="196" spans="1:19" x14ac:dyDescent="0.2">
      <c r="A196" s="216"/>
      <c r="B196" s="223" t="s">
        <v>16</v>
      </c>
      <c r="C196" s="224">
        <v>127133.87102506812</v>
      </c>
      <c r="D196" s="90">
        <v>112589.60851588786</v>
      </c>
      <c r="E196" s="90">
        <v>92439.11047280702</v>
      </c>
      <c r="F196" s="90">
        <v>87298.311312000005</v>
      </c>
      <c r="G196" s="90">
        <v>84195.074533333333</v>
      </c>
      <c r="H196" s="90">
        <v>81010.138714285713</v>
      </c>
      <c r="I196" s="224">
        <v>110964.80949870402</v>
      </c>
      <c r="J196" s="224">
        <v>0</v>
      </c>
      <c r="K196" s="90">
        <v>0</v>
      </c>
      <c r="L196" s="90">
        <v>0</v>
      </c>
      <c r="M196" s="90">
        <v>0</v>
      </c>
      <c r="N196" s="224">
        <v>0</v>
      </c>
      <c r="O196" s="224">
        <v>0</v>
      </c>
      <c r="P196" s="224">
        <v>0</v>
      </c>
      <c r="Q196" s="90">
        <v>0</v>
      </c>
      <c r="R196" s="224">
        <v>0</v>
      </c>
      <c r="S196" s="90"/>
    </row>
    <row r="197" spans="1:19" x14ac:dyDescent="0.2">
      <c r="A197" s="216"/>
      <c r="B197" s="225" t="s">
        <v>18</v>
      </c>
      <c r="C197" s="227">
        <v>0.34406430348953682</v>
      </c>
      <c r="D197" s="226">
        <v>-8.064226454519384E-2</v>
      </c>
      <c r="E197" s="226">
        <v>-0.62199249548559499</v>
      </c>
      <c r="F197" s="226">
        <v>1.5909485336199318</v>
      </c>
      <c r="G197" s="226">
        <v>-2.9324920552081495</v>
      </c>
      <c r="H197" s="226">
        <v>-1.2449380680676425</v>
      </c>
      <c r="I197" s="227">
        <v>-0.22024226668667887</v>
      </c>
      <c r="J197" s="227">
        <v>0</v>
      </c>
      <c r="K197" s="226">
        <v>0</v>
      </c>
      <c r="L197" s="226">
        <v>0</v>
      </c>
      <c r="M197" s="226">
        <v>0</v>
      </c>
      <c r="N197" s="227">
        <v>0</v>
      </c>
      <c r="O197" s="227">
        <v>0</v>
      </c>
      <c r="P197" s="227">
        <v>0</v>
      </c>
      <c r="Q197" s="226">
        <v>0</v>
      </c>
      <c r="R197" s="227">
        <v>0</v>
      </c>
      <c r="S197" s="230"/>
    </row>
    <row r="198" spans="1:19" x14ac:dyDescent="0.2">
      <c r="A198" s="216"/>
      <c r="B198" s="214" t="s">
        <v>20</v>
      </c>
      <c r="C198" s="221">
        <v>85475.314206842624</v>
      </c>
      <c r="D198" s="222">
        <v>81281.030486779666</v>
      </c>
      <c r="E198" s="222">
        <v>74687.49534227504</v>
      </c>
      <c r="F198" s="222">
        <v>73744.370292682928</v>
      </c>
      <c r="G198" s="222">
        <v>71087.038529479774</v>
      </c>
      <c r="H198" s="222">
        <v>68304.144</v>
      </c>
      <c r="I198" s="221">
        <v>78771.143588214662</v>
      </c>
      <c r="J198" s="221">
        <v>0</v>
      </c>
      <c r="K198" s="222">
        <v>0</v>
      </c>
      <c r="L198" s="222">
        <v>0</v>
      </c>
      <c r="M198" s="222">
        <v>0</v>
      </c>
      <c r="N198" s="221">
        <v>0</v>
      </c>
      <c r="O198" s="221">
        <v>0</v>
      </c>
      <c r="P198" s="221">
        <v>0</v>
      </c>
      <c r="Q198" s="222">
        <v>0</v>
      </c>
      <c r="R198" s="221">
        <v>0</v>
      </c>
      <c r="S198" s="90"/>
    </row>
    <row r="199" spans="1:19" x14ac:dyDescent="0.2">
      <c r="A199" s="216"/>
      <c r="B199" s="223" t="s">
        <v>22</v>
      </c>
      <c r="C199" s="224">
        <v>85553.95953886793</v>
      </c>
      <c r="D199" s="90">
        <v>79418.773342105269</v>
      </c>
      <c r="E199" s="90">
        <v>73558.441963416612</v>
      </c>
      <c r="F199" s="90">
        <v>74128.062417977533</v>
      </c>
      <c r="G199" s="90">
        <v>71609.195007446804</v>
      </c>
      <c r="H199" s="90">
        <v>67215.422687999991</v>
      </c>
      <c r="I199" s="224">
        <v>78101.274033936963</v>
      </c>
      <c r="J199" s="224">
        <v>0</v>
      </c>
      <c r="K199" s="90">
        <v>0</v>
      </c>
      <c r="L199" s="90">
        <v>0</v>
      </c>
      <c r="M199" s="90">
        <v>0</v>
      </c>
      <c r="N199" s="224">
        <v>0</v>
      </c>
      <c r="O199" s="224">
        <v>0</v>
      </c>
      <c r="P199" s="224">
        <v>0</v>
      </c>
      <c r="Q199" s="90">
        <v>0</v>
      </c>
      <c r="R199" s="224">
        <v>0</v>
      </c>
      <c r="S199" s="90"/>
    </row>
    <row r="200" spans="1:19" x14ac:dyDescent="0.2">
      <c r="A200" s="216"/>
      <c r="B200" s="225" t="s">
        <v>24</v>
      </c>
      <c r="C200" s="227">
        <v>9.2009409681713672E-2</v>
      </c>
      <c r="D200" s="226">
        <v>-2.2911337781049568</v>
      </c>
      <c r="E200" s="226">
        <v>-1.5117033630385457</v>
      </c>
      <c r="F200" s="226">
        <v>0.52030022599932035</v>
      </c>
      <c r="G200" s="226">
        <v>0.73453120114223303</v>
      </c>
      <c r="H200" s="226">
        <v>-1.5939315658505415</v>
      </c>
      <c r="I200" s="227">
        <v>-0.85039968161376434</v>
      </c>
      <c r="J200" s="227">
        <v>0</v>
      </c>
      <c r="K200" s="226">
        <v>0</v>
      </c>
      <c r="L200" s="226">
        <v>0</v>
      </c>
      <c r="M200" s="226">
        <v>0</v>
      </c>
      <c r="N200" s="227">
        <v>0</v>
      </c>
      <c r="O200" s="227">
        <v>0</v>
      </c>
      <c r="P200" s="227">
        <v>0</v>
      </c>
      <c r="Q200" s="226">
        <v>0</v>
      </c>
      <c r="R200" s="227">
        <v>0</v>
      </c>
      <c r="S200" s="230"/>
    </row>
    <row r="201" spans="1:19" x14ac:dyDescent="0.2">
      <c r="A201" s="216"/>
      <c r="B201" s="214" t="s">
        <v>26</v>
      </c>
      <c r="C201" s="221">
        <v>73652.471356014576</v>
      </c>
      <c r="D201" s="222">
        <v>69048</v>
      </c>
      <c r="E201" s="222">
        <v>63435.06095222749</v>
      </c>
      <c r="F201" s="222">
        <v>63419.665517431196</v>
      </c>
      <c r="G201" s="222">
        <v>62524.84281788618</v>
      </c>
      <c r="H201" s="222">
        <v>62497.120002298849</v>
      </c>
      <c r="I201" s="221">
        <v>67119.989633777426</v>
      </c>
      <c r="J201" s="221">
        <v>0</v>
      </c>
      <c r="K201" s="222">
        <v>0</v>
      </c>
      <c r="L201" s="222">
        <v>0</v>
      </c>
      <c r="M201" s="222">
        <v>0</v>
      </c>
      <c r="N201" s="221">
        <v>0</v>
      </c>
      <c r="O201" s="221">
        <v>0</v>
      </c>
      <c r="P201" s="221">
        <v>0</v>
      </c>
      <c r="Q201" s="222">
        <v>0</v>
      </c>
      <c r="R201" s="221">
        <v>0</v>
      </c>
      <c r="S201" s="90"/>
    </row>
    <row r="202" spans="1:19" x14ac:dyDescent="0.2">
      <c r="A202" s="216"/>
      <c r="B202" s="223" t="s">
        <v>28</v>
      </c>
      <c r="C202" s="224">
        <v>73782.979379010867</v>
      </c>
      <c r="D202" s="90">
        <v>69883</v>
      </c>
      <c r="E202" s="90">
        <v>63484.481559396991</v>
      </c>
      <c r="F202" s="90">
        <v>63167.74427326733</v>
      </c>
      <c r="G202" s="90">
        <v>62425.782742342344</v>
      </c>
      <c r="H202" s="90">
        <v>62782.960400000004</v>
      </c>
      <c r="I202" s="224">
        <v>67403.004364335386</v>
      </c>
      <c r="J202" s="224">
        <v>0</v>
      </c>
      <c r="K202" s="90">
        <v>0</v>
      </c>
      <c r="L202" s="90">
        <v>0</v>
      </c>
      <c r="M202" s="90">
        <v>0</v>
      </c>
      <c r="N202" s="224">
        <v>0</v>
      </c>
      <c r="O202" s="224">
        <v>0</v>
      </c>
      <c r="P202" s="224">
        <v>0</v>
      </c>
      <c r="Q202" s="90">
        <v>0</v>
      </c>
      <c r="R202" s="224">
        <v>0</v>
      </c>
      <c r="S202" s="90"/>
    </row>
    <row r="203" spans="1:19" x14ac:dyDescent="0.2">
      <c r="A203" s="216"/>
      <c r="B203" s="225" t="s">
        <v>30</v>
      </c>
      <c r="C203" s="227">
        <v>0.17719435694893884</v>
      </c>
      <c r="D203" s="226">
        <v>1.2093036728073225</v>
      </c>
      <c r="E203" s="226">
        <v>7.7907400777495972E-2</v>
      </c>
      <c r="F203" s="226">
        <v>-0.39722890700933255</v>
      </c>
      <c r="G203" s="226">
        <v>-0.15843314605742245</v>
      </c>
      <c r="H203" s="226">
        <v>0.45736571171702112</v>
      </c>
      <c r="I203" s="227">
        <v>0.42165490802688566</v>
      </c>
      <c r="J203" s="227">
        <v>0</v>
      </c>
      <c r="K203" s="226">
        <v>0</v>
      </c>
      <c r="L203" s="226">
        <v>0</v>
      </c>
      <c r="M203" s="226">
        <v>0</v>
      </c>
      <c r="N203" s="227">
        <v>0</v>
      </c>
      <c r="O203" s="227">
        <v>0</v>
      </c>
      <c r="P203" s="227">
        <v>0</v>
      </c>
      <c r="Q203" s="226">
        <v>0</v>
      </c>
      <c r="R203" s="227">
        <v>0</v>
      </c>
      <c r="S203" s="230"/>
    </row>
    <row r="204" spans="1:19" x14ac:dyDescent="0.2">
      <c r="A204" s="216"/>
      <c r="B204" s="214" t="s">
        <v>32</v>
      </c>
      <c r="C204" s="221">
        <v>60950.479071052636</v>
      </c>
      <c r="D204" s="222">
        <v>0</v>
      </c>
      <c r="E204" s="222">
        <v>50955.73541714286</v>
      </c>
      <c r="F204" s="222">
        <v>58771</v>
      </c>
      <c r="G204" s="222">
        <v>56656.081041666672</v>
      </c>
      <c r="H204" s="222">
        <v>56294</v>
      </c>
      <c r="I204" s="221">
        <v>57502.924204678369</v>
      </c>
      <c r="J204" s="221">
        <v>0</v>
      </c>
      <c r="K204" s="222">
        <v>0</v>
      </c>
      <c r="L204" s="222">
        <v>0</v>
      </c>
      <c r="M204" s="222">
        <v>0</v>
      </c>
      <c r="N204" s="221">
        <v>0</v>
      </c>
      <c r="O204" s="221">
        <v>0</v>
      </c>
      <c r="P204" s="221">
        <v>0</v>
      </c>
      <c r="Q204" s="222">
        <v>0</v>
      </c>
      <c r="R204" s="221">
        <v>0</v>
      </c>
      <c r="S204" s="90"/>
    </row>
    <row r="205" spans="1:19" x14ac:dyDescent="0.2">
      <c r="A205" s="216"/>
      <c r="B205" s="223" t="s">
        <v>34</v>
      </c>
      <c r="C205" s="224">
        <v>60877.826981818187</v>
      </c>
      <c r="D205" s="90">
        <v>0</v>
      </c>
      <c r="E205" s="90">
        <v>53822.954786046517</v>
      </c>
      <c r="F205" s="90">
        <v>60842</v>
      </c>
      <c r="G205" s="90">
        <v>58623.545464150942</v>
      </c>
      <c r="H205" s="90">
        <v>54914.400000000001</v>
      </c>
      <c r="I205" s="224">
        <v>58274.928426436782</v>
      </c>
      <c r="J205" s="224">
        <v>0</v>
      </c>
      <c r="K205" s="90">
        <v>0</v>
      </c>
      <c r="L205" s="90">
        <v>0</v>
      </c>
      <c r="M205" s="90">
        <v>0</v>
      </c>
      <c r="N205" s="224">
        <v>0</v>
      </c>
      <c r="O205" s="224">
        <v>0</v>
      </c>
      <c r="P205" s="224">
        <v>0</v>
      </c>
      <c r="Q205" s="90">
        <v>0</v>
      </c>
      <c r="R205" s="224">
        <v>0</v>
      </c>
      <c r="S205" s="90"/>
    </row>
    <row r="206" spans="1:19" x14ac:dyDescent="0.2">
      <c r="A206" s="216"/>
      <c r="B206" s="225" t="s">
        <v>36</v>
      </c>
      <c r="C206" s="227">
        <v>-0.1191985532217968</v>
      </c>
      <c r="D206" s="226">
        <v>0</v>
      </c>
      <c r="E206" s="226">
        <v>5.6268825195662844</v>
      </c>
      <c r="F206" s="226">
        <v>3.5238467951881027</v>
      </c>
      <c r="G206" s="226">
        <v>3.4726447475908806</v>
      </c>
      <c r="H206" s="226">
        <v>-2.4507052261342213</v>
      </c>
      <c r="I206" s="227">
        <v>1.3425477615894932</v>
      </c>
      <c r="J206" s="227">
        <v>0</v>
      </c>
      <c r="K206" s="226">
        <v>0</v>
      </c>
      <c r="L206" s="226">
        <v>0</v>
      </c>
      <c r="M206" s="226">
        <v>0</v>
      </c>
      <c r="N206" s="227">
        <v>0</v>
      </c>
      <c r="O206" s="227">
        <v>0</v>
      </c>
      <c r="P206" s="227">
        <v>0</v>
      </c>
      <c r="Q206" s="226">
        <v>0</v>
      </c>
      <c r="R206" s="227">
        <v>0</v>
      </c>
      <c r="S206" s="230"/>
    </row>
    <row r="207" spans="1:19" x14ac:dyDescent="0.2">
      <c r="A207" s="216"/>
      <c r="B207" s="214" t="s">
        <v>38</v>
      </c>
      <c r="C207" s="221">
        <v>59315.361521666666</v>
      </c>
      <c r="D207" s="222">
        <v>50439.359844954131</v>
      </c>
      <c r="E207" s="222">
        <v>50961.047092091008</v>
      </c>
      <c r="F207" s="222">
        <v>53427</v>
      </c>
      <c r="G207" s="222">
        <v>49658.049455238099</v>
      </c>
      <c r="H207" s="222">
        <v>53763.70620487805</v>
      </c>
      <c r="I207" s="221">
        <v>54176.983503861884</v>
      </c>
      <c r="J207" s="221">
        <v>0</v>
      </c>
      <c r="K207" s="222">
        <v>0</v>
      </c>
      <c r="L207" s="222">
        <v>0</v>
      </c>
      <c r="M207" s="222">
        <v>0</v>
      </c>
      <c r="N207" s="221">
        <v>0</v>
      </c>
      <c r="O207" s="221">
        <v>0</v>
      </c>
      <c r="P207" s="221">
        <v>0</v>
      </c>
      <c r="Q207" s="222">
        <v>0</v>
      </c>
      <c r="R207" s="221">
        <v>0</v>
      </c>
      <c r="S207" s="90"/>
    </row>
    <row r="208" spans="1:19" x14ac:dyDescent="0.2">
      <c r="A208" s="216"/>
      <c r="B208" s="223" t="s">
        <v>40</v>
      </c>
      <c r="C208" s="224">
        <v>59133.344506335408</v>
      </c>
      <c r="D208" s="90">
        <v>50000.028245188281</v>
      </c>
      <c r="E208" s="90">
        <v>49699.092965406642</v>
      </c>
      <c r="F208" s="90">
        <v>55085</v>
      </c>
      <c r="G208" s="90">
        <v>49800.159385454543</v>
      </c>
      <c r="H208" s="90">
        <v>54783.391425352114</v>
      </c>
      <c r="I208" s="224">
        <v>53554.716358798687</v>
      </c>
      <c r="J208" s="224">
        <v>0</v>
      </c>
      <c r="K208" s="90">
        <v>0</v>
      </c>
      <c r="L208" s="90">
        <v>0</v>
      </c>
      <c r="M208" s="90">
        <v>0</v>
      </c>
      <c r="N208" s="224">
        <v>0</v>
      </c>
      <c r="O208" s="224">
        <v>0</v>
      </c>
      <c r="P208" s="224">
        <v>0</v>
      </c>
      <c r="Q208" s="90">
        <v>0</v>
      </c>
      <c r="R208" s="224">
        <v>0</v>
      </c>
      <c r="S208" s="90"/>
    </row>
    <row r="209" spans="1:19" x14ac:dyDescent="0.2">
      <c r="A209" s="216"/>
      <c r="B209" s="225" t="s">
        <v>42</v>
      </c>
      <c r="C209" s="227">
        <v>-0.30686319810218204</v>
      </c>
      <c r="D209" s="226">
        <v>-0.87100946783685262</v>
      </c>
      <c r="E209" s="226">
        <v>-2.4763112194376742</v>
      </c>
      <c r="F209" s="226">
        <v>3.103299829674135</v>
      </c>
      <c r="G209" s="226">
        <v>0.28617702824703611</v>
      </c>
      <c r="H209" s="226">
        <v>1.8966051495563507</v>
      </c>
      <c r="I209" s="227">
        <v>-1.1485821188601983</v>
      </c>
      <c r="J209" s="227">
        <v>0</v>
      </c>
      <c r="K209" s="226">
        <v>0</v>
      </c>
      <c r="L209" s="226">
        <v>0</v>
      </c>
      <c r="M209" s="226">
        <v>0</v>
      </c>
      <c r="N209" s="227">
        <v>0</v>
      </c>
      <c r="O209" s="227">
        <v>0</v>
      </c>
      <c r="P209" s="227">
        <v>0</v>
      </c>
      <c r="Q209" s="226">
        <v>0</v>
      </c>
      <c r="R209" s="227">
        <v>0</v>
      </c>
      <c r="S209" s="230"/>
    </row>
    <row r="210" spans="1:19" x14ac:dyDescent="0.2">
      <c r="A210" s="216"/>
      <c r="B210" s="214" t="s">
        <v>44</v>
      </c>
      <c r="C210" s="221">
        <v>0</v>
      </c>
      <c r="D210" s="222">
        <v>0</v>
      </c>
      <c r="E210" s="222">
        <v>0</v>
      </c>
      <c r="F210" s="222">
        <v>0</v>
      </c>
      <c r="G210" s="222">
        <v>0</v>
      </c>
      <c r="H210" s="222">
        <v>0</v>
      </c>
      <c r="I210" s="221">
        <v>0</v>
      </c>
      <c r="J210" s="221">
        <v>0</v>
      </c>
      <c r="K210" s="222">
        <v>47747.426765799253</v>
      </c>
      <c r="L210" s="222">
        <v>47465.146570397112</v>
      </c>
      <c r="M210" s="222">
        <v>45986.983667409055</v>
      </c>
      <c r="N210" s="221">
        <v>0</v>
      </c>
      <c r="O210" s="221">
        <v>47284.192889672398</v>
      </c>
      <c r="P210" s="221">
        <v>0</v>
      </c>
      <c r="Q210" s="222">
        <v>0</v>
      </c>
      <c r="R210" s="221">
        <v>0</v>
      </c>
      <c r="S210" s="90"/>
    </row>
    <row r="211" spans="1:19" x14ac:dyDescent="0.2">
      <c r="A211" s="216"/>
      <c r="B211" s="223" t="s">
        <v>46</v>
      </c>
      <c r="C211" s="224">
        <v>0</v>
      </c>
      <c r="D211" s="90">
        <v>0</v>
      </c>
      <c r="E211" s="90">
        <v>0</v>
      </c>
      <c r="F211" s="90">
        <v>0</v>
      </c>
      <c r="G211" s="90">
        <v>0</v>
      </c>
      <c r="H211" s="90">
        <v>0</v>
      </c>
      <c r="I211" s="224">
        <v>0</v>
      </c>
      <c r="J211" s="224">
        <v>0</v>
      </c>
      <c r="K211" s="90">
        <v>47573.766972405749</v>
      </c>
      <c r="L211" s="90">
        <v>47321.805585513073</v>
      </c>
      <c r="M211" s="90">
        <v>46495.810569948189</v>
      </c>
      <c r="N211" s="224">
        <v>0</v>
      </c>
      <c r="O211" s="224">
        <v>47272.222963320462</v>
      </c>
      <c r="P211" s="224">
        <v>0</v>
      </c>
      <c r="Q211" s="90">
        <v>0</v>
      </c>
      <c r="R211" s="224">
        <v>0</v>
      </c>
      <c r="S211" s="90"/>
    </row>
    <row r="212" spans="1:19" x14ac:dyDescent="0.2">
      <c r="A212" s="216"/>
      <c r="B212" s="225" t="s">
        <v>48</v>
      </c>
      <c r="C212" s="227">
        <v>0</v>
      </c>
      <c r="D212" s="226">
        <v>0</v>
      </c>
      <c r="E212" s="226">
        <v>0</v>
      </c>
      <c r="F212" s="226">
        <v>0</v>
      </c>
      <c r="G212" s="226">
        <v>0</v>
      </c>
      <c r="H212" s="226">
        <v>0</v>
      </c>
      <c r="I212" s="227">
        <v>0</v>
      </c>
      <c r="J212" s="227">
        <v>0</v>
      </c>
      <c r="K212" s="226">
        <v>-0.36370503115341568</v>
      </c>
      <c r="L212" s="226">
        <v>-0.30199208312028408</v>
      </c>
      <c r="M212" s="226">
        <v>1.1064585279589449</v>
      </c>
      <c r="N212" s="227">
        <v>0</v>
      </c>
      <c r="O212" s="227">
        <v>-2.5314858138459267E-2</v>
      </c>
      <c r="P212" s="227">
        <v>0</v>
      </c>
      <c r="Q212" s="226">
        <v>0</v>
      </c>
      <c r="R212" s="227">
        <v>0</v>
      </c>
      <c r="S212" s="230"/>
    </row>
    <row r="213" spans="1:19" x14ac:dyDescent="0.2">
      <c r="A213" s="216"/>
      <c r="B213" s="214" t="s">
        <v>50</v>
      </c>
      <c r="C213" s="221">
        <v>92131.626543728024</v>
      </c>
      <c r="D213" s="222">
        <v>77955.361082191783</v>
      </c>
      <c r="E213" s="222">
        <v>70350.753561480393</v>
      </c>
      <c r="F213" s="222">
        <v>68710.412558122742</v>
      </c>
      <c r="G213" s="222">
        <v>65902.714320238098</v>
      </c>
      <c r="H213" s="222">
        <v>67903.819857881143</v>
      </c>
      <c r="I213" s="221">
        <v>79332.810015933195</v>
      </c>
      <c r="J213" s="221">
        <v>0</v>
      </c>
      <c r="K213" s="222">
        <v>47747.426765799253</v>
      </c>
      <c r="L213" s="222">
        <v>47465.146570397112</v>
      </c>
      <c r="M213" s="222">
        <v>45986.983667409055</v>
      </c>
      <c r="N213" s="221">
        <v>0</v>
      </c>
      <c r="O213" s="221">
        <v>47284.192889672398</v>
      </c>
      <c r="P213" s="221">
        <v>0</v>
      </c>
      <c r="Q213" s="222">
        <v>0</v>
      </c>
      <c r="R213" s="221">
        <v>0</v>
      </c>
      <c r="S213" s="90"/>
    </row>
    <row r="214" spans="1:19" x14ac:dyDescent="0.2">
      <c r="A214" s="216"/>
      <c r="B214" s="223" t="s">
        <v>52</v>
      </c>
      <c r="C214" s="224">
        <v>92267.286799810783</v>
      </c>
      <c r="D214" s="90">
        <v>77386.665364572589</v>
      </c>
      <c r="E214" s="90">
        <v>69994.894093011826</v>
      </c>
      <c r="F214" s="90">
        <v>69949.83675857143</v>
      </c>
      <c r="G214" s="90">
        <v>65835.461683035697</v>
      </c>
      <c r="H214" s="90">
        <v>67829.675455913981</v>
      </c>
      <c r="I214" s="224">
        <v>79226.203274355343</v>
      </c>
      <c r="J214" s="224">
        <v>0</v>
      </c>
      <c r="K214" s="90">
        <v>47573.766972405749</v>
      </c>
      <c r="L214" s="90">
        <v>47321.805585513073</v>
      </c>
      <c r="M214" s="90">
        <v>46495.810569948189</v>
      </c>
      <c r="N214" s="224">
        <v>0</v>
      </c>
      <c r="O214" s="224">
        <v>47272.222963320462</v>
      </c>
      <c r="P214" s="224">
        <v>0</v>
      </c>
      <c r="Q214" s="90">
        <v>0</v>
      </c>
      <c r="R214" s="224">
        <v>0</v>
      </c>
      <c r="S214" s="90"/>
    </row>
    <row r="215" spans="1:19" x14ac:dyDescent="0.2">
      <c r="A215" s="216"/>
      <c r="B215" s="225" t="s">
        <v>54</v>
      </c>
      <c r="C215" s="227">
        <v>0.14724613161840985</v>
      </c>
      <c r="D215" s="226">
        <v>-0.72951457054966695</v>
      </c>
      <c r="E215" s="226">
        <v>-0.50583604361476631</v>
      </c>
      <c r="F215" s="226">
        <v>1.8038375179311401</v>
      </c>
      <c r="G215" s="226">
        <v>-0.10204835703064162</v>
      </c>
      <c r="H215" s="226">
        <v>-0.10919032555508915</v>
      </c>
      <c r="I215" s="227">
        <v>-0.13437913210995758</v>
      </c>
      <c r="J215" s="227">
        <v>0</v>
      </c>
      <c r="K215" s="226">
        <v>-0.36370503115341568</v>
      </c>
      <c r="L215" s="226">
        <v>-0.30199208312028408</v>
      </c>
      <c r="M215" s="226">
        <v>1.1064585279589449</v>
      </c>
      <c r="N215" s="227">
        <v>0</v>
      </c>
      <c r="O215" s="227">
        <v>-2.5314858138459267E-2</v>
      </c>
      <c r="P215" s="227">
        <v>0</v>
      </c>
      <c r="Q215" s="226">
        <v>0</v>
      </c>
      <c r="R215" s="227">
        <v>0</v>
      </c>
      <c r="S215" s="230"/>
    </row>
    <row r="216" spans="1:19" x14ac:dyDescent="0.2">
      <c r="A216" s="220" t="s">
        <v>79</v>
      </c>
      <c r="B216" s="214" t="s">
        <v>14</v>
      </c>
      <c r="C216" s="221">
        <v>108998.91990129126</v>
      </c>
      <c r="D216" s="222">
        <v>0</v>
      </c>
      <c r="E216" s="222">
        <v>76151.420939655174</v>
      </c>
      <c r="F216" s="222">
        <v>0</v>
      </c>
      <c r="G216" s="222">
        <v>69194.258745177664</v>
      </c>
      <c r="H216" s="222">
        <v>61870.840031250002</v>
      </c>
      <c r="I216" s="221">
        <v>94344.138759067355</v>
      </c>
      <c r="J216" s="221">
        <v>0</v>
      </c>
      <c r="K216" s="222">
        <v>0</v>
      </c>
      <c r="L216" s="222">
        <v>0</v>
      </c>
      <c r="M216" s="222">
        <v>0</v>
      </c>
      <c r="N216" s="221">
        <v>0</v>
      </c>
      <c r="O216" s="221">
        <v>0</v>
      </c>
      <c r="P216" s="221">
        <v>0</v>
      </c>
      <c r="Q216" s="222">
        <v>0</v>
      </c>
      <c r="R216" s="221">
        <v>0</v>
      </c>
      <c r="S216" s="90"/>
    </row>
    <row r="217" spans="1:19" x14ac:dyDescent="0.2">
      <c r="A217" s="216"/>
      <c r="B217" s="223" t="s">
        <v>16</v>
      </c>
      <c r="C217" s="224">
        <v>111357.72922559777</v>
      </c>
      <c r="D217" s="90">
        <v>0</v>
      </c>
      <c r="E217" s="90">
        <v>75351.803560538116</v>
      </c>
      <c r="F217" s="90">
        <v>0</v>
      </c>
      <c r="G217" s="90">
        <v>70585.084434517761</v>
      </c>
      <c r="H217" s="90">
        <v>61389.515784210525</v>
      </c>
      <c r="I217" s="224">
        <v>95993.892991274595</v>
      </c>
      <c r="J217" s="224">
        <v>0</v>
      </c>
      <c r="K217" s="90">
        <v>0</v>
      </c>
      <c r="L217" s="90">
        <v>0</v>
      </c>
      <c r="M217" s="90">
        <v>0</v>
      </c>
      <c r="N217" s="224">
        <v>0</v>
      </c>
      <c r="O217" s="224">
        <v>0</v>
      </c>
      <c r="P217" s="224">
        <v>0</v>
      </c>
      <c r="Q217" s="90">
        <v>0</v>
      </c>
      <c r="R217" s="224">
        <v>0</v>
      </c>
      <c r="S217" s="90"/>
    </row>
    <row r="218" spans="1:19" x14ac:dyDescent="0.2">
      <c r="A218" s="216"/>
      <c r="B218" s="225" t="s">
        <v>18</v>
      </c>
      <c r="C218" s="227">
        <v>2.1640666957458214</v>
      </c>
      <c r="D218" s="226">
        <v>0</v>
      </c>
      <c r="E218" s="226">
        <v>-1.0500360587502378</v>
      </c>
      <c r="F218" s="226">
        <v>0</v>
      </c>
      <c r="G218" s="226">
        <v>2.0100304773292019</v>
      </c>
      <c r="H218" s="226">
        <v>-0.77795007599115629</v>
      </c>
      <c r="I218" s="227">
        <v>1.7486557765080915</v>
      </c>
      <c r="J218" s="227">
        <v>0</v>
      </c>
      <c r="K218" s="226">
        <v>0</v>
      </c>
      <c r="L218" s="226">
        <v>0</v>
      </c>
      <c r="M218" s="226">
        <v>0</v>
      </c>
      <c r="N218" s="227">
        <v>0</v>
      </c>
      <c r="O218" s="227">
        <v>0</v>
      </c>
      <c r="P218" s="227">
        <v>0</v>
      </c>
      <c r="Q218" s="226">
        <v>0</v>
      </c>
      <c r="R218" s="227">
        <v>0</v>
      </c>
      <c r="S218" s="230"/>
    </row>
    <row r="219" spans="1:19" x14ac:dyDescent="0.2">
      <c r="A219" s="216"/>
      <c r="B219" s="214" t="s">
        <v>20</v>
      </c>
      <c r="C219" s="221">
        <v>71560.487778815077</v>
      </c>
      <c r="D219" s="222">
        <v>0</v>
      </c>
      <c r="E219" s="222">
        <v>60071.427863157893</v>
      </c>
      <c r="F219" s="222">
        <v>0</v>
      </c>
      <c r="G219" s="222">
        <v>59061.930140740733</v>
      </c>
      <c r="H219" s="222">
        <v>54569.445878571431</v>
      </c>
      <c r="I219" s="221">
        <v>66256.438672746328</v>
      </c>
      <c r="J219" s="221">
        <v>0</v>
      </c>
      <c r="K219" s="222">
        <v>0</v>
      </c>
      <c r="L219" s="222">
        <v>0</v>
      </c>
      <c r="M219" s="222">
        <v>0</v>
      </c>
      <c r="N219" s="221">
        <v>0</v>
      </c>
      <c r="O219" s="221">
        <v>0</v>
      </c>
      <c r="P219" s="221">
        <v>0</v>
      </c>
      <c r="Q219" s="222">
        <v>0</v>
      </c>
      <c r="R219" s="221">
        <v>0</v>
      </c>
      <c r="S219" s="90"/>
    </row>
    <row r="220" spans="1:19" x14ac:dyDescent="0.2">
      <c r="A220" s="216"/>
      <c r="B220" s="223" t="s">
        <v>22</v>
      </c>
      <c r="C220" s="224">
        <v>73214.287544347826</v>
      </c>
      <c r="D220" s="90">
        <v>0</v>
      </c>
      <c r="E220" s="90">
        <v>60087.542496732029</v>
      </c>
      <c r="F220" s="90">
        <v>0</v>
      </c>
      <c r="G220" s="90">
        <v>59955.535171428564</v>
      </c>
      <c r="H220" s="90">
        <v>54193.527296551729</v>
      </c>
      <c r="I220" s="224">
        <v>67452.748790358979</v>
      </c>
      <c r="J220" s="224">
        <v>0</v>
      </c>
      <c r="K220" s="90">
        <v>0</v>
      </c>
      <c r="L220" s="90">
        <v>0</v>
      </c>
      <c r="M220" s="90">
        <v>0</v>
      </c>
      <c r="N220" s="224">
        <v>0</v>
      </c>
      <c r="O220" s="224">
        <v>0</v>
      </c>
      <c r="P220" s="224">
        <v>0</v>
      </c>
      <c r="Q220" s="90">
        <v>0</v>
      </c>
      <c r="R220" s="224">
        <v>0</v>
      </c>
      <c r="S220" s="90"/>
    </row>
    <row r="221" spans="1:19" x14ac:dyDescent="0.2">
      <c r="A221" s="216"/>
      <c r="B221" s="225" t="s">
        <v>24</v>
      </c>
      <c r="C221" s="227">
        <v>2.3110515549369182</v>
      </c>
      <c r="D221" s="226">
        <v>0</v>
      </c>
      <c r="E221" s="226">
        <v>2.682578747894078E-2</v>
      </c>
      <c r="F221" s="226">
        <v>0</v>
      </c>
      <c r="G221" s="226">
        <v>1.5129966605534715</v>
      </c>
      <c r="H221" s="226">
        <v>-0.68888106882411837</v>
      </c>
      <c r="I221" s="227">
        <v>1.805575641518349</v>
      </c>
      <c r="J221" s="227">
        <v>0</v>
      </c>
      <c r="K221" s="226">
        <v>0</v>
      </c>
      <c r="L221" s="226">
        <v>0</v>
      </c>
      <c r="M221" s="226">
        <v>0</v>
      </c>
      <c r="N221" s="227">
        <v>0</v>
      </c>
      <c r="O221" s="227">
        <v>0</v>
      </c>
      <c r="P221" s="227">
        <v>0</v>
      </c>
      <c r="Q221" s="226">
        <v>0</v>
      </c>
      <c r="R221" s="227">
        <v>0</v>
      </c>
      <c r="S221" s="230"/>
    </row>
    <row r="222" spans="1:19" x14ac:dyDescent="0.2">
      <c r="A222" s="216"/>
      <c r="B222" s="214" t="s">
        <v>26</v>
      </c>
      <c r="C222" s="221">
        <v>63046.024141035858</v>
      </c>
      <c r="D222" s="222">
        <v>0</v>
      </c>
      <c r="E222" s="222">
        <v>54919.360304186041</v>
      </c>
      <c r="F222" s="222">
        <v>0</v>
      </c>
      <c r="G222" s="222">
        <v>49900.183833333329</v>
      </c>
      <c r="H222" s="222">
        <v>45565.789881818178</v>
      </c>
      <c r="I222" s="221">
        <v>56960.608642215855</v>
      </c>
      <c r="J222" s="221">
        <v>0</v>
      </c>
      <c r="K222" s="222">
        <v>0</v>
      </c>
      <c r="L222" s="222">
        <v>0</v>
      </c>
      <c r="M222" s="222">
        <v>0</v>
      </c>
      <c r="N222" s="221">
        <v>0</v>
      </c>
      <c r="O222" s="221">
        <v>0</v>
      </c>
      <c r="P222" s="221">
        <v>0</v>
      </c>
      <c r="Q222" s="222">
        <v>0</v>
      </c>
      <c r="R222" s="221">
        <v>0</v>
      </c>
      <c r="S222" s="90"/>
    </row>
    <row r="223" spans="1:19" x14ac:dyDescent="0.2">
      <c r="A223" s="216"/>
      <c r="B223" s="223" t="s">
        <v>28</v>
      </c>
      <c r="C223" s="224">
        <v>65673.806916049391</v>
      </c>
      <c r="D223" s="90">
        <v>0</v>
      </c>
      <c r="E223" s="90">
        <v>55679.672572727271</v>
      </c>
      <c r="F223" s="90">
        <v>0</v>
      </c>
      <c r="G223" s="90">
        <v>50300.006299230772</v>
      </c>
      <c r="H223" s="90">
        <v>46913.240701639348</v>
      </c>
      <c r="I223" s="224">
        <v>58526.492159493675</v>
      </c>
      <c r="J223" s="224">
        <v>0</v>
      </c>
      <c r="K223" s="90">
        <v>0</v>
      </c>
      <c r="L223" s="90">
        <v>0</v>
      </c>
      <c r="M223" s="90">
        <v>0</v>
      </c>
      <c r="N223" s="224">
        <v>0</v>
      </c>
      <c r="O223" s="224">
        <v>0</v>
      </c>
      <c r="P223" s="224">
        <v>0</v>
      </c>
      <c r="Q223" s="90">
        <v>0</v>
      </c>
      <c r="R223" s="224">
        <v>0</v>
      </c>
      <c r="S223" s="90"/>
    </row>
    <row r="224" spans="1:19" x14ac:dyDescent="0.2">
      <c r="A224" s="216"/>
      <c r="B224" s="225" t="s">
        <v>30</v>
      </c>
      <c r="C224" s="227">
        <v>4.1680388427589081</v>
      </c>
      <c r="D224" s="226">
        <v>0</v>
      </c>
      <c r="E224" s="226">
        <v>1.3844157403327924</v>
      </c>
      <c r="F224" s="226">
        <v>0</v>
      </c>
      <c r="G224" s="226">
        <v>0.80124447483570538</v>
      </c>
      <c r="H224" s="226">
        <v>2.9571545304404658</v>
      </c>
      <c r="I224" s="227">
        <v>2.7490638787122776</v>
      </c>
      <c r="J224" s="227">
        <v>0</v>
      </c>
      <c r="K224" s="226">
        <v>0</v>
      </c>
      <c r="L224" s="226">
        <v>0</v>
      </c>
      <c r="M224" s="226">
        <v>0</v>
      </c>
      <c r="N224" s="227">
        <v>0</v>
      </c>
      <c r="O224" s="227">
        <v>0</v>
      </c>
      <c r="P224" s="227">
        <v>0</v>
      </c>
      <c r="Q224" s="226">
        <v>0</v>
      </c>
      <c r="R224" s="227">
        <v>0</v>
      </c>
      <c r="S224" s="230"/>
    </row>
    <row r="225" spans="1:19" x14ac:dyDescent="0.2">
      <c r="A225" s="216"/>
      <c r="B225" s="214" t="s">
        <v>32</v>
      </c>
      <c r="C225" s="221">
        <v>41711.925397966101</v>
      </c>
      <c r="D225" s="222">
        <v>0</v>
      </c>
      <c r="E225" s="222">
        <v>39607.286725274724</v>
      </c>
      <c r="F225" s="222">
        <v>0</v>
      </c>
      <c r="G225" s="222">
        <v>42220.207280000002</v>
      </c>
      <c r="H225" s="222">
        <v>35153.848803333334</v>
      </c>
      <c r="I225" s="221">
        <v>40927.748899753693</v>
      </c>
      <c r="J225" s="221">
        <v>0</v>
      </c>
      <c r="K225" s="222">
        <v>0</v>
      </c>
      <c r="L225" s="222">
        <v>0</v>
      </c>
      <c r="M225" s="222">
        <v>0</v>
      </c>
      <c r="N225" s="221">
        <v>0</v>
      </c>
      <c r="O225" s="221">
        <v>0</v>
      </c>
      <c r="P225" s="221">
        <v>0</v>
      </c>
      <c r="Q225" s="222">
        <v>0</v>
      </c>
      <c r="R225" s="221">
        <v>0</v>
      </c>
      <c r="S225" s="90"/>
    </row>
    <row r="226" spans="1:19" x14ac:dyDescent="0.2">
      <c r="A226" s="216"/>
      <c r="B226" s="223" t="s">
        <v>34</v>
      </c>
      <c r="C226" s="224">
        <v>42052.19593055555</v>
      </c>
      <c r="D226" s="90">
        <v>0</v>
      </c>
      <c r="E226" s="90">
        <v>40927.730386592179</v>
      </c>
      <c r="F226" s="90">
        <v>0</v>
      </c>
      <c r="G226" s="90">
        <v>42837.846296629206</v>
      </c>
      <c r="H226" s="90">
        <v>39133.884063999998</v>
      </c>
      <c r="I226" s="224">
        <v>41876.907310714283</v>
      </c>
      <c r="J226" s="224">
        <v>0</v>
      </c>
      <c r="K226" s="90">
        <v>0</v>
      </c>
      <c r="L226" s="90">
        <v>0</v>
      </c>
      <c r="M226" s="90">
        <v>0</v>
      </c>
      <c r="N226" s="224">
        <v>0</v>
      </c>
      <c r="O226" s="224">
        <v>0</v>
      </c>
      <c r="P226" s="224">
        <v>0</v>
      </c>
      <c r="Q226" s="90">
        <v>0</v>
      </c>
      <c r="R226" s="224">
        <v>0</v>
      </c>
      <c r="S226" s="90"/>
    </row>
    <row r="227" spans="1:19" x14ac:dyDescent="0.2">
      <c r="A227" s="216"/>
      <c r="B227" s="225" t="s">
        <v>36</v>
      </c>
      <c r="C227" s="227">
        <v>0.81576318844788032</v>
      </c>
      <c r="D227" s="226">
        <v>0</v>
      </c>
      <c r="E227" s="226">
        <v>3.3338402362079398</v>
      </c>
      <c r="F227" s="226">
        <v>0</v>
      </c>
      <c r="G227" s="226">
        <v>1.4628990628423175</v>
      </c>
      <c r="H227" s="226">
        <v>11.321762470256944</v>
      </c>
      <c r="I227" s="227">
        <v>2.3191072963367949</v>
      </c>
      <c r="J227" s="227">
        <v>0</v>
      </c>
      <c r="K227" s="226">
        <v>0</v>
      </c>
      <c r="L227" s="226">
        <v>0</v>
      </c>
      <c r="M227" s="226">
        <v>0</v>
      </c>
      <c r="N227" s="227">
        <v>0</v>
      </c>
      <c r="O227" s="227">
        <v>0</v>
      </c>
      <c r="P227" s="227">
        <v>0</v>
      </c>
      <c r="Q227" s="226">
        <v>0</v>
      </c>
      <c r="R227" s="227">
        <v>0</v>
      </c>
      <c r="S227" s="230"/>
    </row>
    <row r="228" spans="1:19" x14ac:dyDescent="0.2">
      <c r="A228" s="216"/>
      <c r="B228" s="214" t="s">
        <v>38</v>
      </c>
      <c r="C228" s="221">
        <v>0</v>
      </c>
      <c r="D228" s="222">
        <v>0</v>
      </c>
      <c r="E228" s="222">
        <v>0</v>
      </c>
      <c r="F228" s="222">
        <v>0</v>
      </c>
      <c r="G228" s="222">
        <v>0</v>
      </c>
      <c r="H228" s="222">
        <v>0</v>
      </c>
      <c r="I228" s="221">
        <v>0</v>
      </c>
      <c r="J228" s="221">
        <v>0</v>
      </c>
      <c r="K228" s="222">
        <v>0</v>
      </c>
      <c r="L228" s="222">
        <v>0</v>
      </c>
      <c r="M228" s="222">
        <v>0</v>
      </c>
      <c r="N228" s="221">
        <v>0</v>
      </c>
      <c r="O228" s="221">
        <v>0</v>
      </c>
      <c r="P228" s="221">
        <v>0</v>
      </c>
      <c r="Q228" s="222">
        <v>0</v>
      </c>
      <c r="R228" s="221">
        <v>0</v>
      </c>
      <c r="S228" s="90"/>
    </row>
    <row r="229" spans="1:19" x14ac:dyDescent="0.2">
      <c r="A229" s="216"/>
      <c r="B229" s="223" t="s">
        <v>40</v>
      </c>
      <c r="C229" s="224">
        <v>0</v>
      </c>
      <c r="D229" s="90">
        <v>0</v>
      </c>
      <c r="E229" s="90">
        <v>0</v>
      </c>
      <c r="F229" s="90">
        <v>0</v>
      </c>
      <c r="G229" s="90">
        <v>0</v>
      </c>
      <c r="H229" s="90">
        <v>0</v>
      </c>
      <c r="I229" s="224">
        <v>0</v>
      </c>
      <c r="J229" s="224">
        <v>0</v>
      </c>
      <c r="K229" s="90">
        <v>0</v>
      </c>
      <c r="L229" s="90">
        <v>0</v>
      </c>
      <c r="M229" s="90">
        <v>0</v>
      </c>
      <c r="N229" s="224">
        <v>0</v>
      </c>
      <c r="O229" s="224">
        <v>0</v>
      </c>
      <c r="P229" s="224">
        <v>0</v>
      </c>
      <c r="Q229" s="90">
        <v>0</v>
      </c>
      <c r="R229" s="224">
        <v>0</v>
      </c>
      <c r="S229" s="90"/>
    </row>
    <row r="230" spans="1:19" x14ac:dyDescent="0.2">
      <c r="A230" s="216"/>
      <c r="B230" s="225" t="s">
        <v>42</v>
      </c>
      <c r="C230" s="227">
        <v>0</v>
      </c>
      <c r="D230" s="226">
        <v>0</v>
      </c>
      <c r="E230" s="226">
        <v>0</v>
      </c>
      <c r="F230" s="226">
        <v>0</v>
      </c>
      <c r="G230" s="226">
        <v>0</v>
      </c>
      <c r="H230" s="226">
        <v>0</v>
      </c>
      <c r="I230" s="227">
        <v>0</v>
      </c>
      <c r="J230" s="227">
        <v>0</v>
      </c>
      <c r="K230" s="226">
        <v>0</v>
      </c>
      <c r="L230" s="226">
        <v>0</v>
      </c>
      <c r="M230" s="226">
        <v>0</v>
      </c>
      <c r="N230" s="227">
        <v>0</v>
      </c>
      <c r="O230" s="227">
        <v>0</v>
      </c>
      <c r="P230" s="227">
        <v>0</v>
      </c>
      <c r="Q230" s="226">
        <v>0</v>
      </c>
      <c r="R230" s="227">
        <v>0</v>
      </c>
      <c r="S230" s="230"/>
    </row>
    <row r="231" spans="1:19" x14ac:dyDescent="0.2">
      <c r="A231" s="216"/>
      <c r="B231" s="214" t="s">
        <v>44</v>
      </c>
      <c r="C231" s="221">
        <v>0</v>
      </c>
      <c r="D231" s="222">
        <v>0</v>
      </c>
      <c r="E231" s="222">
        <v>0</v>
      </c>
      <c r="F231" s="222">
        <v>0</v>
      </c>
      <c r="G231" s="222">
        <v>0</v>
      </c>
      <c r="H231" s="222">
        <v>0</v>
      </c>
      <c r="I231" s="221">
        <v>0</v>
      </c>
      <c r="J231" s="221">
        <v>50883.843137254902</v>
      </c>
      <c r="K231" s="222">
        <v>51633.238653475935</v>
      </c>
      <c r="L231" s="222">
        <v>46166.305581052628</v>
      </c>
      <c r="M231" s="222">
        <v>43035.543432978724</v>
      </c>
      <c r="N231" s="221">
        <v>0</v>
      </c>
      <c r="O231" s="221">
        <v>48473.878839482204</v>
      </c>
      <c r="P231" s="221">
        <v>53634.627888990821</v>
      </c>
      <c r="Q231" s="222">
        <v>47745.686610537872</v>
      </c>
      <c r="R231" s="221">
        <v>48882.789532329494</v>
      </c>
      <c r="S231" s="90"/>
    </row>
    <row r="232" spans="1:19" x14ac:dyDescent="0.2">
      <c r="A232" s="216"/>
      <c r="B232" s="223" t="s">
        <v>46</v>
      </c>
      <c r="C232" s="224">
        <v>0</v>
      </c>
      <c r="D232" s="90">
        <v>0</v>
      </c>
      <c r="E232" s="90">
        <v>0</v>
      </c>
      <c r="F232" s="90">
        <v>0</v>
      </c>
      <c r="G232" s="90">
        <v>0</v>
      </c>
      <c r="H232" s="90">
        <v>0</v>
      </c>
      <c r="I232" s="224">
        <v>0</v>
      </c>
      <c r="J232" s="224">
        <v>55818.207547169812</v>
      </c>
      <c r="K232" s="90">
        <v>51283.13160807018</v>
      </c>
      <c r="L232" s="90">
        <v>45582.347686315792</v>
      </c>
      <c r="M232" s="90">
        <v>43697.8767515625</v>
      </c>
      <c r="N232" s="224">
        <v>0</v>
      </c>
      <c r="O232" s="224">
        <v>49306.227374623319</v>
      </c>
      <c r="P232" s="224">
        <v>55898.943506976742</v>
      </c>
      <c r="Q232" s="90">
        <v>48464.985827729251</v>
      </c>
      <c r="R232" s="224">
        <v>49878.160806542881</v>
      </c>
      <c r="S232" s="90"/>
    </row>
    <row r="233" spans="1:19" x14ac:dyDescent="0.2">
      <c r="A233" s="216"/>
      <c r="B233" s="225" t="s">
        <v>48</v>
      </c>
      <c r="C233" s="227">
        <v>0</v>
      </c>
      <c r="D233" s="226">
        <v>0</v>
      </c>
      <c r="E233" s="226">
        <v>0</v>
      </c>
      <c r="F233" s="226">
        <v>0</v>
      </c>
      <c r="G233" s="226">
        <v>0</v>
      </c>
      <c r="H233" s="226">
        <v>0</v>
      </c>
      <c r="I233" s="227">
        <v>0</v>
      </c>
      <c r="J233" s="513">
        <v>9.6973107880331977</v>
      </c>
      <c r="K233" s="226">
        <v>-0.67806524350605746</v>
      </c>
      <c r="L233" s="226">
        <v>-1.2649006399517939</v>
      </c>
      <c r="M233" s="226">
        <v>1.5390378876364355</v>
      </c>
      <c r="N233" s="227">
        <v>0</v>
      </c>
      <c r="O233" s="227">
        <v>1.717107347438354</v>
      </c>
      <c r="P233" s="227">
        <v>4.2217420109121342</v>
      </c>
      <c r="Q233" s="226">
        <v>1.5065218834503553</v>
      </c>
      <c r="R233" s="227">
        <v>2.0362407377653446</v>
      </c>
      <c r="S233" s="230"/>
    </row>
    <row r="234" spans="1:19" x14ac:dyDescent="0.2">
      <c r="A234" s="216"/>
      <c r="B234" s="214" t="s">
        <v>50</v>
      </c>
      <c r="C234" s="221">
        <v>77906.173074207705</v>
      </c>
      <c r="D234" s="222">
        <v>0</v>
      </c>
      <c r="E234" s="222">
        <v>58660.915931626121</v>
      </c>
      <c r="F234" s="222">
        <v>0</v>
      </c>
      <c r="G234" s="222">
        <v>53598.031679351356</v>
      </c>
      <c r="H234" s="222">
        <v>47440.789301869154</v>
      </c>
      <c r="I234" s="221">
        <v>66816.984268899527</v>
      </c>
      <c r="J234" s="221">
        <v>50883.843137254902</v>
      </c>
      <c r="K234" s="222">
        <v>51633.238653475935</v>
      </c>
      <c r="L234" s="222">
        <v>46166.305581052628</v>
      </c>
      <c r="M234" s="222">
        <v>43035.543432978724</v>
      </c>
      <c r="N234" s="221">
        <v>0</v>
      </c>
      <c r="O234" s="221">
        <v>48473.878839482204</v>
      </c>
      <c r="P234" s="221">
        <v>53634.627888990821</v>
      </c>
      <c r="Q234" s="222">
        <v>47745.686610537872</v>
      </c>
      <c r="R234" s="221">
        <v>48882.789532329494</v>
      </c>
      <c r="S234" s="90"/>
    </row>
    <row r="235" spans="1:19" x14ac:dyDescent="0.2">
      <c r="A235" s="216"/>
      <c r="B235" s="223" t="s">
        <v>52</v>
      </c>
      <c r="C235" s="224">
        <v>80243.720100291262</v>
      </c>
      <c r="D235" s="90">
        <v>0</v>
      </c>
      <c r="E235" s="90">
        <v>58803.14567896774</v>
      </c>
      <c r="F235" s="90">
        <v>0</v>
      </c>
      <c r="G235" s="90">
        <v>54493.498773274914</v>
      </c>
      <c r="H235" s="90">
        <v>49731.536565217393</v>
      </c>
      <c r="I235" s="224">
        <v>68501.009799443738</v>
      </c>
      <c r="J235" s="224">
        <v>55818.207547169812</v>
      </c>
      <c r="K235" s="90">
        <v>51283.13160807018</v>
      </c>
      <c r="L235" s="90">
        <v>45582.347686315792</v>
      </c>
      <c r="M235" s="90">
        <v>43697.8767515625</v>
      </c>
      <c r="N235" s="224">
        <v>0</v>
      </c>
      <c r="O235" s="224">
        <v>49306.227374623319</v>
      </c>
      <c r="P235" s="224">
        <v>55898.943506976742</v>
      </c>
      <c r="Q235" s="90">
        <v>48464.985827729251</v>
      </c>
      <c r="R235" s="224">
        <v>49878.160806542881</v>
      </c>
      <c r="S235" s="90"/>
    </row>
    <row r="236" spans="1:19" x14ac:dyDescent="0.2">
      <c r="A236" s="216"/>
      <c r="B236" s="225" t="s">
        <v>54</v>
      </c>
      <c r="C236" s="227">
        <v>3.000464448249796</v>
      </c>
      <c r="D236" s="226">
        <v>0</v>
      </c>
      <c r="E236" s="226">
        <v>0.24246083628731305</v>
      </c>
      <c r="F236" s="226">
        <v>0</v>
      </c>
      <c r="G236" s="226">
        <v>1.6707089157315773</v>
      </c>
      <c r="H236" s="226">
        <v>4.8286449215084719</v>
      </c>
      <c r="I236" s="227">
        <v>2.5203554889083106</v>
      </c>
      <c r="J236" s="227">
        <v>9.6973107880331977</v>
      </c>
      <c r="K236" s="226">
        <v>-0.67806524350605746</v>
      </c>
      <c r="L236" s="226">
        <v>-1.2649006399517939</v>
      </c>
      <c r="M236" s="226">
        <v>1.5390378876364355</v>
      </c>
      <c r="N236" s="227">
        <v>0</v>
      </c>
      <c r="O236" s="227">
        <v>1.717107347438354</v>
      </c>
      <c r="P236" s="227">
        <v>4.2217420109121342</v>
      </c>
      <c r="Q236" s="226">
        <v>1.5065218834503553</v>
      </c>
      <c r="R236" s="227">
        <v>2.0362407377653446</v>
      </c>
      <c r="S236" s="230"/>
    </row>
    <row r="237" spans="1:19" x14ac:dyDescent="0.2">
      <c r="A237" s="220" t="s">
        <v>113</v>
      </c>
      <c r="B237" s="214" t="s">
        <v>14</v>
      </c>
      <c r="C237" s="221">
        <v>108871.98574144144</v>
      </c>
      <c r="D237" s="222">
        <v>0</v>
      </c>
      <c r="E237" s="222">
        <v>78957.172727272729</v>
      </c>
      <c r="F237" s="222">
        <v>84252.528301886792</v>
      </c>
      <c r="G237" s="222">
        <v>77252.415317575753</v>
      </c>
      <c r="H237" s="222">
        <v>73164.096905882354</v>
      </c>
      <c r="I237" s="221">
        <v>95606.892432047985</v>
      </c>
      <c r="J237" s="221">
        <v>0</v>
      </c>
      <c r="K237" s="222">
        <v>0</v>
      </c>
      <c r="L237" s="222">
        <v>0</v>
      </c>
      <c r="M237" s="222">
        <v>66644.438750000001</v>
      </c>
      <c r="N237" s="221">
        <v>0</v>
      </c>
      <c r="O237" s="221">
        <v>66644.438750000001</v>
      </c>
      <c r="P237" s="221">
        <v>0</v>
      </c>
      <c r="Q237" s="222">
        <v>0</v>
      </c>
      <c r="R237" s="221">
        <v>0</v>
      </c>
      <c r="S237" s="90"/>
    </row>
    <row r="238" spans="1:19" x14ac:dyDescent="0.2">
      <c r="A238" s="216"/>
      <c r="B238" s="223" t="s">
        <v>16</v>
      </c>
      <c r="C238" s="224">
        <v>112266.73737935105</v>
      </c>
      <c r="D238" s="90">
        <v>0</v>
      </c>
      <c r="E238" s="90">
        <v>80198.337327188943</v>
      </c>
      <c r="F238" s="90">
        <v>86419</v>
      </c>
      <c r="G238" s="90">
        <v>78654.689299999998</v>
      </c>
      <c r="H238" s="90">
        <v>72330.264734117649</v>
      </c>
      <c r="I238" s="224">
        <v>97788.156203820603</v>
      </c>
      <c r="J238" s="224">
        <v>0</v>
      </c>
      <c r="K238" s="90">
        <v>0</v>
      </c>
      <c r="L238" s="90">
        <v>0</v>
      </c>
      <c r="M238" s="90">
        <v>67877.91849411765</v>
      </c>
      <c r="N238" s="224">
        <v>0</v>
      </c>
      <c r="O238" s="224">
        <v>67877.91849411765</v>
      </c>
      <c r="P238" s="224">
        <v>0</v>
      </c>
      <c r="Q238" s="90">
        <v>0</v>
      </c>
      <c r="R238" s="224">
        <v>0</v>
      </c>
      <c r="S238" s="90"/>
    </row>
    <row r="239" spans="1:19" x14ac:dyDescent="0.2">
      <c r="A239" s="216"/>
      <c r="B239" s="225" t="s">
        <v>18</v>
      </c>
      <c r="C239" s="227">
        <v>3.1181130892310107</v>
      </c>
      <c r="D239" s="226">
        <v>0</v>
      </c>
      <c r="E239" s="226">
        <v>1.5719466098454931</v>
      </c>
      <c r="F239" s="226">
        <v>2.5714025938194789</v>
      </c>
      <c r="G239" s="226">
        <v>1.8151846471850221</v>
      </c>
      <c r="H239" s="512">
        <v>-1.1396739753889662</v>
      </c>
      <c r="I239" s="227">
        <v>2.2814921772747061</v>
      </c>
      <c r="J239" s="227">
        <v>0</v>
      </c>
      <c r="K239" s="226">
        <v>0</v>
      </c>
      <c r="L239" s="226">
        <v>0</v>
      </c>
      <c r="M239" s="226">
        <v>1.850836719842057</v>
      </c>
      <c r="N239" s="227">
        <v>0</v>
      </c>
      <c r="O239" s="227">
        <v>1.850836719842057</v>
      </c>
      <c r="P239" s="227">
        <v>0</v>
      </c>
      <c r="Q239" s="226">
        <v>0</v>
      </c>
      <c r="R239" s="227">
        <v>0</v>
      </c>
      <c r="S239" s="230"/>
    </row>
    <row r="240" spans="1:19" x14ac:dyDescent="0.2">
      <c r="A240" s="216"/>
      <c r="B240" s="214" t="s">
        <v>20</v>
      </c>
      <c r="C240" s="221">
        <v>77874.406851839463</v>
      </c>
      <c r="D240" s="222">
        <v>0</v>
      </c>
      <c r="E240" s="222">
        <v>64499.710843373497</v>
      </c>
      <c r="F240" s="222">
        <v>67878.850980392148</v>
      </c>
      <c r="G240" s="222">
        <v>64847.727862983425</v>
      </c>
      <c r="H240" s="222">
        <v>58920.214755905516</v>
      </c>
      <c r="I240" s="221">
        <v>70739.17969701493</v>
      </c>
      <c r="J240" s="221">
        <v>0</v>
      </c>
      <c r="K240" s="222">
        <v>0</v>
      </c>
      <c r="L240" s="222">
        <v>0</v>
      </c>
      <c r="M240" s="222">
        <v>55216.265354545445</v>
      </c>
      <c r="N240" s="221">
        <v>0</v>
      </c>
      <c r="O240" s="221">
        <v>55216.265354545445</v>
      </c>
      <c r="P240" s="221">
        <v>0</v>
      </c>
      <c r="Q240" s="222">
        <v>0</v>
      </c>
      <c r="R240" s="221">
        <v>0</v>
      </c>
      <c r="S240" s="90"/>
    </row>
    <row r="241" spans="1:19" x14ac:dyDescent="0.2">
      <c r="A241" s="216"/>
      <c r="B241" s="223" t="s">
        <v>22</v>
      </c>
      <c r="C241" s="224">
        <v>79888.800409570948</v>
      </c>
      <c r="D241" s="90">
        <v>0</v>
      </c>
      <c r="E241" s="90">
        <v>64865.332522352939</v>
      </c>
      <c r="F241" s="90">
        <v>69802.40743396226</v>
      </c>
      <c r="G241" s="90">
        <v>66117.872039408874</v>
      </c>
      <c r="H241" s="90">
        <v>58145.808219402985</v>
      </c>
      <c r="I241" s="224">
        <v>71835.544972661868</v>
      </c>
      <c r="J241" s="224">
        <v>0</v>
      </c>
      <c r="K241" s="90">
        <v>0</v>
      </c>
      <c r="L241" s="90">
        <v>0</v>
      </c>
      <c r="M241" s="90">
        <v>54628.946608333332</v>
      </c>
      <c r="N241" s="224">
        <v>0</v>
      </c>
      <c r="O241" s="224">
        <v>54628.946608333332</v>
      </c>
      <c r="P241" s="224">
        <v>0</v>
      </c>
      <c r="Q241" s="90">
        <v>0</v>
      </c>
      <c r="R241" s="224">
        <v>0</v>
      </c>
      <c r="S241" s="90"/>
    </row>
    <row r="242" spans="1:19" x14ac:dyDescent="0.2">
      <c r="A242" s="216"/>
      <c r="B242" s="225" t="s">
        <v>24</v>
      </c>
      <c r="C242" s="227">
        <v>2.5867208999279878</v>
      </c>
      <c r="D242" s="226">
        <v>0</v>
      </c>
      <c r="E242" s="226">
        <v>0.56685785749844875</v>
      </c>
      <c r="F242" s="226">
        <v>2.8338082124073685</v>
      </c>
      <c r="G242" s="226">
        <v>1.958656406758202</v>
      </c>
      <c r="H242" s="512">
        <v>-1.3143308110989409</v>
      </c>
      <c r="I242" s="227">
        <v>1.5498699311227706</v>
      </c>
      <c r="J242" s="227">
        <v>0</v>
      </c>
      <c r="K242" s="226">
        <v>0</v>
      </c>
      <c r="L242" s="226">
        <v>0</v>
      </c>
      <c r="M242" s="226">
        <v>-1.0636698125831587</v>
      </c>
      <c r="N242" s="227">
        <v>0</v>
      </c>
      <c r="O242" s="227">
        <v>-1.0636698125831587</v>
      </c>
      <c r="P242" s="227">
        <v>0</v>
      </c>
      <c r="Q242" s="226">
        <v>0</v>
      </c>
      <c r="R242" s="227">
        <v>0</v>
      </c>
      <c r="S242" s="230"/>
    </row>
    <row r="243" spans="1:19" x14ac:dyDescent="0.2">
      <c r="A243" s="216"/>
      <c r="B243" s="214" t="s">
        <v>26</v>
      </c>
      <c r="C243" s="221">
        <v>69698.866133444259</v>
      </c>
      <c r="D243" s="222">
        <v>0</v>
      </c>
      <c r="E243" s="222">
        <v>57627.502686821703</v>
      </c>
      <c r="F243" s="222">
        <v>56117.015625</v>
      </c>
      <c r="G243" s="222">
        <v>55813.019887632508</v>
      </c>
      <c r="H243" s="222">
        <v>50820.607352272724</v>
      </c>
      <c r="I243" s="221">
        <v>61568.679277568743</v>
      </c>
      <c r="J243" s="221">
        <v>0</v>
      </c>
      <c r="K243" s="222">
        <v>0</v>
      </c>
      <c r="L243" s="222">
        <v>0</v>
      </c>
      <c r="M243" s="222">
        <v>46725.638974358975</v>
      </c>
      <c r="N243" s="221">
        <v>0</v>
      </c>
      <c r="O243" s="221">
        <v>46725.638974358975</v>
      </c>
      <c r="P243" s="221">
        <v>0</v>
      </c>
      <c r="Q243" s="222">
        <v>0</v>
      </c>
      <c r="R243" s="221">
        <v>0</v>
      </c>
      <c r="S243" s="90"/>
    </row>
    <row r="244" spans="1:19" x14ac:dyDescent="0.2">
      <c r="A244" s="216"/>
      <c r="B244" s="223" t="s">
        <v>28</v>
      </c>
      <c r="C244" s="224">
        <v>71297.231686062718</v>
      </c>
      <c r="D244" s="90">
        <v>0</v>
      </c>
      <c r="E244" s="90">
        <v>57595.933168852454</v>
      </c>
      <c r="F244" s="90">
        <v>57535</v>
      </c>
      <c r="G244" s="90">
        <v>56329.655046031745</v>
      </c>
      <c r="H244" s="90">
        <v>51433.175290285712</v>
      </c>
      <c r="I244" s="224">
        <v>62533.336461726503</v>
      </c>
      <c r="J244" s="224">
        <v>0</v>
      </c>
      <c r="K244" s="90">
        <v>0</v>
      </c>
      <c r="L244" s="90">
        <v>0</v>
      </c>
      <c r="M244" s="90">
        <v>46305.44222222222</v>
      </c>
      <c r="N244" s="224">
        <v>0</v>
      </c>
      <c r="O244" s="224">
        <v>46305.44222222222</v>
      </c>
      <c r="P244" s="224">
        <v>0</v>
      </c>
      <c r="Q244" s="90">
        <v>0</v>
      </c>
      <c r="R244" s="224">
        <v>0</v>
      </c>
      <c r="S244" s="90"/>
    </row>
    <row r="245" spans="1:19" x14ac:dyDescent="0.2">
      <c r="A245" s="216"/>
      <c r="B245" s="225" t="s">
        <v>30</v>
      </c>
      <c r="C245" s="227">
        <v>2.2932446986415189</v>
      </c>
      <c r="D245" s="226">
        <v>0</v>
      </c>
      <c r="E245" s="226">
        <v>-5.4782033746653656E-2</v>
      </c>
      <c r="F245" s="226">
        <v>2.5268349701196358</v>
      </c>
      <c r="G245" s="226">
        <v>0.9256534755499165</v>
      </c>
      <c r="H245" s="226">
        <v>1.2053534381571953</v>
      </c>
      <c r="I245" s="227">
        <v>1.5667985662138659</v>
      </c>
      <c r="J245" s="227">
        <v>0</v>
      </c>
      <c r="K245" s="226">
        <v>0</v>
      </c>
      <c r="L245" s="226">
        <v>0</v>
      </c>
      <c r="M245" s="226">
        <v>-0.89928519194213907</v>
      </c>
      <c r="N245" s="227">
        <v>0</v>
      </c>
      <c r="O245" s="227">
        <v>-0.89928519194213907</v>
      </c>
      <c r="P245" s="227">
        <v>0</v>
      </c>
      <c r="Q245" s="226">
        <v>0</v>
      </c>
      <c r="R245" s="227">
        <v>0</v>
      </c>
      <c r="S245" s="230"/>
    </row>
    <row r="246" spans="1:19" x14ac:dyDescent="0.2">
      <c r="A246" s="216"/>
      <c r="B246" s="214" t="s">
        <v>32</v>
      </c>
      <c r="C246" s="221">
        <v>44076.495982068969</v>
      </c>
      <c r="D246" s="222">
        <v>0</v>
      </c>
      <c r="E246" s="222">
        <v>46462.125358241756</v>
      </c>
      <c r="F246" s="222">
        <v>49000</v>
      </c>
      <c r="G246" s="222">
        <v>45426.593761290322</v>
      </c>
      <c r="H246" s="222">
        <v>44085.373708843537</v>
      </c>
      <c r="I246" s="221">
        <v>44774.371528859054</v>
      </c>
      <c r="J246" s="221">
        <v>0</v>
      </c>
      <c r="K246" s="222">
        <v>0</v>
      </c>
      <c r="L246" s="222">
        <v>0</v>
      </c>
      <c r="M246" s="222">
        <v>42026.624583333331</v>
      </c>
      <c r="N246" s="221">
        <v>0</v>
      </c>
      <c r="O246" s="221">
        <v>42026.624583333331</v>
      </c>
      <c r="P246" s="221">
        <v>0</v>
      </c>
      <c r="Q246" s="222">
        <v>0</v>
      </c>
      <c r="R246" s="221">
        <v>0</v>
      </c>
      <c r="S246" s="90"/>
    </row>
    <row r="247" spans="1:19" x14ac:dyDescent="0.2">
      <c r="A247" s="216"/>
      <c r="B247" s="223" t="s">
        <v>34</v>
      </c>
      <c r="C247" s="224">
        <v>45445.622308280261</v>
      </c>
      <c r="D247" s="90">
        <v>0</v>
      </c>
      <c r="E247" s="90">
        <v>47512.571195555553</v>
      </c>
      <c r="F247" s="90">
        <v>44993</v>
      </c>
      <c r="G247" s="90">
        <v>45993.516045901641</v>
      </c>
      <c r="H247" s="90">
        <v>44119.71998076923</v>
      </c>
      <c r="I247" s="224">
        <v>45469.708577730191</v>
      </c>
      <c r="J247" s="224">
        <v>0</v>
      </c>
      <c r="K247" s="90">
        <v>0</v>
      </c>
      <c r="L247" s="90">
        <v>0</v>
      </c>
      <c r="M247" s="90">
        <v>41710.419600000001</v>
      </c>
      <c r="N247" s="224">
        <v>0</v>
      </c>
      <c r="O247" s="224">
        <v>41710.419600000001</v>
      </c>
      <c r="P247" s="224">
        <v>0</v>
      </c>
      <c r="Q247" s="90">
        <v>0</v>
      </c>
      <c r="R247" s="224">
        <v>0</v>
      </c>
      <c r="S247" s="90"/>
    </row>
    <row r="248" spans="1:19" x14ac:dyDescent="0.2">
      <c r="A248" s="216"/>
      <c r="B248" s="225" t="s">
        <v>36</v>
      </c>
      <c r="C248" s="227">
        <v>3.106250385167356</v>
      </c>
      <c r="D248" s="226">
        <v>0</v>
      </c>
      <c r="E248" s="226">
        <v>2.2608647994779298</v>
      </c>
      <c r="F248" s="226">
        <v>-8.1775510204081634</v>
      </c>
      <c r="G248" s="226">
        <v>1.2479964656615181</v>
      </c>
      <c r="H248" s="226">
        <v>7.7908542076855006E-2</v>
      </c>
      <c r="I248" s="227">
        <v>1.5529800310495965</v>
      </c>
      <c r="J248" s="227">
        <v>0</v>
      </c>
      <c r="K248" s="226">
        <v>0</v>
      </c>
      <c r="L248" s="226">
        <v>0</v>
      </c>
      <c r="M248" s="226">
        <v>-0.75239205258165831</v>
      </c>
      <c r="N248" s="227">
        <v>0</v>
      </c>
      <c r="O248" s="227">
        <v>-0.75239205258165831</v>
      </c>
      <c r="P248" s="227">
        <v>0</v>
      </c>
      <c r="Q248" s="226">
        <v>0</v>
      </c>
      <c r="R248" s="227">
        <v>0</v>
      </c>
      <c r="S248" s="230"/>
    </row>
    <row r="249" spans="1:19" x14ac:dyDescent="0.2">
      <c r="A249" s="216"/>
      <c r="B249" s="214" t="s">
        <v>38</v>
      </c>
      <c r="C249" s="221">
        <v>46491.675765876775</v>
      </c>
      <c r="D249" s="222">
        <v>0</v>
      </c>
      <c r="E249" s="222">
        <v>0</v>
      </c>
      <c r="F249" s="222">
        <v>0</v>
      </c>
      <c r="G249" s="222">
        <v>40290.588926027398</v>
      </c>
      <c r="H249" s="222">
        <v>34040.082399999999</v>
      </c>
      <c r="I249" s="221">
        <v>44673.093353793105</v>
      </c>
      <c r="J249" s="221">
        <v>0</v>
      </c>
      <c r="K249" s="222">
        <v>46855.321899736147</v>
      </c>
      <c r="L249" s="222">
        <v>45562.785294117646</v>
      </c>
      <c r="M249" s="222">
        <v>41454.891472868214</v>
      </c>
      <c r="N249" s="221">
        <v>0</v>
      </c>
      <c r="O249" s="221">
        <v>46045.671120246661</v>
      </c>
      <c r="P249" s="221">
        <v>0</v>
      </c>
      <c r="Q249" s="222">
        <v>0</v>
      </c>
      <c r="R249" s="221">
        <v>0</v>
      </c>
      <c r="S249" s="90"/>
    </row>
    <row r="250" spans="1:19" x14ac:dyDescent="0.2">
      <c r="A250" s="216"/>
      <c r="B250" s="223" t="s">
        <v>40</v>
      </c>
      <c r="C250" s="224">
        <v>48402.784864035093</v>
      </c>
      <c r="D250" s="90">
        <v>0</v>
      </c>
      <c r="E250" s="90">
        <v>30000</v>
      </c>
      <c r="F250" s="90">
        <v>0</v>
      </c>
      <c r="G250" s="90">
        <v>41174.05399058824</v>
      </c>
      <c r="H250" s="90">
        <v>38474.991600000001</v>
      </c>
      <c r="I250" s="224">
        <v>46263.336978683386</v>
      </c>
      <c r="J250" s="224">
        <v>0</v>
      </c>
      <c r="K250" s="90">
        <v>47240.54616724739</v>
      </c>
      <c r="L250" s="90">
        <v>45478.089985486215</v>
      </c>
      <c r="M250" s="90">
        <v>41515.265625</v>
      </c>
      <c r="N250" s="224">
        <v>0</v>
      </c>
      <c r="O250" s="224">
        <v>46249.62086513995</v>
      </c>
      <c r="P250" s="224">
        <v>0</v>
      </c>
      <c r="Q250" s="90">
        <v>0</v>
      </c>
      <c r="R250" s="224">
        <v>0</v>
      </c>
      <c r="S250" s="90"/>
    </row>
    <row r="251" spans="1:19" x14ac:dyDescent="0.2">
      <c r="A251" s="216"/>
      <c r="B251" s="225" t="s">
        <v>42</v>
      </c>
      <c r="C251" s="227">
        <v>4.1106479099232729</v>
      </c>
      <c r="D251" s="226">
        <v>0</v>
      </c>
      <c r="E251" s="226">
        <v>0</v>
      </c>
      <c r="F251" s="226">
        <v>0</v>
      </c>
      <c r="G251" s="226">
        <v>2.192733062757815</v>
      </c>
      <c r="H251" s="226">
        <v>13.028491376389859</v>
      </c>
      <c r="I251" s="227">
        <v>3.5597347430055613</v>
      </c>
      <c r="J251" s="227">
        <v>0</v>
      </c>
      <c r="K251" s="226">
        <v>0.82215691172833927</v>
      </c>
      <c r="L251" s="226">
        <v>-0.18588703057704875</v>
      </c>
      <c r="M251" s="226">
        <v>0.1456381864400739</v>
      </c>
      <c r="N251" s="227">
        <v>0</v>
      </c>
      <c r="O251" s="227">
        <v>0.44292924813861712</v>
      </c>
      <c r="P251" s="227">
        <v>0</v>
      </c>
      <c r="Q251" s="226">
        <v>0</v>
      </c>
      <c r="R251" s="227">
        <v>0</v>
      </c>
      <c r="S251" s="230"/>
    </row>
    <row r="252" spans="1:19" x14ac:dyDescent="0.2">
      <c r="A252" s="216"/>
      <c r="B252" s="214" t="s">
        <v>44</v>
      </c>
      <c r="C252" s="221">
        <v>0</v>
      </c>
      <c r="D252" s="222">
        <v>0</v>
      </c>
      <c r="E252" s="222">
        <v>0</v>
      </c>
      <c r="F252" s="222">
        <v>0</v>
      </c>
      <c r="G252" s="222">
        <v>0</v>
      </c>
      <c r="H252" s="222">
        <v>0</v>
      </c>
      <c r="I252" s="221">
        <v>0</v>
      </c>
      <c r="J252" s="221">
        <v>0</v>
      </c>
      <c r="K252" s="222">
        <v>0</v>
      </c>
      <c r="L252" s="222">
        <v>0</v>
      </c>
      <c r="M252" s="222">
        <v>0</v>
      </c>
      <c r="N252" s="221">
        <v>0</v>
      </c>
      <c r="O252" s="221">
        <v>0</v>
      </c>
      <c r="P252" s="221">
        <v>0</v>
      </c>
      <c r="Q252" s="222">
        <v>0</v>
      </c>
      <c r="R252" s="221">
        <v>0</v>
      </c>
      <c r="S252" s="90"/>
    </row>
    <row r="253" spans="1:19" x14ac:dyDescent="0.2">
      <c r="A253" s="216"/>
      <c r="B253" s="223" t="s">
        <v>46</v>
      </c>
      <c r="C253" s="224">
        <v>0</v>
      </c>
      <c r="D253" s="90">
        <v>0</v>
      </c>
      <c r="E253" s="90">
        <v>0</v>
      </c>
      <c r="F253" s="90">
        <v>0</v>
      </c>
      <c r="G253" s="90">
        <v>0</v>
      </c>
      <c r="H253" s="90">
        <v>0</v>
      </c>
      <c r="I253" s="224">
        <v>0</v>
      </c>
      <c r="J253" s="224">
        <v>0</v>
      </c>
      <c r="K253" s="90">
        <v>0</v>
      </c>
      <c r="L253" s="90">
        <v>0</v>
      </c>
      <c r="M253" s="90">
        <v>0</v>
      </c>
      <c r="N253" s="224">
        <v>0</v>
      </c>
      <c r="O253" s="224">
        <v>0</v>
      </c>
      <c r="P253" s="224">
        <v>0</v>
      </c>
      <c r="Q253" s="90">
        <v>0</v>
      </c>
      <c r="R253" s="224">
        <v>0</v>
      </c>
      <c r="S253" s="90"/>
    </row>
    <row r="254" spans="1:19" x14ac:dyDescent="0.2">
      <c r="A254" s="216"/>
      <c r="B254" s="225" t="s">
        <v>48</v>
      </c>
      <c r="C254" s="227">
        <v>0</v>
      </c>
      <c r="D254" s="226">
        <v>0</v>
      </c>
      <c r="E254" s="226">
        <v>0</v>
      </c>
      <c r="F254" s="226">
        <v>0</v>
      </c>
      <c r="G254" s="226">
        <v>0</v>
      </c>
      <c r="H254" s="226">
        <v>0</v>
      </c>
      <c r="I254" s="227">
        <v>0</v>
      </c>
      <c r="J254" s="227">
        <v>0</v>
      </c>
      <c r="K254" s="226">
        <v>0</v>
      </c>
      <c r="L254" s="226">
        <v>0</v>
      </c>
      <c r="M254" s="226">
        <v>0</v>
      </c>
      <c r="N254" s="227">
        <v>0</v>
      </c>
      <c r="O254" s="227">
        <v>0</v>
      </c>
      <c r="P254" s="227">
        <v>0</v>
      </c>
      <c r="Q254" s="226">
        <v>0</v>
      </c>
      <c r="R254" s="227">
        <v>0</v>
      </c>
      <c r="S254" s="230"/>
    </row>
    <row r="255" spans="1:19" x14ac:dyDescent="0.2">
      <c r="A255" s="216"/>
      <c r="B255" s="214" t="s">
        <v>50</v>
      </c>
      <c r="C255" s="221">
        <v>79769.244417559661</v>
      </c>
      <c r="D255" s="222">
        <v>0</v>
      </c>
      <c r="E255" s="222">
        <v>63806.403644221107</v>
      </c>
      <c r="F255" s="222">
        <v>68333.49647058823</v>
      </c>
      <c r="G255" s="222">
        <v>60257.635737696342</v>
      </c>
      <c r="H255" s="222">
        <v>54216.326866173753</v>
      </c>
      <c r="I255" s="221">
        <v>70111.743118967046</v>
      </c>
      <c r="J255" s="221">
        <v>0</v>
      </c>
      <c r="K255" s="222">
        <v>46855.321899736147</v>
      </c>
      <c r="L255" s="222">
        <v>45562.785294117646</v>
      </c>
      <c r="M255" s="222">
        <v>45150.896684251966</v>
      </c>
      <c r="N255" s="221">
        <v>0</v>
      </c>
      <c r="O255" s="221">
        <v>46221.884479864799</v>
      </c>
      <c r="P255" s="221">
        <v>0</v>
      </c>
      <c r="Q255" s="222">
        <v>0</v>
      </c>
      <c r="R255" s="221">
        <v>0</v>
      </c>
      <c r="S255" s="90"/>
    </row>
    <row r="256" spans="1:19" x14ac:dyDescent="0.2">
      <c r="A256" s="216"/>
      <c r="B256" s="223" t="s">
        <v>52</v>
      </c>
      <c r="C256" s="224">
        <v>81865.746603031657</v>
      </c>
      <c r="D256" s="90">
        <v>0</v>
      </c>
      <c r="E256" s="90">
        <v>64811.943115241644</v>
      </c>
      <c r="F256" s="90">
        <v>70387.913449438201</v>
      </c>
      <c r="G256" s="90">
        <v>61250.42840599738</v>
      </c>
      <c r="H256" s="90">
        <v>54081.923882162162</v>
      </c>
      <c r="I256" s="224">
        <v>71527.846738593405</v>
      </c>
      <c r="J256" s="224">
        <v>0</v>
      </c>
      <c r="K256" s="90">
        <v>47240.54616724739</v>
      </c>
      <c r="L256" s="90">
        <v>45478.089985486215</v>
      </c>
      <c r="M256" s="90">
        <v>45221.530325490196</v>
      </c>
      <c r="N256" s="224">
        <v>0</v>
      </c>
      <c r="O256" s="224">
        <v>46413.977644837483</v>
      </c>
      <c r="P256" s="224">
        <v>0</v>
      </c>
      <c r="Q256" s="90">
        <v>0</v>
      </c>
      <c r="R256" s="224">
        <v>0</v>
      </c>
      <c r="S256" s="90"/>
    </row>
    <row r="257" spans="1:19" x14ac:dyDescent="0.2">
      <c r="A257" s="216"/>
      <c r="B257" s="225" t="s">
        <v>54</v>
      </c>
      <c r="C257" s="227">
        <v>2.6282086545757624</v>
      </c>
      <c r="D257" s="226">
        <v>0</v>
      </c>
      <c r="E257" s="226">
        <v>1.5759224992954248</v>
      </c>
      <c r="F257" s="226">
        <v>3.0064566939498305</v>
      </c>
      <c r="G257" s="226">
        <v>1.6475798563068416</v>
      </c>
      <c r="H257" s="226">
        <v>-0.24790130903435767</v>
      </c>
      <c r="I257" s="227">
        <v>2.0197809334500296</v>
      </c>
      <c r="J257" s="227">
        <v>0</v>
      </c>
      <c r="K257" s="226">
        <v>0.82215691172833927</v>
      </c>
      <c r="L257" s="226">
        <v>-0.18588703057704875</v>
      </c>
      <c r="M257" s="226">
        <v>0.15643906638705987</v>
      </c>
      <c r="N257" s="227">
        <v>0</v>
      </c>
      <c r="O257" s="227">
        <v>0.41558921089936129</v>
      </c>
      <c r="P257" s="227">
        <v>0</v>
      </c>
      <c r="Q257" s="226">
        <v>0</v>
      </c>
      <c r="R257" s="227">
        <v>0</v>
      </c>
      <c r="S257" s="230"/>
    </row>
    <row r="258" spans="1:19" x14ac:dyDescent="0.2">
      <c r="A258" s="220" t="s">
        <v>78</v>
      </c>
      <c r="B258" s="214" t="s">
        <v>14</v>
      </c>
      <c r="C258" s="221">
        <v>106515.87517121212</v>
      </c>
      <c r="D258" s="222">
        <v>74175.64027130435</v>
      </c>
      <c r="E258" s="222">
        <v>77077.864649289098</v>
      </c>
      <c r="F258" s="222">
        <v>0</v>
      </c>
      <c r="G258" s="222">
        <v>73505.332748717949</v>
      </c>
      <c r="H258" s="222">
        <v>0</v>
      </c>
      <c r="I258" s="221">
        <v>89490.38025434663</v>
      </c>
      <c r="J258" s="221">
        <v>0</v>
      </c>
      <c r="K258" s="222">
        <v>58259.672012727278</v>
      </c>
      <c r="L258" s="222">
        <v>59900.502369230773</v>
      </c>
      <c r="M258" s="222">
        <v>0</v>
      </c>
      <c r="N258" s="221">
        <v>0</v>
      </c>
      <c r="O258" s="221">
        <v>59105.386337444936</v>
      </c>
      <c r="P258" s="221">
        <v>0</v>
      </c>
      <c r="Q258" s="222">
        <v>0</v>
      </c>
      <c r="R258" s="221">
        <v>0</v>
      </c>
      <c r="S258" s="90"/>
    </row>
    <row r="259" spans="1:19" x14ac:dyDescent="0.2">
      <c r="A259" s="216"/>
      <c r="B259" s="223" t="s">
        <v>16</v>
      </c>
      <c r="C259" s="224">
        <v>111604.11204646464</v>
      </c>
      <c r="D259" s="90">
        <v>74978.627092156865</v>
      </c>
      <c r="E259" s="90">
        <v>79871.872799533245</v>
      </c>
      <c r="F259" s="90">
        <v>0</v>
      </c>
      <c r="G259" s="90">
        <v>74795.77829473684</v>
      </c>
      <c r="H259" s="90">
        <v>0</v>
      </c>
      <c r="I259" s="224">
        <v>93143.377582813366</v>
      </c>
      <c r="J259" s="224">
        <v>0</v>
      </c>
      <c r="K259" s="90">
        <v>59940.656569642852</v>
      </c>
      <c r="L259" s="90">
        <v>61479.711747474743</v>
      </c>
      <c r="M259" s="90">
        <v>0</v>
      </c>
      <c r="N259" s="224">
        <v>0</v>
      </c>
      <c r="O259" s="224">
        <v>60662.772506161142</v>
      </c>
      <c r="P259" s="224">
        <v>0</v>
      </c>
      <c r="Q259" s="90">
        <v>0</v>
      </c>
      <c r="R259" s="224">
        <v>0</v>
      </c>
      <c r="S259" s="90"/>
    </row>
    <row r="260" spans="1:19" x14ac:dyDescent="0.2">
      <c r="A260" s="216"/>
      <c r="B260" s="225" t="s">
        <v>18</v>
      </c>
      <c r="C260" s="227">
        <v>4.7769751382822152</v>
      </c>
      <c r="D260" s="226">
        <v>1.0825478794864669</v>
      </c>
      <c r="E260" s="226">
        <v>3.6249163919591223</v>
      </c>
      <c r="F260" s="226">
        <v>0</v>
      </c>
      <c r="G260" s="226">
        <v>1.7555808507531701</v>
      </c>
      <c r="H260" s="226">
        <v>0</v>
      </c>
      <c r="I260" s="227">
        <v>4.0820000072458136</v>
      </c>
      <c r="J260" s="227">
        <v>0</v>
      </c>
      <c r="K260" s="226">
        <v>2.8853313086766934</v>
      </c>
      <c r="L260" s="226">
        <v>2.6363875356330326</v>
      </c>
      <c r="M260" s="226">
        <v>0</v>
      </c>
      <c r="N260" s="227">
        <v>0</v>
      </c>
      <c r="O260" s="227">
        <v>2.6349310362760594</v>
      </c>
      <c r="P260" s="227">
        <v>0</v>
      </c>
      <c r="Q260" s="226">
        <v>0</v>
      </c>
      <c r="R260" s="227">
        <v>0</v>
      </c>
      <c r="S260" s="230"/>
    </row>
    <row r="261" spans="1:19" x14ac:dyDescent="0.2">
      <c r="A261" s="216"/>
      <c r="B261" s="214" t="s">
        <v>20</v>
      </c>
      <c r="C261" s="221">
        <v>76424.423953566002</v>
      </c>
      <c r="D261" s="222">
        <v>57213.259771199999</v>
      </c>
      <c r="E261" s="222">
        <v>61029.925310664607</v>
      </c>
      <c r="F261" s="222">
        <v>0</v>
      </c>
      <c r="G261" s="222">
        <v>58922.013140350871</v>
      </c>
      <c r="H261" s="222">
        <v>0</v>
      </c>
      <c r="I261" s="221">
        <v>67446.417528091406</v>
      </c>
      <c r="J261" s="221">
        <v>0</v>
      </c>
      <c r="K261" s="222">
        <v>50134.663225419667</v>
      </c>
      <c r="L261" s="222">
        <v>49795.352963835612</v>
      </c>
      <c r="M261" s="222">
        <v>0</v>
      </c>
      <c r="N261" s="221">
        <v>0</v>
      </c>
      <c r="O261" s="221">
        <v>49976.28950997442</v>
      </c>
      <c r="P261" s="221">
        <v>0</v>
      </c>
      <c r="Q261" s="222">
        <v>0</v>
      </c>
      <c r="R261" s="221">
        <v>0</v>
      </c>
      <c r="S261" s="90"/>
    </row>
    <row r="262" spans="1:19" x14ac:dyDescent="0.2">
      <c r="A262" s="216"/>
      <c r="B262" s="223" t="s">
        <v>22</v>
      </c>
      <c r="C262" s="224">
        <v>80193.873473511892</v>
      </c>
      <c r="D262" s="90">
        <v>60167.576050000003</v>
      </c>
      <c r="E262" s="90">
        <v>62616.92422848392</v>
      </c>
      <c r="F262" s="90">
        <v>0</v>
      </c>
      <c r="G262" s="90">
        <v>62631.115371874999</v>
      </c>
      <c r="H262" s="90">
        <v>0</v>
      </c>
      <c r="I262" s="224">
        <v>70277.052957475084</v>
      </c>
      <c r="J262" s="224">
        <v>0</v>
      </c>
      <c r="K262" s="90">
        <v>50044.407451612904</v>
      </c>
      <c r="L262" s="90">
        <v>50453.980449999995</v>
      </c>
      <c r="M262" s="90">
        <v>0</v>
      </c>
      <c r="N262" s="224">
        <v>0</v>
      </c>
      <c r="O262" s="224">
        <v>50236.512836890652</v>
      </c>
      <c r="P262" s="224">
        <v>0</v>
      </c>
      <c r="Q262" s="90">
        <v>0</v>
      </c>
      <c r="R262" s="224">
        <v>0</v>
      </c>
      <c r="S262" s="90"/>
    </row>
    <row r="263" spans="1:19" x14ac:dyDescent="0.2">
      <c r="A263" s="216"/>
      <c r="B263" s="225" t="s">
        <v>24</v>
      </c>
      <c r="C263" s="227">
        <v>4.9322576801313351</v>
      </c>
      <c r="D263" s="226">
        <v>5.1636915823613805</v>
      </c>
      <c r="E263" s="226">
        <v>2.6003618876164594</v>
      </c>
      <c r="F263" s="226">
        <v>0</v>
      </c>
      <c r="G263" s="226">
        <v>6.2949346667588095</v>
      </c>
      <c r="H263" s="226">
        <v>0</v>
      </c>
      <c r="I263" s="227">
        <v>4.1968655017217475</v>
      </c>
      <c r="J263" s="227">
        <v>0</v>
      </c>
      <c r="K263" s="226">
        <v>-0.18002668812383765</v>
      </c>
      <c r="L263" s="226">
        <v>1.3226685764085624</v>
      </c>
      <c r="M263" s="226">
        <v>0</v>
      </c>
      <c r="N263" s="227">
        <v>0</v>
      </c>
      <c r="O263" s="227">
        <v>0.52069357182728715</v>
      </c>
      <c r="P263" s="227">
        <v>0</v>
      </c>
      <c r="Q263" s="226">
        <v>0</v>
      </c>
      <c r="R263" s="227">
        <v>0</v>
      </c>
      <c r="S263" s="230"/>
    </row>
    <row r="264" spans="1:19" x14ac:dyDescent="0.2">
      <c r="A264" s="216"/>
      <c r="B264" s="214" t="s">
        <v>26</v>
      </c>
      <c r="C264" s="221">
        <v>64813.182217333328</v>
      </c>
      <c r="D264" s="222">
        <v>49587.758484285718</v>
      </c>
      <c r="E264" s="222">
        <v>50698.837652415808</v>
      </c>
      <c r="F264" s="222">
        <v>0</v>
      </c>
      <c r="G264" s="222">
        <v>52983.439246913578</v>
      </c>
      <c r="H264" s="222">
        <v>0</v>
      </c>
      <c r="I264" s="221">
        <v>56349.175674069149</v>
      </c>
      <c r="J264" s="221">
        <v>0</v>
      </c>
      <c r="K264" s="222">
        <v>42388.606202272727</v>
      </c>
      <c r="L264" s="222">
        <v>41290.212368085107</v>
      </c>
      <c r="M264" s="222">
        <v>0</v>
      </c>
      <c r="N264" s="221">
        <v>0</v>
      </c>
      <c r="O264" s="221">
        <v>41821.303892307697</v>
      </c>
      <c r="P264" s="221">
        <v>0</v>
      </c>
      <c r="Q264" s="222">
        <v>0</v>
      </c>
      <c r="R264" s="221">
        <v>0</v>
      </c>
      <c r="S264" s="90"/>
    </row>
    <row r="265" spans="1:19" x14ac:dyDescent="0.2">
      <c r="A265" s="216"/>
      <c r="B265" s="223" t="s">
        <v>28</v>
      </c>
      <c r="C265" s="224">
        <v>68042.037561921097</v>
      </c>
      <c r="D265" s="90">
        <v>47554.644252380953</v>
      </c>
      <c r="E265" s="90">
        <v>53291.274078386166</v>
      </c>
      <c r="F265" s="90">
        <v>0</v>
      </c>
      <c r="G265" s="90">
        <v>54106.065911392412</v>
      </c>
      <c r="H265" s="90">
        <v>0</v>
      </c>
      <c r="I265" s="224">
        <v>58649.741222537108</v>
      </c>
      <c r="J265" s="224">
        <v>0</v>
      </c>
      <c r="K265" s="90">
        <v>43702.388555056183</v>
      </c>
      <c r="L265" s="90">
        <v>42633.372014364642</v>
      </c>
      <c r="M265" s="90">
        <v>0</v>
      </c>
      <c r="N265" s="224">
        <v>0</v>
      </c>
      <c r="O265" s="224">
        <v>43163.413641782732</v>
      </c>
      <c r="P265" s="224">
        <v>0</v>
      </c>
      <c r="Q265" s="90">
        <v>0</v>
      </c>
      <c r="R265" s="224">
        <v>0</v>
      </c>
      <c r="S265" s="90"/>
    </row>
    <row r="266" spans="1:19" x14ac:dyDescent="0.2">
      <c r="A266" s="216"/>
      <c r="B266" s="225" t="s">
        <v>30</v>
      </c>
      <c r="C266" s="227">
        <v>4.9817880161487587</v>
      </c>
      <c r="D266" s="226">
        <v>-4.100032536354826</v>
      </c>
      <c r="E266" s="226">
        <v>5.1134040660729578</v>
      </c>
      <c r="F266" s="226">
        <v>0</v>
      </c>
      <c r="G266" s="226">
        <v>2.1188255810408338</v>
      </c>
      <c r="H266" s="226">
        <v>0</v>
      </c>
      <c r="I266" s="227">
        <v>4.0826960127593086</v>
      </c>
      <c r="J266" s="227">
        <v>0</v>
      </c>
      <c r="K266" s="226">
        <v>3.0993761543237883</v>
      </c>
      <c r="L266" s="226">
        <v>3.2529734512039421</v>
      </c>
      <c r="M266" s="226">
        <v>0</v>
      </c>
      <c r="N266" s="227">
        <v>0</v>
      </c>
      <c r="O266" s="227">
        <v>3.2091532892686625</v>
      </c>
      <c r="P266" s="227">
        <v>0</v>
      </c>
      <c r="Q266" s="226">
        <v>0</v>
      </c>
      <c r="R266" s="227">
        <v>0</v>
      </c>
      <c r="S266" s="230"/>
    </row>
    <row r="267" spans="1:19" x14ac:dyDescent="0.2">
      <c r="A267" s="216"/>
      <c r="B267" s="214" t="s">
        <v>32</v>
      </c>
      <c r="C267" s="221">
        <v>44992.558275524476</v>
      </c>
      <c r="D267" s="222">
        <v>40930.837948387096</v>
      </c>
      <c r="E267" s="222">
        <v>37469.206657851239</v>
      </c>
      <c r="F267" s="222">
        <v>0</v>
      </c>
      <c r="G267" s="222">
        <v>45031.194176470584</v>
      </c>
      <c r="H267" s="222">
        <v>0</v>
      </c>
      <c r="I267" s="221">
        <v>40498.545316397234</v>
      </c>
      <c r="J267" s="221">
        <v>0</v>
      </c>
      <c r="K267" s="222">
        <v>38072.114322656249</v>
      </c>
      <c r="L267" s="222">
        <v>36902.864296511631</v>
      </c>
      <c r="M267" s="222">
        <v>0</v>
      </c>
      <c r="N267" s="221">
        <v>0</v>
      </c>
      <c r="O267" s="221">
        <v>37602.22879813084</v>
      </c>
      <c r="P267" s="221">
        <v>0</v>
      </c>
      <c r="Q267" s="222">
        <v>0</v>
      </c>
      <c r="R267" s="221">
        <v>0</v>
      </c>
      <c r="S267" s="90"/>
    </row>
    <row r="268" spans="1:19" x14ac:dyDescent="0.2">
      <c r="A268" s="216"/>
      <c r="B268" s="223" t="s">
        <v>34</v>
      </c>
      <c r="C268" s="224">
        <v>45553.229996491231</v>
      </c>
      <c r="D268" s="90">
        <v>43969.019833333332</v>
      </c>
      <c r="E268" s="90">
        <v>39509.143176865677</v>
      </c>
      <c r="F268" s="90">
        <v>0</v>
      </c>
      <c r="G268" s="90">
        <v>48242.455421052633</v>
      </c>
      <c r="H268" s="90">
        <v>0</v>
      </c>
      <c r="I268" s="224">
        <v>42175.079982553194</v>
      </c>
      <c r="J268" s="224">
        <v>0</v>
      </c>
      <c r="K268" s="90">
        <v>38989.131494915258</v>
      </c>
      <c r="L268" s="90">
        <v>38725.72578909091</v>
      </c>
      <c r="M268" s="90">
        <v>0</v>
      </c>
      <c r="N268" s="224">
        <v>0</v>
      </c>
      <c r="O268" s="224">
        <v>38894.649013478258</v>
      </c>
      <c r="P268" s="224">
        <v>0</v>
      </c>
      <c r="Q268" s="90">
        <v>0</v>
      </c>
      <c r="R268" s="224">
        <v>0</v>
      </c>
      <c r="S268" s="90"/>
    </row>
    <row r="269" spans="1:19" x14ac:dyDescent="0.2">
      <c r="A269" s="216"/>
      <c r="B269" s="225" t="s">
        <v>36</v>
      </c>
      <c r="C269" s="227">
        <v>1.2461432344729664</v>
      </c>
      <c r="D269" s="226">
        <v>7.4227209537642933</v>
      </c>
      <c r="E269" s="226">
        <v>5.4443013369406188</v>
      </c>
      <c r="F269" s="226">
        <v>0</v>
      </c>
      <c r="G269" s="226">
        <v>7.1311927283064955</v>
      </c>
      <c r="H269" s="226">
        <v>0</v>
      </c>
      <c r="I269" s="227">
        <v>4.1397404599546359</v>
      </c>
      <c r="J269" s="227">
        <v>0</v>
      </c>
      <c r="K269" s="226">
        <v>2.4086321145377099</v>
      </c>
      <c r="L269" s="226">
        <v>4.9396206157135376</v>
      </c>
      <c r="M269" s="226">
        <v>0</v>
      </c>
      <c r="N269" s="227">
        <v>0</v>
      </c>
      <c r="O269" s="227">
        <v>3.4370840683030544</v>
      </c>
      <c r="P269" s="227">
        <v>0</v>
      </c>
      <c r="Q269" s="226">
        <v>0</v>
      </c>
      <c r="R269" s="227">
        <v>0</v>
      </c>
      <c r="S269" s="230"/>
    </row>
    <row r="270" spans="1:19" x14ac:dyDescent="0.2">
      <c r="A270" s="216"/>
      <c r="B270" s="214" t="s">
        <v>38</v>
      </c>
      <c r="C270" s="221">
        <v>40374.741732851988</v>
      </c>
      <c r="D270" s="222">
        <v>37182</v>
      </c>
      <c r="E270" s="222">
        <v>33734.608870422533</v>
      </c>
      <c r="F270" s="222">
        <v>0</v>
      </c>
      <c r="G270" s="222">
        <v>42352.555555555555</v>
      </c>
      <c r="H270" s="222">
        <v>0</v>
      </c>
      <c r="I270" s="221">
        <v>38517.180679999998</v>
      </c>
      <c r="J270" s="221">
        <v>0</v>
      </c>
      <c r="K270" s="222">
        <v>0</v>
      </c>
      <c r="L270" s="222">
        <v>38599.125</v>
      </c>
      <c r="M270" s="222">
        <v>0</v>
      </c>
      <c r="N270" s="221">
        <v>0</v>
      </c>
      <c r="O270" s="221">
        <v>38599.125</v>
      </c>
      <c r="P270" s="221">
        <v>0</v>
      </c>
      <c r="Q270" s="222">
        <v>0</v>
      </c>
      <c r="R270" s="221">
        <v>0</v>
      </c>
      <c r="S270" s="90"/>
    </row>
    <row r="271" spans="1:19" x14ac:dyDescent="0.2">
      <c r="A271" s="216"/>
      <c r="B271" s="223" t="s">
        <v>40</v>
      </c>
      <c r="C271" s="224">
        <v>42520.002471672349</v>
      </c>
      <c r="D271" s="90">
        <v>47267.399872131158</v>
      </c>
      <c r="E271" s="90">
        <v>34468.226724503307</v>
      </c>
      <c r="F271" s="90">
        <v>0</v>
      </c>
      <c r="G271" s="90">
        <v>43116.26470588235</v>
      </c>
      <c r="H271" s="90">
        <v>0</v>
      </c>
      <c r="I271" s="224">
        <v>40839.197313172546</v>
      </c>
      <c r="J271" s="224">
        <v>0</v>
      </c>
      <c r="K271" s="90">
        <v>0</v>
      </c>
      <c r="L271" s="90">
        <v>0</v>
      </c>
      <c r="M271" s="90">
        <v>0</v>
      </c>
      <c r="N271" s="224">
        <v>0</v>
      </c>
      <c r="O271" s="224">
        <v>0</v>
      </c>
      <c r="P271" s="224">
        <v>0</v>
      </c>
      <c r="Q271" s="90">
        <v>0</v>
      </c>
      <c r="R271" s="224">
        <v>0</v>
      </c>
      <c r="S271" s="90"/>
    </row>
    <row r="272" spans="1:19" x14ac:dyDescent="0.2">
      <c r="A272" s="216"/>
      <c r="B272" s="225" t="s">
        <v>42</v>
      </c>
      <c r="C272" s="227">
        <v>5.3133732793015307</v>
      </c>
      <c r="D272" s="226">
        <v>27.124414695635412</v>
      </c>
      <c r="E272" s="226">
        <v>2.1746742548540046</v>
      </c>
      <c r="F272" s="226">
        <v>0</v>
      </c>
      <c r="G272" s="226">
        <v>1.8032185786876702</v>
      </c>
      <c r="H272" s="226">
        <v>0</v>
      </c>
      <c r="I272" s="227">
        <v>6.0285217977499927</v>
      </c>
      <c r="J272" s="227">
        <v>0</v>
      </c>
      <c r="K272" s="226">
        <v>0</v>
      </c>
      <c r="L272" s="226">
        <v>-100</v>
      </c>
      <c r="M272" s="226">
        <v>0</v>
      </c>
      <c r="N272" s="227">
        <v>0</v>
      </c>
      <c r="O272" s="227">
        <v>-100</v>
      </c>
      <c r="P272" s="227">
        <v>0</v>
      </c>
      <c r="Q272" s="226">
        <v>0</v>
      </c>
      <c r="R272" s="227">
        <v>0</v>
      </c>
      <c r="S272" s="230"/>
    </row>
    <row r="273" spans="1:19" x14ac:dyDescent="0.2">
      <c r="A273" s="216"/>
      <c r="B273" s="214" t="s">
        <v>44</v>
      </c>
      <c r="C273" s="221">
        <v>0</v>
      </c>
      <c r="D273" s="222">
        <v>0</v>
      </c>
      <c r="E273" s="222">
        <v>0</v>
      </c>
      <c r="F273" s="222">
        <v>0</v>
      </c>
      <c r="G273" s="222">
        <v>0</v>
      </c>
      <c r="H273" s="222">
        <v>0</v>
      </c>
      <c r="I273" s="221">
        <v>0</v>
      </c>
      <c r="J273" s="221">
        <v>0</v>
      </c>
      <c r="K273" s="222">
        <v>0</v>
      </c>
      <c r="L273" s="222">
        <v>0</v>
      </c>
      <c r="M273" s="222">
        <v>0</v>
      </c>
      <c r="N273" s="221">
        <v>0</v>
      </c>
      <c r="O273" s="221">
        <v>0</v>
      </c>
      <c r="P273" s="221">
        <v>0</v>
      </c>
      <c r="Q273" s="222">
        <v>36905.217244990548</v>
      </c>
      <c r="R273" s="221">
        <v>36905.217244990548</v>
      </c>
      <c r="S273" s="90"/>
    </row>
    <row r="274" spans="1:19" x14ac:dyDescent="0.2">
      <c r="A274" s="216"/>
      <c r="B274" s="223" t="s">
        <v>46</v>
      </c>
      <c r="C274" s="224">
        <v>0</v>
      </c>
      <c r="D274" s="90">
        <v>0</v>
      </c>
      <c r="E274" s="90">
        <v>0</v>
      </c>
      <c r="F274" s="90">
        <v>0</v>
      </c>
      <c r="G274" s="90">
        <v>0</v>
      </c>
      <c r="H274" s="90">
        <v>0</v>
      </c>
      <c r="I274" s="224">
        <v>0</v>
      </c>
      <c r="J274" s="224">
        <v>0</v>
      </c>
      <c r="K274" s="90">
        <v>0</v>
      </c>
      <c r="L274" s="90">
        <v>0</v>
      </c>
      <c r="M274" s="90">
        <v>0</v>
      </c>
      <c r="N274" s="224">
        <v>0</v>
      </c>
      <c r="O274" s="224">
        <v>0</v>
      </c>
      <c r="P274" s="224">
        <v>0</v>
      </c>
      <c r="Q274" s="90">
        <v>38396.573581620098</v>
      </c>
      <c r="R274" s="224">
        <v>38396.573581620098</v>
      </c>
      <c r="S274" s="90"/>
    </row>
    <row r="275" spans="1:19" x14ac:dyDescent="0.2">
      <c r="A275" s="216"/>
      <c r="B275" s="225" t="s">
        <v>48</v>
      </c>
      <c r="C275" s="227">
        <v>0</v>
      </c>
      <c r="D275" s="226">
        <v>0</v>
      </c>
      <c r="E275" s="226">
        <v>0</v>
      </c>
      <c r="F275" s="226">
        <v>0</v>
      </c>
      <c r="G275" s="226">
        <v>0</v>
      </c>
      <c r="H275" s="226">
        <v>0</v>
      </c>
      <c r="I275" s="227">
        <v>0</v>
      </c>
      <c r="J275" s="227">
        <v>0</v>
      </c>
      <c r="K275" s="226">
        <v>0</v>
      </c>
      <c r="L275" s="226">
        <v>0</v>
      </c>
      <c r="M275" s="226">
        <v>0</v>
      </c>
      <c r="N275" s="227">
        <v>0</v>
      </c>
      <c r="O275" s="227">
        <v>0</v>
      </c>
      <c r="P275" s="227">
        <v>0</v>
      </c>
      <c r="Q275" s="226">
        <v>4.0410447301512189</v>
      </c>
      <c r="R275" s="227">
        <v>4.0410447301512189</v>
      </c>
      <c r="S275" s="230"/>
    </row>
    <row r="276" spans="1:19" x14ac:dyDescent="0.2">
      <c r="A276" s="216"/>
      <c r="B276" s="214" t="s">
        <v>50</v>
      </c>
      <c r="C276" s="221">
        <v>77389.687229785515</v>
      </c>
      <c r="D276" s="222">
        <v>57832.35075971223</v>
      </c>
      <c r="E276" s="222">
        <v>59822.223622908517</v>
      </c>
      <c r="F276" s="222">
        <v>0</v>
      </c>
      <c r="G276" s="222">
        <v>57751.886990647479</v>
      </c>
      <c r="H276" s="222">
        <v>0</v>
      </c>
      <c r="I276" s="221">
        <v>67160.426279245294</v>
      </c>
      <c r="J276" s="221">
        <v>0</v>
      </c>
      <c r="K276" s="222">
        <v>46424.999420855056</v>
      </c>
      <c r="L276" s="222">
        <v>46590.95081552941</v>
      </c>
      <c r="M276" s="222">
        <v>0</v>
      </c>
      <c r="N276" s="221">
        <v>0</v>
      </c>
      <c r="O276" s="221">
        <v>46502.975476948595</v>
      </c>
      <c r="P276" s="221">
        <v>0</v>
      </c>
      <c r="Q276" s="222">
        <v>36905.217244990548</v>
      </c>
      <c r="R276" s="221">
        <v>36905.217244990548</v>
      </c>
      <c r="S276" s="90"/>
    </row>
    <row r="277" spans="1:19" x14ac:dyDescent="0.2">
      <c r="A277" s="216"/>
      <c r="B277" s="223" t="s">
        <v>52</v>
      </c>
      <c r="C277" s="224">
        <v>80524.576131899652</v>
      </c>
      <c r="D277" s="90">
        <v>57626.099739088735</v>
      </c>
      <c r="E277" s="90">
        <v>61805.697036828045</v>
      </c>
      <c r="F277" s="90">
        <v>0</v>
      </c>
      <c r="G277" s="90">
        <v>60109.593361029416</v>
      </c>
      <c r="H277" s="90">
        <v>0</v>
      </c>
      <c r="I277" s="224">
        <v>69499.132230843214</v>
      </c>
      <c r="J277" s="224">
        <v>0</v>
      </c>
      <c r="K277" s="90">
        <v>46722.741591700411</v>
      </c>
      <c r="L277" s="90">
        <v>47633.575022471916</v>
      </c>
      <c r="M277" s="90">
        <v>0</v>
      </c>
      <c r="N277" s="224">
        <v>0</v>
      </c>
      <c r="O277" s="224">
        <v>47130.554659362773</v>
      </c>
      <c r="P277" s="224">
        <v>0</v>
      </c>
      <c r="Q277" s="90">
        <v>38396.573581620098</v>
      </c>
      <c r="R277" s="224">
        <v>38396.573581620098</v>
      </c>
      <c r="S277" s="90"/>
    </row>
    <row r="278" spans="1:19" x14ac:dyDescent="0.2">
      <c r="A278" s="216"/>
      <c r="B278" s="225" t="s">
        <v>54</v>
      </c>
      <c r="C278" s="227">
        <v>4.0507837857078064</v>
      </c>
      <c r="D278" s="226">
        <v>-0.35663606599781417</v>
      </c>
      <c r="E278" s="226">
        <v>3.3156129842688933</v>
      </c>
      <c r="F278" s="226">
        <v>0</v>
      </c>
      <c r="G278" s="226">
        <v>4.0824750380255992</v>
      </c>
      <c r="H278" s="226">
        <v>0</v>
      </c>
      <c r="I278" s="227">
        <v>3.4822678788157937</v>
      </c>
      <c r="J278" s="227">
        <v>0</v>
      </c>
      <c r="K278" s="226">
        <v>0.64134017137241583</v>
      </c>
      <c r="L278" s="226">
        <v>2.237825562029494</v>
      </c>
      <c r="M278" s="226">
        <v>0</v>
      </c>
      <c r="N278" s="227">
        <v>0</v>
      </c>
      <c r="O278" s="227">
        <v>1.3495462945704781</v>
      </c>
      <c r="P278" s="227">
        <v>0</v>
      </c>
      <c r="Q278" s="226">
        <v>4.0410447301512189</v>
      </c>
      <c r="R278" s="227">
        <v>4.0410447301512189</v>
      </c>
      <c r="S278" s="230"/>
    </row>
    <row r="279" spans="1:19" x14ac:dyDescent="0.2">
      <c r="A279" s="220" t="s">
        <v>77</v>
      </c>
      <c r="B279" s="214" t="s">
        <v>14</v>
      </c>
      <c r="C279" s="221">
        <v>122335.85140233766</v>
      </c>
      <c r="D279" s="222">
        <v>105760.78974358975</v>
      </c>
      <c r="E279" s="222">
        <v>86544.843008138763</v>
      </c>
      <c r="F279" s="222">
        <v>88824.555361538456</v>
      </c>
      <c r="G279" s="222">
        <v>89027.798342857146</v>
      </c>
      <c r="H279" s="222">
        <v>98105.197966666659</v>
      </c>
      <c r="I279" s="221">
        <v>109758.07101240676</v>
      </c>
      <c r="J279" s="221">
        <v>66147.287400000001</v>
      </c>
      <c r="K279" s="222">
        <v>66002.143641676783</v>
      </c>
      <c r="L279" s="222">
        <v>49445.57222238095</v>
      </c>
      <c r="M279" s="222">
        <v>53912.426844827591</v>
      </c>
      <c r="N279" s="221">
        <v>0</v>
      </c>
      <c r="O279" s="221">
        <v>62509.439564001827</v>
      </c>
      <c r="P279" s="221">
        <v>0</v>
      </c>
      <c r="Q279" s="222">
        <v>0</v>
      </c>
      <c r="R279" s="221">
        <v>0</v>
      </c>
      <c r="S279" s="90"/>
    </row>
    <row r="280" spans="1:19" x14ac:dyDescent="0.2">
      <c r="A280" s="216"/>
      <c r="B280" s="223" t="s">
        <v>16</v>
      </c>
      <c r="C280" s="224">
        <v>127811.111784875</v>
      </c>
      <c r="D280" s="90">
        <v>106080.31958762887</v>
      </c>
      <c r="E280" s="90">
        <v>86101.785086267177</v>
      </c>
      <c r="F280" s="90">
        <v>90095.410833333328</v>
      </c>
      <c r="G280" s="90">
        <v>86529.934153571419</v>
      </c>
      <c r="H280" s="90">
        <v>101190.01098518519</v>
      </c>
      <c r="I280" s="224">
        <v>112759.28730482994</v>
      </c>
      <c r="J280" s="224">
        <v>66057.148861290319</v>
      </c>
      <c r="K280" s="90">
        <v>64789.206722976189</v>
      </c>
      <c r="L280" s="90">
        <v>49020.9745625</v>
      </c>
      <c r="M280" s="90">
        <v>54222.562462068963</v>
      </c>
      <c r="N280" s="224">
        <v>0</v>
      </c>
      <c r="O280" s="224">
        <v>61679.413168999999</v>
      </c>
      <c r="P280" s="224">
        <v>0</v>
      </c>
      <c r="Q280" s="90">
        <v>0</v>
      </c>
      <c r="R280" s="224">
        <v>0</v>
      </c>
      <c r="S280" s="90"/>
    </row>
    <row r="281" spans="1:19" x14ac:dyDescent="0.2">
      <c r="A281" s="216"/>
      <c r="B281" s="225" t="s">
        <v>18</v>
      </c>
      <c r="C281" s="227">
        <v>4.4755975617730588</v>
      </c>
      <c r="D281" s="226">
        <v>0.30212505486560698</v>
      </c>
      <c r="E281" s="512">
        <v>-0.51194029184375656</v>
      </c>
      <c r="F281" s="226">
        <v>1.4307479126939255</v>
      </c>
      <c r="G281" s="512">
        <v>-2.8057126378281767</v>
      </c>
      <c r="H281" s="226">
        <v>3.1443930418107517</v>
      </c>
      <c r="I281" s="227">
        <v>2.7343923455833439</v>
      </c>
      <c r="J281" s="227">
        <v>-0.13626944089876858</v>
      </c>
      <c r="K281" s="226">
        <v>-1.8377235219595049</v>
      </c>
      <c r="L281" s="512">
        <v>-0.85871725373371477</v>
      </c>
      <c r="M281" s="226">
        <v>0.57525812765582685</v>
      </c>
      <c r="N281" s="227">
        <v>0</v>
      </c>
      <c r="O281" s="227">
        <v>-1.3278416840579479</v>
      </c>
      <c r="P281" s="227">
        <v>0</v>
      </c>
      <c r="Q281" s="226">
        <v>0</v>
      </c>
      <c r="R281" s="227">
        <v>0</v>
      </c>
      <c r="S281" s="230"/>
    </row>
    <row r="282" spans="1:19" x14ac:dyDescent="0.2">
      <c r="A282" s="216"/>
      <c r="B282" s="214" t="s">
        <v>20</v>
      </c>
      <c r="C282" s="221">
        <v>81473.092664596275</v>
      </c>
      <c r="D282" s="222">
        <v>77300.310272536692</v>
      </c>
      <c r="E282" s="222">
        <v>69263.55303256659</v>
      </c>
      <c r="F282" s="222">
        <v>72517.056603773584</v>
      </c>
      <c r="G282" s="222">
        <v>70642.922453191495</v>
      </c>
      <c r="H282" s="222">
        <v>66528.928571428565</v>
      </c>
      <c r="I282" s="221">
        <v>76221.662012852117</v>
      </c>
      <c r="J282" s="221">
        <v>54473.567054545449</v>
      </c>
      <c r="K282" s="222">
        <v>54352.776293821989</v>
      </c>
      <c r="L282" s="222">
        <v>48272.305651655632</v>
      </c>
      <c r="M282" s="222">
        <v>48654.734008333333</v>
      </c>
      <c r="N282" s="221">
        <v>0</v>
      </c>
      <c r="O282" s="221">
        <v>53477.415180434778</v>
      </c>
      <c r="P282" s="221">
        <v>0</v>
      </c>
      <c r="Q282" s="222">
        <v>0</v>
      </c>
      <c r="R282" s="221">
        <v>0</v>
      </c>
      <c r="S282" s="90"/>
    </row>
    <row r="283" spans="1:19" x14ac:dyDescent="0.2">
      <c r="A283" s="216"/>
      <c r="B283" s="223" t="s">
        <v>22</v>
      </c>
      <c r="C283" s="224">
        <v>84514.93294431438</v>
      </c>
      <c r="D283" s="90">
        <v>77108.149068322979</v>
      </c>
      <c r="E283" s="90">
        <v>68436.907711576627</v>
      </c>
      <c r="F283" s="90">
        <v>73709.991156862743</v>
      </c>
      <c r="G283" s="90">
        <v>68607.317332692313</v>
      </c>
      <c r="H283" s="90">
        <v>67346.142857142855</v>
      </c>
      <c r="I283" s="224">
        <v>77271.453837628651</v>
      </c>
      <c r="J283" s="224">
        <v>52460.354429729727</v>
      </c>
      <c r="K283" s="90">
        <v>52403.836539354837</v>
      </c>
      <c r="L283" s="90">
        <v>49413.609140136061</v>
      </c>
      <c r="M283" s="90">
        <v>48678.393441666667</v>
      </c>
      <c r="N283" s="224">
        <v>0</v>
      </c>
      <c r="O283" s="224">
        <v>51957.205272851068</v>
      </c>
      <c r="P283" s="224">
        <v>0</v>
      </c>
      <c r="Q283" s="90">
        <v>0</v>
      </c>
      <c r="R283" s="224">
        <v>0</v>
      </c>
      <c r="S283" s="90"/>
    </row>
    <row r="284" spans="1:19" x14ac:dyDescent="0.2">
      <c r="A284" s="216"/>
      <c r="B284" s="225" t="s">
        <v>24</v>
      </c>
      <c r="C284" s="227">
        <v>3.7335519988673767</v>
      </c>
      <c r="D284" s="226">
        <v>-0.24859046947704713</v>
      </c>
      <c r="E284" s="226">
        <v>-1.1934780772815505</v>
      </c>
      <c r="F284" s="226">
        <v>1.645039951920886</v>
      </c>
      <c r="G284" s="226">
        <v>-2.881541490370799</v>
      </c>
      <c r="H284" s="226">
        <v>1.2283593066389014</v>
      </c>
      <c r="I284" s="227">
        <v>1.3772880268597698</v>
      </c>
      <c r="J284" s="227">
        <v>-3.6957605930227642</v>
      </c>
      <c r="K284" s="226">
        <v>-3.5857225469615583</v>
      </c>
      <c r="L284" s="226">
        <v>2.3643028296935822</v>
      </c>
      <c r="M284" s="226">
        <v>4.8627196953295225E-2</v>
      </c>
      <c r="N284" s="227">
        <v>0</v>
      </c>
      <c r="O284" s="227">
        <v>-2.8427138867023882</v>
      </c>
      <c r="P284" s="227">
        <v>0</v>
      </c>
      <c r="Q284" s="226">
        <v>0</v>
      </c>
      <c r="R284" s="227">
        <v>0</v>
      </c>
      <c r="S284" s="230"/>
    </row>
    <row r="285" spans="1:19" x14ac:dyDescent="0.2">
      <c r="A285" s="216"/>
      <c r="B285" s="214" t="s">
        <v>26</v>
      </c>
      <c r="C285" s="221">
        <v>72524.52500867052</v>
      </c>
      <c r="D285" s="222">
        <v>66734.97630331754</v>
      </c>
      <c r="E285" s="222">
        <v>59558.175991442877</v>
      </c>
      <c r="F285" s="222">
        <v>67074.938775510207</v>
      </c>
      <c r="G285" s="222">
        <v>57375.247422680412</v>
      </c>
      <c r="H285" s="222">
        <v>65825.382155555562</v>
      </c>
      <c r="I285" s="221">
        <v>65776.767740275769</v>
      </c>
      <c r="J285" s="221">
        <v>49649.129628571427</v>
      </c>
      <c r="K285" s="222">
        <v>51703.192911543447</v>
      </c>
      <c r="L285" s="222">
        <v>47407.396171428569</v>
      </c>
      <c r="M285" s="222">
        <v>47198.017204081632</v>
      </c>
      <c r="N285" s="221">
        <v>0</v>
      </c>
      <c r="O285" s="221">
        <v>50757.842838187076</v>
      </c>
      <c r="P285" s="221">
        <v>0</v>
      </c>
      <c r="Q285" s="222">
        <v>0</v>
      </c>
      <c r="R285" s="221">
        <v>0</v>
      </c>
      <c r="S285" s="90"/>
    </row>
    <row r="286" spans="1:19" x14ac:dyDescent="0.2">
      <c r="A286" s="216"/>
      <c r="B286" s="223" t="s">
        <v>28</v>
      </c>
      <c r="C286" s="224">
        <v>76152.094146173593</v>
      </c>
      <c r="D286" s="90">
        <v>68196.899999999994</v>
      </c>
      <c r="E286" s="90">
        <v>59775.277916310675</v>
      </c>
      <c r="F286" s="90">
        <v>68365.576882857131</v>
      </c>
      <c r="G286" s="90">
        <v>57194.197674418603</v>
      </c>
      <c r="H286" s="90">
        <v>65071.6</v>
      </c>
      <c r="I286" s="224">
        <v>67574.946626970224</v>
      </c>
      <c r="J286" s="224">
        <v>49566.0908375</v>
      </c>
      <c r="K286" s="90">
        <v>48521.161527864584</v>
      </c>
      <c r="L286" s="90">
        <v>46824.012402666667</v>
      </c>
      <c r="M286" s="90">
        <v>50160.096558974357</v>
      </c>
      <c r="N286" s="224">
        <v>0</v>
      </c>
      <c r="O286" s="224">
        <v>48417.921838572802</v>
      </c>
      <c r="P286" s="224">
        <v>0</v>
      </c>
      <c r="Q286" s="90">
        <v>0</v>
      </c>
      <c r="R286" s="224">
        <v>0</v>
      </c>
      <c r="S286" s="90"/>
    </row>
    <row r="287" spans="1:19" x14ac:dyDescent="0.2">
      <c r="A287" s="216"/>
      <c r="B287" s="225" t="s">
        <v>30</v>
      </c>
      <c r="C287" s="227">
        <v>5.0018516316644428</v>
      </c>
      <c r="D287" s="226">
        <v>2.1906409167478471</v>
      </c>
      <c r="E287" s="226">
        <v>0.36452077528195459</v>
      </c>
      <c r="F287" s="226">
        <v>1.9241733662500933</v>
      </c>
      <c r="G287" s="226">
        <v>-0.31555375600914537</v>
      </c>
      <c r="H287" s="226">
        <v>-1.1451238578064915</v>
      </c>
      <c r="I287" s="227">
        <v>2.7337598797719767</v>
      </c>
      <c r="J287" s="227">
        <v>-0.16725125232334595</v>
      </c>
      <c r="K287" s="226">
        <v>-6.1544194942135393</v>
      </c>
      <c r="L287" s="226">
        <v>-1.2305754288895001</v>
      </c>
      <c r="M287" s="226">
        <v>6.2758554921594625</v>
      </c>
      <c r="N287" s="227">
        <v>0</v>
      </c>
      <c r="O287" s="227">
        <v>-4.6099693540440647</v>
      </c>
      <c r="P287" s="227">
        <v>0</v>
      </c>
      <c r="Q287" s="226">
        <v>0</v>
      </c>
      <c r="R287" s="227">
        <v>0</v>
      </c>
      <c r="S287" s="230"/>
    </row>
    <row r="288" spans="1:19" x14ac:dyDescent="0.2">
      <c r="A288" s="216"/>
      <c r="B288" s="214" t="s">
        <v>32</v>
      </c>
      <c r="C288" s="221">
        <v>41452.940786885243</v>
      </c>
      <c r="D288" s="222">
        <v>52735.63636363636</v>
      </c>
      <c r="E288" s="222">
        <v>47014.362912758617</v>
      </c>
      <c r="F288" s="222">
        <v>45691.972727272725</v>
      </c>
      <c r="G288" s="222">
        <v>63118.142857142855</v>
      </c>
      <c r="H288" s="222">
        <v>0</v>
      </c>
      <c r="I288" s="221">
        <v>45334.801016849015</v>
      </c>
      <c r="J288" s="221">
        <v>50403.653784501847</v>
      </c>
      <c r="K288" s="222">
        <v>50558.004005416013</v>
      </c>
      <c r="L288" s="222">
        <v>46051.21261756614</v>
      </c>
      <c r="M288" s="222">
        <v>39678.351221188634</v>
      </c>
      <c r="N288" s="221">
        <v>0</v>
      </c>
      <c r="O288" s="221">
        <v>48623.811036454084</v>
      </c>
      <c r="P288" s="221">
        <v>0</v>
      </c>
      <c r="Q288" s="222">
        <v>0</v>
      </c>
      <c r="R288" s="221">
        <v>0</v>
      </c>
      <c r="S288" s="90"/>
    </row>
    <row r="289" spans="1:19" x14ac:dyDescent="0.2">
      <c r="A289" s="216"/>
      <c r="B289" s="223" t="s">
        <v>34</v>
      </c>
      <c r="C289" s="224">
        <v>43855.794932679739</v>
      </c>
      <c r="D289" s="90">
        <v>49985.727272727272</v>
      </c>
      <c r="E289" s="90">
        <v>45240.697146082952</v>
      </c>
      <c r="F289" s="90">
        <v>53363.904822222219</v>
      </c>
      <c r="G289" s="90">
        <v>62000</v>
      </c>
      <c r="H289" s="90">
        <v>0</v>
      </c>
      <c r="I289" s="224">
        <v>44915.404920314548</v>
      </c>
      <c r="J289" s="224">
        <v>50921.499365863456</v>
      </c>
      <c r="K289" s="90">
        <v>50869.826808674108</v>
      </c>
      <c r="L289" s="90">
        <v>47459.899409392259</v>
      </c>
      <c r="M289" s="90">
        <v>40114.719146260388</v>
      </c>
      <c r="N289" s="224">
        <v>0</v>
      </c>
      <c r="O289" s="224">
        <v>49138.255098121859</v>
      </c>
      <c r="P289" s="224">
        <v>0</v>
      </c>
      <c r="Q289" s="90">
        <v>0</v>
      </c>
      <c r="R289" s="224">
        <v>0</v>
      </c>
      <c r="S289" s="90"/>
    </row>
    <row r="290" spans="1:19" x14ac:dyDescent="0.2">
      <c r="A290" s="216"/>
      <c r="B290" s="225" t="s">
        <v>36</v>
      </c>
      <c r="C290" s="513">
        <v>5.7965830654762698</v>
      </c>
      <c r="D290" s="512">
        <v>-5.2145176971928544</v>
      </c>
      <c r="E290" s="512">
        <v>-3.7726040656276409</v>
      </c>
      <c r="F290" s="512">
        <v>16.790546866387</v>
      </c>
      <c r="G290" s="512">
        <v>-1.7715078526210453</v>
      </c>
      <c r="H290" s="226">
        <v>0</v>
      </c>
      <c r="I290" s="227">
        <v>-0.92510849750635293</v>
      </c>
      <c r="J290" s="227">
        <v>1.0273969097074402</v>
      </c>
      <c r="K290" s="226">
        <v>0.6167624877451483</v>
      </c>
      <c r="L290" s="226">
        <v>3.0589569997311621</v>
      </c>
      <c r="M290" s="226">
        <v>1.0997632503407282</v>
      </c>
      <c r="N290" s="227">
        <v>0</v>
      </c>
      <c r="O290" s="227">
        <v>1.0580085162022521</v>
      </c>
      <c r="P290" s="227">
        <v>0</v>
      </c>
      <c r="Q290" s="226">
        <v>0</v>
      </c>
      <c r="R290" s="227">
        <v>0</v>
      </c>
      <c r="S290" s="230"/>
    </row>
    <row r="291" spans="1:19" x14ac:dyDescent="0.2">
      <c r="A291" s="216"/>
      <c r="B291" s="214" t="s">
        <v>38</v>
      </c>
      <c r="C291" s="221">
        <v>53444.929116463412</v>
      </c>
      <c r="D291" s="222">
        <v>44362.541471048513</v>
      </c>
      <c r="E291" s="222">
        <v>44669.390980143966</v>
      </c>
      <c r="F291" s="222">
        <v>59072.076923076922</v>
      </c>
      <c r="G291" s="222">
        <v>48499.085325</v>
      </c>
      <c r="H291" s="222">
        <v>35198.372028409089</v>
      </c>
      <c r="I291" s="221">
        <v>48613.25882105004</v>
      </c>
      <c r="J291" s="221">
        <v>0</v>
      </c>
      <c r="K291" s="222">
        <v>37581.649122077921</v>
      </c>
      <c r="L291" s="222">
        <v>0</v>
      </c>
      <c r="M291" s="222">
        <v>0</v>
      </c>
      <c r="N291" s="221">
        <v>0</v>
      </c>
      <c r="O291" s="221">
        <v>37581.649122077921</v>
      </c>
      <c r="P291" s="221">
        <v>0</v>
      </c>
      <c r="Q291" s="222">
        <v>0</v>
      </c>
      <c r="R291" s="221">
        <v>0</v>
      </c>
      <c r="S291" s="90"/>
    </row>
    <row r="292" spans="1:19" x14ac:dyDescent="0.2">
      <c r="A292" s="216"/>
      <c r="B292" s="223" t="s">
        <v>40</v>
      </c>
      <c r="C292" s="224">
        <v>54028.73784606978</v>
      </c>
      <c r="D292" s="90">
        <v>43495.595900439235</v>
      </c>
      <c r="E292" s="90">
        <v>43311.275305597635</v>
      </c>
      <c r="F292" s="90">
        <v>44154.8</v>
      </c>
      <c r="G292" s="90">
        <v>48101.195606666661</v>
      </c>
      <c r="H292" s="90">
        <v>36300.628160808083</v>
      </c>
      <c r="I292" s="224">
        <v>48364.487976141616</v>
      </c>
      <c r="J292" s="224">
        <v>0</v>
      </c>
      <c r="K292" s="90">
        <v>40115.032626666667</v>
      </c>
      <c r="L292" s="90">
        <v>0</v>
      </c>
      <c r="M292" s="90">
        <v>0</v>
      </c>
      <c r="N292" s="224">
        <v>0</v>
      </c>
      <c r="O292" s="224">
        <v>40115.032626666667</v>
      </c>
      <c r="P292" s="224">
        <v>0</v>
      </c>
      <c r="Q292" s="90">
        <v>0</v>
      </c>
      <c r="R292" s="224">
        <v>0</v>
      </c>
      <c r="S292" s="90"/>
    </row>
    <row r="293" spans="1:19" x14ac:dyDescent="0.2">
      <c r="A293" s="216"/>
      <c r="B293" s="225" t="s">
        <v>42</v>
      </c>
      <c r="C293" s="227">
        <v>1.0923557000780615</v>
      </c>
      <c r="D293" s="226">
        <v>-1.9542288197691648</v>
      </c>
      <c r="E293" s="226">
        <v>-3.0403720416739679</v>
      </c>
      <c r="F293" s="226">
        <v>-25.252670466457527</v>
      </c>
      <c r="G293" s="226">
        <v>-0.82040664409857977</v>
      </c>
      <c r="H293" s="226">
        <v>3.1315542989015168</v>
      </c>
      <c r="I293" s="227">
        <v>-0.5117345574880563</v>
      </c>
      <c r="J293" s="227">
        <v>0</v>
      </c>
      <c r="K293" s="226">
        <v>6.7410120730983865</v>
      </c>
      <c r="L293" s="226">
        <v>0</v>
      </c>
      <c r="M293" s="226">
        <v>0</v>
      </c>
      <c r="N293" s="227">
        <v>0</v>
      </c>
      <c r="O293" s="227">
        <v>6.7410120730983865</v>
      </c>
      <c r="P293" s="227">
        <v>0</v>
      </c>
      <c r="Q293" s="226">
        <v>0</v>
      </c>
      <c r="R293" s="227">
        <v>0</v>
      </c>
      <c r="S293" s="230"/>
    </row>
    <row r="294" spans="1:19" x14ac:dyDescent="0.2">
      <c r="A294" s="216"/>
      <c r="B294" s="214" t="s">
        <v>44</v>
      </c>
      <c r="C294" s="221">
        <v>0</v>
      </c>
      <c r="D294" s="222">
        <v>0</v>
      </c>
      <c r="E294" s="222">
        <v>0</v>
      </c>
      <c r="F294" s="222">
        <v>0</v>
      </c>
      <c r="G294" s="222">
        <v>0</v>
      </c>
      <c r="H294" s="222">
        <v>0</v>
      </c>
      <c r="I294" s="221">
        <v>0</v>
      </c>
      <c r="J294" s="221">
        <v>42315.667600000008</v>
      </c>
      <c r="K294" s="222">
        <v>55398.963346730459</v>
      </c>
      <c r="L294" s="222">
        <v>52351.95760903824</v>
      </c>
      <c r="M294" s="222">
        <v>0</v>
      </c>
      <c r="N294" s="221">
        <v>0</v>
      </c>
      <c r="O294" s="221">
        <v>54589.779470553418</v>
      </c>
      <c r="P294" s="221">
        <v>0</v>
      </c>
      <c r="Q294" s="222">
        <v>0</v>
      </c>
      <c r="R294" s="221">
        <v>0</v>
      </c>
      <c r="S294" s="533"/>
    </row>
    <row r="295" spans="1:19" x14ac:dyDescent="0.2">
      <c r="A295" s="216"/>
      <c r="B295" s="223" t="s">
        <v>46</v>
      </c>
      <c r="C295" s="224">
        <v>0</v>
      </c>
      <c r="D295" s="90">
        <v>0</v>
      </c>
      <c r="E295" s="90">
        <v>0</v>
      </c>
      <c r="F295" s="90">
        <v>0</v>
      </c>
      <c r="G295" s="90">
        <v>0</v>
      </c>
      <c r="H295" s="90">
        <v>0</v>
      </c>
      <c r="I295" s="224">
        <v>0</v>
      </c>
      <c r="J295" s="224">
        <v>43164.959199999998</v>
      </c>
      <c r="K295" s="90">
        <v>54406.965926520686</v>
      </c>
      <c r="L295" s="90">
        <v>52308.973296602664</v>
      </c>
      <c r="M295" s="90">
        <v>27565.4</v>
      </c>
      <c r="N295" s="224">
        <v>0</v>
      </c>
      <c r="O295" s="224">
        <v>53796.049080997473</v>
      </c>
      <c r="P295" s="224">
        <v>0</v>
      </c>
      <c r="Q295" s="90">
        <v>0</v>
      </c>
      <c r="R295" s="224">
        <v>0</v>
      </c>
      <c r="S295" s="90"/>
    </row>
    <row r="296" spans="1:19" x14ac:dyDescent="0.2">
      <c r="A296" s="216"/>
      <c r="B296" s="225" t="s">
        <v>48</v>
      </c>
      <c r="C296" s="227">
        <v>0</v>
      </c>
      <c r="D296" s="226">
        <v>0</v>
      </c>
      <c r="E296" s="226">
        <v>0</v>
      </c>
      <c r="F296" s="226">
        <v>0</v>
      </c>
      <c r="G296" s="226">
        <v>0</v>
      </c>
      <c r="H296" s="226">
        <v>0</v>
      </c>
      <c r="I296" s="227">
        <v>0</v>
      </c>
      <c r="J296" s="227">
        <v>2.0070381685293071</v>
      </c>
      <c r="K296" s="226">
        <v>-1.7906425685279879</v>
      </c>
      <c r="L296" s="226">
        <v>-8.2106409003041225E-2</v>
      </c>
      <c r="M296" s="226">
        <v>0</v>
      </c>
      <c r="N296" s="227">
        <v>0</v>
      </c>
      <c r="O296" s="227">
        <v>-1.4539908335480562</v>
      </c>
      <c r="P296" s="227">
        <v>0</v>
      </c>
      <c r="Q296" s="226">
        <v>0</v>
      </c>
      <c r="R296" s="227">
        <v>0</v>
      </c>
      <c r="S296" s="230"/>
    </row>
    <row r="297" spans="1:19" x14ac:dyDescent="0.2">
      <c r="A297" s="216"/>
      <c r="B297" s="214" t="s">
        <v>50</v>
      </c>
      <c r="C297" s="221">
        <v>96648.160213169424</v>
      </c>
      <c r="D297" s="222">
        <v>85052.27643115008</v>
      </c>
      <c r="E297" s="222">
        <v>70889.620746171247</v>
      </c>
      <c r="F297" s="222">
        <v>76864.177408988762</v>
      </c>
      <c r="G297" s="222">
        <v>74606.685854639174</v>
      </c>
      <c r="H297" s="222">
        <v>75975.039992500009</v>
      </c>
      <c r="I297" s="221">
        <v>85161.071393400547</v>
      </c>
      <c r="J297" s="221">
        <v>51946.065672823221</v>
      </c>
      <c r="K297" s="222">
        <v>55386.922138906521</v>
      </c>
      <c r="L297" s="222">
        <v>48984.291104009528</v>
      </c>
      <c r="M297" s="222">
        <v>42399.341966795371</v>
      </c>
      <c r="N297" s="221">
        <v>0</v>
      </c>
      <c r="O297" s="221">
        <v>53316.681219609753</v>
      </c>
      <c r="P297" s="221">
        <v>0</v>
      </c>
      <c r="Q297" s="222">
        <v>0</v>
      </c>
      <c r="R297" s="221">
        <v>0</v>
      </c>
      <c r="S297" s="90"/>
    </row>
    <row r="298" spans="1:19" x14ac:dyDescent="0.2">
      <c r="A298" s="216"/>
      <c r="B298" s="223" t="s">
        <v>52</v>
      </c>
      <c r="C298" s="224">
        <v>90197.027768754284</v>
      </c>
      <c r="D298" s="90">
        <v>69184.923785166247</v>
      </c>
      <c r="E298" s="90">
        <v>64130.952037511772</v>
      </c>
      <c r="F298" s="90">
        <v>72600.916032124354</v>
      </c>
      <c r="G298" s="90">
        <v>64633.042238187707</v>
      </c>
      <c r="H298" s="90">
        <v>62223.550136993705</v>
      </c>
      <c r="I298" s="224">
        <v>77716.512572093867</v>
      </c>
      <c r="J298" s="224">
        <v>52118.029006077348</v>
      </c>
      <c r="K298" s="90">
        <v>54577.667080959232</v>
      </c>
      <c r="L298" s="90">
        <v>49126.186142032529</v>
      </c>
      <c r="M298" s="90">
        <v>42584.161857142855</v>
      </c>
      <c r="N298" s="224">
        <v>0</v>
      </c>
      <c r="O298" s="224">
        <v>52818.063622660338</v>
      </c>
      <c r="P298" s="224">
        <v>0</v>
      </c>
      <c r="Q298" s="90">
        <v>0</v>
      </c>
      <c r="R298" s="224">
        <v>0</v>
      </c>
      <c r="S298" s="90"/>
    </row>
    <row r="299" spans="1:19" x14ac:dyDescent="0.2">
      <c r="A299" s="216"/>
      <c r="B299" s="225" t="s">
        <v>54</v>
      </c>
      <c r="C299" s="227">
        <v>-6.6748631636508877</v>
      </c>
      <c r="D299" s="226">
        <v>-18.655999947077813</v>
      </c>
      <c r="E299" s="226">
        <v>-9.5340737297208786</v>
      </c>
      <c r="F299" s="226">
        <v>-5.5464866997533848</v>
      </c>
      <c r="G299" s="226">
        <v>-13.368297361289757</v>
      </c>
      <c r="H299" s="226">
        <v>-18.100010025481794</v>
      </c>
      <c r="I299" s="227">
        <v>-8.7417392706541115</v>
      </c>
      <c r="J299" s="227">
        <v>0.33104207417212278</v>
      </c>
      <c r="K299" s="226">
        <v>-1.4610941115625331</v>
      </c>
      <c r="L299" s="226">
        <v>0.28967457694082482</v>
      </c>
      <c r="M299" s="226">
        <v>0.43590273285897668</v>
      </c>
      <c r="N299" s="227">
        <v>0</v>
      </c>
      <c r="O299" s="227">
        <v>-0.93519998909088864</v>
      </c>
      <c r="P299" s="227">
        <v>0</v>
      </c>
      <c r="Q299" s="226">
        <v>0</v>
      </c>
      <c r="R299" s="227">
        <v>0</v>
      </c>
      <c r="S299" s="230"/>
    </row>
    <row r="300" spans="1:19" x14ac:dyDescent="0.2">
      <c r="A300" s="220" t="s">
        <v>111</v>
      </c>
      <c r="B300" s="214" t="s">
        <v>14</v>
      </c>
      <c r="C300" s="221">
        <v>124562.97476737683</v>
      </c>
      <c r="D300" s="222">
        <v>110920.92847844037</v>
      </c>
      <c r="E300" s="222">
        <v>85482.336975722545</v>
      </c>
      <c r="F300" s="222">
        <v>77045.231320731706</v>
      </c>
      <c r="G300" s="222">
        <v>84523.776571428578</v>
      </c>
      <c r="H300" s="222">
        <v>74989.31578947368</v>
      </c>
      <c r="I300" s="221">
        <v>111377.68054619484</v>
      </c>
      <c r="J300" s="221">
        <v>0</v>
      </c>
      <c r="K300" s="222">
        <v>0</v>
      </c>
      <c r="L300" s="222">
        <v>0</v>
      </c>
      <c r="M300" s="222">
        <v>68644</v>
      </c>
      <c r="N300" s="221">
        <v>66627.342043243247</v>
      </c>
      <c r="O300" s="221">
        <v>66667.408095364241</v>
      </c>
      <c r="P300" s="221">
        <v>0</v>
      </c>
      <c r="Q300" s="222">
        <v>0</v>
      </c>
      <c r="R300" s="221">
        <v>0</v>
      </c>
      <c r="S300" s="90"/>
    </row>
    <row r="301" spans="1:19" x14ac:dyDescent="0.2">
      <c r="A301" s="216"/>
      <c r="B301" s="223" t="s">
        <v>16</v>
      </c>
      <c r="C301" s="224">
        <v>128681.48684847304</v>
      </c>
      <c r="D301" s="90">
        <v>114799.93620092592</v>
      </c>
      <c r="E301" s="90">
        <v>86711.036476571433</v>
      </c>
      <c r="F301" s="90">
        <v>79354.646626744187</v>
      </c>
      <c r="G301" s="90">
        <v>83903.131662500004</v>
      </c>
      <c r="H301" s="90">
        <v>76540</v>
      </c>
      <c r="I301" s="224">
        <v>114769.43169085457</v>
      </c>
      <c r="J301" s="224">
        <v>0</v>
      </c>
      <c r="K301" s="90">
        <v>0</v>
      </c>
      <c r="L301" s="90">
        <v>0</v>
      </c>
      <c r="M301" s="90">
        <v>67085</v>
      </c>
      <c r="N301" s="224">
        <v>68415.160796839729</v>
      </c>
      <c r="O301" s="224">
        <v>68382.932231277533</v>
      </c>
      <c r="P301" s="224">
        <v>0</v>
      </c>
      <c r="Q301" s="90">
        <v>0</v>
      </c>
      <c r="R301" s="224">
        <v>0</v>
      </c>
      <c r="S301" s="90"/>
    </row>
    <row r="302" spans="1:19" x14ac:dyDescent="0.2">
      <c r="A302" s="216"/>
      <c r="B302" s="225" t="s">
        <v>18</v>
      </c>
      <c r="C302" s="227">
        <v>3.3063693997253938</v>
      </c>
      <c r="D302" s="226">
        <v>3.4970927269505401</v>
      </c>
      <c r="E302" s="226">
        <v>1.4373723792762543</v>
      </c>
      <c r="F302" s="226">
        <v>2.9974798782790497</v>
      </c>
      <c r="G302" s="512">
        <v>-0.73428440387313432</v>
      </c>
      <c r="H302" s="226">
        <v>2.0678735286500527</v>
      </c>
      <c r="I302" s="227">
        <v>3.0452700469489278</v>
      </c>
      <c r="J302" s="227">
        <v>0</v>
      </c>
      <c r="K302" s="226">
        <v>0</v>
      </c>
      <c r="L302" s="226">
        <v>0</v>
      </c>
      <c r="M302" s="512">
        <v>-2.2711380455684398</v>
      </c>
      <c r="N302" s="227">
        <v>2.6833109332744085</v>
      </c>
      <c r="O302" s="227">
        <v>2.5732575855646358</v>
      </c>
      <c r="P302" s="227">
        <v>0</v>
      </c>
      <c r="Q302" s="226">
        <v>0</v>
      </c>
      <c r="R302" s="227">
        <v>0</v>
      </c>
      <c r="S302" s="230"/>
    </row>
    <row r="303" spans="1:19" x14ac:dyDescent="0.2">
      <c r="A303" s="216"/>
      <c r="B303" s="214" t="s">
        <v>20</v>
      </c>
      <c r="C303" s="221">
        <v>83612.139426893351</v>
      </c>
      <c r="D303" s="222">
        <v>79487.967066122452</v>
      </c>
      <c r="E303" s="222">
        <v>67418.976030240548</v>
      </c>
      <c r="F303" s="222">
        <v>64667.430417204305</v>
      </c>
      <c r="G303" s="222">
        <v>66362.585065789477</v>
      </c>
      <c r="H303" s="222">
        <v>60041</v>
      </c>
      <c r="I303" s="221">
        <v>77705.375201826842</v>
      </c>
      <c r="J303" s="221">
        <v>0</v>
      </c>
      <c r="K303" s="222">
        <v>0</v>
      </c>
      <c r="L303" s="222">
        <v>0</v>
      </c>
      <c r="M303" s="222">
        <v>52611</v>
      </c>
      <c r="N303" s="221">
        <v>59645.546077961015</v>
      </c>
      <c r="O303" s="221">
        <v>59511.062108823528</v>
      </c>
      <c r="P303" s="221">
        <v>0</v>
      </c>
      <c r="Q303" s="222">
        <v>0</v>
      </c>
      <c r="R303" s="221">
        <v>0</v>
      </c>
      <c r="S303" s="90"/>
    </row>
    <row r="304" spans="1:19" x14ac:dyDescent="0.2">
      <c r="A304" s="216"/>
      <c r="B304" s="223" t="s">
        <v>22</v>
      </c>
      <c r="C304" s="224">
        <v>86108.45432008995</v>
      </c>
      <c r="D304" s="90">
        <v>81802.43498078431</v>
      </c>
      <c r="E304" s="90">
        <v>67282.919125423738</v>
      </c>
      <c r="F304" s="90">
        <v>65833.394721904755</v>
      </c>
      <c r="G304" s="90">
        <v>65427.430170833337</v>
      </c>
      <c r="H304" s="90">
        <v>61338.806451612902</v>
      </c>
      <c r="I304" s="224">
        <v>79337.969533511452</v>
      </c>
      <c r="J304" s="224">
        <v>0</v>
      </c>
      <c r="K304" s="90">
        <v>0</v>
      </c>
      <c r="L304" s="90">
        <v>0</v>
      </c>
      <c r="M304" s="90">
        <v>54003</v>
      </c>
      <c r="N304" s="224">
        <v>61503.956829756797</v>
      </c>
      <c r="O304" s="224">
        <v>61367.00115730337</v>
      </c>
      <c r="P304" s="224">
        <v>0</v>
      </c>
      <c r="Q304" s="90">
        <v>0</v>
      </c>
      <c r="R304" s="224">
        <v>0</v>
      </c>
      <c r="S304" s="90"/>
    </row>
    <row r="305" spans="1:19" x14ac:dyDescent="0.2">
      <c r="A305" s="216"/>
      <c r="B305" s="225" t="s">
        <v>24</v>
      </c>
      <c r="C305" s="227">
        <v>2.9855890667398399</v>
      </c>
      <c r="D305" s="226">
        <v>2.9117211070910356</v>
      </c>
      <c r="E305" s="226">
        <v>-0.20180802620879765</v>
      </c>
      <c r="F305" s="226">
        <v>1.8030162899286217</v>
      </c>
      <c r="G305" s="512">
        <v>-1.409159836117085</v>
      </c>
      <c r="H305" s="226">
        <v>2.1615337046566543</v>
      </c>
      <c r="I305" s="227">
        <v>2.101005660733529</v>
      </c>
      <c r="J305" s="227">
        <v>0</v>
      </c>
      <c r="K305" s="226">
        <v>0</v>
      </c>
      <c r="L305" s="226">
        <v>0</v>
      </c>
      <c r="M305" s="226">
        <v>2.6458345212978274</v>
      </c>
      <c r="N305" s="227">
        <v>3.115757795840624</v>
      </c>
      <c r="O305" s="227">
        <v>3.1186454798706538</v>
      </c>
      <c r="P305" s="227">
        <v>0</v>
      </c>
      <c r="Q305" s="226">
        <v>0</v>
      </c>
      <c r="R305" s="227">
        <v>0</v>
      </c>
      <c r="S305" s="230"/>
    </row>
    <row r="306" spans="1:19" x14ac:dyDescent="0.2">
      <c r="A306" s="216"/>
      <c r="B306" s="214" t="s">
        <v>26</v>
      </c>
      <c r="C306" s="221">
        <v>70740.197485657773</v>
      </c>
      <c r="D306" s="222">
        <v>63569.842314677102</v>
      </c>
      <c r="E306" s="222">
        <v>57954.094877134987</v>
      </c>
      <c r="F306" s="222">
        <v>59925.404501851852</v>
      </c>
      <c r="G306" s="222">
        <v>54787.940816326533</v>
      </c>
      <c r="H306" s="222">
        <v>55810</v>
      </c>
      <c r="I306" s="221">
        <v>64669.136509969787</v>
      </c>
      <c r="J306" s="221">
        <v>0</v>
      </c>
      <c r="K306" s="222">
        <v>0</v>
      </c>
      <c r="L306" s="222">
        <v>0</v>
      </c>
      <c r="M306" s="222">
        <v>44964</v>
      </c>
      <c r="N306" s="221">
        <v>53746.541438067346</v>
      </c>
      <c r="O306" s="221">
        <v>53607.336890778097</v>
      </c>
      <c r="P306" s="221">
        <v>0</v>
      </c>
      <c r="Q306" s="222">
        <v>0</v>
      </c>
      <c r="R306" s="221">
        <v>0</v>
      </c>
      <c r="S306" s="90"/>
    </row>
    <row r="307" spans="1:19" x14ac:dyDescent="0.2">
      <c r="A307" s="216"/>
      <c r="B307" s="223" t="s">
        <v>28</v>
      </c>
      <c r="C307" s="224">
        <v>72696.859991756617</v>
      </c>
      <c r="D307" s="90">
        <v>64437.561542962962</v>
      </c>
      <c r="E307" s="90">
        <v>59981.131475555558</v>
      </c>
      <c r="F307" s="90">
        <v>60652.625222660099</v>
      </c>
      <c r="G307" s="90">
        <v>56368.765718518516</v>
      </c>
      <c r="H307" s="90">
        <v>56807</v>
      </c>
      <c r="I307" s="224">
        <v>66330.986903267418</v>
      </c>
      <c r="J307" s="224">
        <v>0</v>
      </c>
      <c r="K307" s="90">
        <v>0</v>
      </c>
      <c r="L307" s="90">
        <v>0</v>
      </c>
      <c r="M307" s="90">
        <v>46268</v>
      </c>
      <c r="N307" s="224">
        <v>55217.146005899704</v>
      </c>
      <c r="O307" s="224">
        <v>55087.071209302325</v>
      </c>
      <c r="P307" s="224">
        <v>0</v>
      </c>
      <c r="Q307" s="90">
        <v>0</v>
      </c>
      <c r="R307" s="224">
        <v>0</v>
      </c>
      <c r="S307" s="90"/>
    </row>
    <row r="308" spans="1:19" x14ac:dyDescent="0.2">
      <c r="A308" s="216"/>
      <c r="B308" s="225" t="s">
        <v>30</v>
      </c>
      <c r="C308" s="227">
        <v>2.7659839463913682</v>
      </c>
      <c r="D308" s="226">
        <v>1.364985654660841</v>
      </c>
      <c r="E308" s="226">
        <v>3.4976589708077919</v>
      </c>
      <c r="F308" s="226">
        <v>1.2135432824417136</v>
      </c>
      <c r="G308" s="226">
        <v>2.8853519198533299</v>
      </c>
      <c r="H308" s="226">
        <v>1.7864182046228274</v>
      </c>
      <c r="I308" s="227">
        <v>2.5697735936854977</v>
      </c>
      <c r="J308" s="227">
        <v>0</v>
      </c>
      <c r="K308" s="226">
        <v>0</v>
      </c>
      <c r="L308" s="226">
        <v>0</v>
      </c>
      <c r="M308" s="226">
        <v>2.9000978560626276</v>
      </c>
      <c r="N308" s="227">
        <v>2.7361845590138092</v>
      </c>
      <c r="O308" s="227">
        <v>2.7603205164604661</v>
      </c>
      <c r="P308" s="227">
        <v>0</v>
      </c>
      <c r="Q308" s="226">
        <v>0</v>
      </c>
      <c r="R308" s="227">
        <v>0</v>
      </c>
      <c r="S308" s="230"/>
    </row>
    <row r="309" spans="1:19" x14ac:dyDescent="0.2">
      <c r="A309" s="216"/>
      <c r="B309" s="214" t="s">
        <v>32</v>
      </c>
      <c r="C309" s="221">
        <v>47680.821794520547</v>
      </c>
      <c r="D309" s="222">
        <v>46906.614709489048</v>
      </c>
      <c r="E309" s="222">
        <v>50141.416991999999</v>
      </c>
      <c r="F309" s="222">
        <v>49267.273852054794</v>
      </c>
      <c r="G309" s="222">
        <v>50665.326777142858</v>
      </c>
      <c r="H309" s="222">
        <v>43276.902727272725</v>
      </c>
      <c r="I309" s="221">
        <v>48173.439396909496</v>
      </c>
      <c r="J309" s="221">
        <v>0</v>
      </c>
      <c r="K309" s="222">
        <v>0</v>
      </c>
      <c r="L309" s="222">
        <v>0</v>
      </c>
      <c r="M309" s="222">
        <v>0</v>
      </c>
      <c r="N309" s="221">
        <v>48175.76580696056</v>
      </c>
      <c r="O309" s="221">
        <v>48175.76580696056</v>
      </c>
      <c r="P309" s="221">
        <v>0</v>
      </c>
      <c r="Q309" s="222">
        <v>0</v>
      </c>
      <c r="R309" s="221">
        <v>0</v>
      </c>
      <c r="S309" s="90"/>
    </row>
    <row r="310" spans="1:19" x14ac:dyDescent="0.2">
      <c r="A310" s="216"/>
      <c r="B310" s="223" t="s">
        <v>34</v>
      </c>
      <c r="C310" s="224">
        <v>50139.254377483448</v>
      </c>
      <c r="D310" s="90">
        <v>49036.259774693877</v>
      </c>
      <c r="E310" s="90">
        <v>51388.610883977904</v>
      </c>
      <c r="F310" s="90">
        <v>50238.305768674698</v>
      </c>
      <c r="G310" s="90">
        <v>50475.959323076924</v>
      </c>
      <c r="H310" s="90">
        <v>43995.834400000007</v>
      </c>
      <c r="I310" s="224">
        <v>49937.731073371426</v>
      </c>
      <c r="J310" s="224">
        <v>0</v>
      </c>
      <c r="K310" s="90">
        <v>0</v>
      </c>
      <c r="L310" s="90">
        <v>0</v>
      </c>
      <c r="M310" s="90">
        <v>0</v>
      </c>
      <c r="N310" s="224">
        <v>49850.39902423077</v>
      </c>
      <c r="O310" s="224">
        <v>49850.39902423077</v>
      </c>
      <c r="P310" s="224">
        <v>0</v>
      </c>
      <c r="Q310" s="90">
        <v>0</v>
      </c>
      <c r="R310" s="224">
        <v>0</v>
      </c>
      <c r="S310" s="90"/>
    </row>
    <row r="311" spans="1:19" x14ac:dyDescent="0.2">
      <c r="A311" s="216"/>
      <c r="B311" s="225" t="s">
        <v>36</v>
      </c>
      <c r="C311" s="227">
        <v>5.1560197379933221</v>
      </c>
      <c r="D311" s="226">
        <v>4.5401806939054374</v>
      </c>
      <c r="E311" s="226">
        <v>2.4873527052035529</v>
      </c>
      <c r="F311" s="226">
        <v>1.9709471231061537</v>
      </c>
      <c r="G311" s="226">
        <v>-0.37376143826899227</v>
      </c>
      <c r="H311" s="226">
        <v>1.6612364273338287</v>
      </c>
      <c r="I311" s="227">
        <v>3.6623743260796018</v>
      </c>
      <c r="J311" s="227">
        <v>0</v>
      </c>
      <c r="K311" s="226">
        <v>0</v>
      </c>
      <c r="L311" s="226">
        <v>0</v>
      </c>
      <c r="M311" s="226">
        <v>0</v>
      </c>
      <c r="N311" s="227">
        <v>3.4760904974099116</v>
      </c>
      <c r="O311" s="227">
        <v>3.4760904974099116</v>
      </c>
      <c r="P311" s="227">
        <v>0</v>
      </c>
      <c r="Q311" s="226">
        <v>0</v>
      </c>
      <c r="R311" s="227">
        <v>0</v>
      </c>
      <c r="S311" s="230"/>
    </row>
    <row r="312" spans="1:19" x14ac:dyDescent="0.2">
      <c r="A312" s="216"/>
      <c r="B312" s="214" t="s">
        <v>38</v>
      </c>
      <c r="C312" s="221">
        <v>50390.221189380536</v>
      </c>
      <c r="D312" s="222">
        <v>61880.444444444445</v>
      </c>
      <c r="E312" s="222">
        <v>0</v>
      </c>
      <c r="F312" s="222">
        <v>41342.827799999999</v>
      </c>
      <c r="G312" s="222">
        <v>47820.756097560974</v>
      </c>
      <c r="H312" s="222">
        <v>41100</v>
      </c>
      <c r="I312" s="221">
        <v>50317.294304316551</v>
      </c>
      <c r="J312" s="221">
        <v>0</v>
      </c>
      <c r="K312" s="222">
        <v>0</v>
      </c>
      <c r="L312" s="222">
        <v>0</v>
      </c>
      <c r="M312" s="222">
        <v>0</v>
      </c>
      <c r="N312" s="221">
        <v>72022.055000000008</v>
      </c>
      <c r="O312" s="221">
        <v>72022.055000000008</v>
      </c>
      <c r="P312" s="221">
        <v>0</v>
      </c>
      <c r="Q312" s="222">
        <v>0</v>
      </c>
      <c r="R312" s="221">
        <v>0</v>
      </c>
      <c r="S312" s="90"/>
    </row>
    <row r="313" spans="1:19" x14ac:dyDescent="0.2">
      <c r="A313" s="216"/>
      <c r="B313" s="223" t="s">
        <v>40</v>
      </c>
      <c r="C313" s="224">
        <v>52403.422524369751</v>
      </c>
      <c r="D313" s="90">
        <v>66649.399999999994</v>
      </c>
      <c r="E313" s="90">
        <v>0</v>
      </c>
      <c r="F313" s="90">
        <v>41704.800499999998</v>
      </c>
      <c r="G313" s="90">
        <v>54430.625</v>
      </c>
      <c r="H313" s="90">
        <v>60300</v>
      </c>
      <c r="I313" s="224">
        <v>53193.267628013033</v>
      </c>
      <c r="J313" s="224">
        <v>0</v>
      </c>
      <c r="K313" s="90">
        <v>0</v>
      </c>
      <c r="L313" s="90">
        <v>0</v>
      </c>
      <c r="M313" s="90">
        <v>0</v>
      </c>
      <c r="N313" s="224">
        <v>53793.843800000002</v>
      </c>
      <c r="O313" s="224">
        <v>53793.843800000002</v>
      </c>
      <c r="P313" s="224">
        <v>0</v>
      </c>
      <c r="Q313" s="90">
        <v>0</v>
      </c>
      <c r="R313" s="224">
        <v>0</v>
      </c>
      <c r="S313" s="90"/>
    </row>
    <row r="314" spans="1:19" x14ac:dyDescent="0.2">
      <c r="A314" s="216"/>
      <c r="B314" s="225" t="s">
        <v>42</v>
      </c>
      <c r="C314" s="227">
        <v>3.9952222623176064</v>
      </c>
      <c r="D314" s="226">
        <v>7.706724795483753</v>
      </c>
      <c r="E314" s="226">
        <v>0</v>
      </c>
      <c r="F314" s="226">
        <v>0.87553928761495725</v>
      </c>
      <c r="G314" s="226">
        <v>13.822175644722087</v>
      </c>
      <c r="H314" s="226">
        <v>46.715328467153284</v>
      </c>
      <c r="I314" s="227">
        <v>5.7156756209957065</v>
      </c>
      <c r="J314" s="227">
        <v>0</v>
      </c>
      <c r="K314" s="226">
        <v>0</v>
      </c>
      <c r="L314" s="226">
        <v>0</v>
      </c>
      <c r="M314" s="226">
        <v>0</v>
      </c>
      <c r="N314" s="227">
        <v>-25.309207297681251</v>
      </c>
      <c r="O314" s="227">
        <v>-25.309207297681251</v>
      </c>
      <c r="P314" s="227">
        <v>0</v>
      </c>
      <c r="Q314" s="226">
        <v>0</v>
      </c>
      <c r="R314" s="227">
        <v>0</v>
      </c>
      <c r="S314" s="230"/>
    </row>
    <row r="315" spans="1:19" x14ac:dyDescent="0.2">
      <c r="A315" s="216"/>
      <c r="B315" s="214" t="s">
        <v>44</v>
      </c>
      <c r="C315" s="221">
        <v>0</v>
      </c>
      <c r="D315" s="222">
        <v>0</v>
      </c>
      <c r="E315" s="222">
        <v>0</v>
      </c>
      <c r="F315" s="222">
        <v>0</v>
      </c>
      <c r="G315" s="222">
        <v>0</v>
      </c>
      <c r="H315" s="222">
        <v>0</v>
      </c>
      <c r="I315" s="221">
        <v>0</v>
      </c>
      <c r="J315" s="221">
        <v>0</v>
      </c>
      <c r="K315" s="222">
        <v>0</v>
      </c>
      <c r="L315" s="222">
        <v>0</v>
      </c>
      <c r="M315" s="222">
        <v>0</v>
      </c>
      <c r="N315" s="221">
        <v>0</v>
      </c>
      <c r="O315" s="221">
        <v>0</v>
      </c>
      <c r="P315" s="221">
        <v>0</v>
      </c>
      <c r="Q315" s="222">
        <v>0</v>
      </c>
      <c r="R315" s="221">
        <v>0</v>
      </c>
      <c r="S315" s="90"/>
    </row>
    <row r="316" spans="1:19" x14ac:dyDescent="0.2">
      <c r="A316" s="216"/>
      <c r="B316" s="223" t="s">
        <v>46</v>
      </c>
      <c r="C316" s="224">
        <v>0</v>
      </c>
      <c r="D316" s="90">
        <v>0</v>
      </c>
      <c r="E316" s="90">
        <v>0</v>
      </c>
      <c r="F316" s="90">
        <v>0</v>
      </c>
      <c r="G316" s="90">
        <v>0</v>
      </c>
      <c r="H316" s="90">
        <v>0</v>
      </c>
      <c r="I316" s="224">
        <v>0</v>
      </c>
      <c r="J316" s="224">
        <v>0</v>
      </c>
      <c r="K316" s="90">
        <v>0</v>
      </c>
      <c r="L316" s="90">
        <v>0</v>
      </c>
      <c r="M316" s="90">
        <v>0</v>
      </c>
      <c r="N316" s="224">
        <v>0</v>
      </c>
      <c r="O316" s="224">
        <v>0</v>
      </c>
      <c r="P316" s="224">
        <v>0</v>
      </c>
      <c r="Q316" s="90">
        <v>0</v>
      </c>
      <c r="R316" s="224">
        <v>0</v>
      </c>
      <c r="S316" s="90"/>
    </row>
    <row r="317" spans="1:19" x14ac:dyDescent="0.2">
      <c r="A317" s="216"/>
      <c r="B317" s="225" t="s">
        <v>48</v>
      </c>
      <c r="C317" s="227">
        <v>0</v>
      </c>
      <c r="D317" s="226">
        <v>0</v>
      </c>
      <c r="E317" s="226">
        <v>0</v>
      </c>
      <c r="F317" s="226">
        <v>0</v>
      </c>
      <c r="G317" s="226">
        <v>0</v>
      </c>
      <c r="H317" s="226">
        <v>0</v>
      </c>
      <c r="I317" s="227">
        <v>0</v>
      </c>
      <c r="J317" s="227">
        <v>0</v>
      </c>
      <c r="K317" s="226">
        <v>0</v>
      </c>
      <c r="L317" s="226">
        <v>0</v>
      </c>
      <c r="M317" s="226">
        <v>0</v>
      </c>
      <c r="N317" s="227">
        <v>0</v>
      </c>
      <c r="O317" s="227">
        <v>0</v>
      </c>
      <c r="P317" s="227">
        <v>0</v>
      </c>
      <c r="Q317" s="226">
        <v>0</v>
      </c>
      <c r="R317" s="227">
        <v>0</v>
      </c>
      <c r="S317" s="230"/>
    </row>
    <row r="318" spans="1:19" x14ac:dyDescent="0.2">
      <c r="A318" s="216"/>
      <c r="B318" s="214" t="s">
        <v>50</v>
      </c>
      <c r="C318" s="221">
        <v>90662.896214982669</v>
      </c>
      <c r="D318" s="222">
        <v>77444.275890813951</v>
      </c>
      <c r="E318" s="222">
        <v>67240.761729702121</v>
      </c>
      <c r="F318" s="222">
        <v>64445.783102499998</v>
      </c>
      <c r="G318" s="222">
        <v>64633.128875574715</v>
      </c>
      <c r="H318" s="222">
        <v>57971.185274725278</v>
      </c>
      <c r="I318" s="221">
        <v>80471.193759384754</v>
      </c>
      <c r="J318" s="221">
        <v>0</v>
      </c>
      <c r="K318" s="222">
        <v>0</v>
      </c>
      <c r="L318" s="222">
        <v>0</v>
      </c>
      <c r="M318" s="222">
        <v>54434.63636363636</v>
      </c>
      <c r="N318" s="221">
        <v>57012.930827133874</v>
      </c>
      <c r="O318" s="221">
        <v>56975.266498981851</v>
      </c>
      <c r="P318" s="221">
        <v>0</v>
      </c>
      <c r="Q318" s="222">
        <v>0</v>
      </c>
      <c r="R318" s="221">
        <v>0</v>
      </c>
      <c r="S318" s="90"/>
    </row>
    <row r="319" spans="1:19" x14ac:dyDescent="0.2">
      <c r="A319" s="216"/>
      <c r="B319" s="223" t="s">
        <v>52</v>
      </c>
      <c r="C319" s="224">
        <v>93547.305062545143</v>
      </c>
      <c r="D319" s="90">
        <v>79901.827954519293</v>
      </c>
      <c r="E319" s="90">
        <v>68374.257849915681</v>
      </c>
      <c r="F319" s="90">
        <v>65730.871658805976</v>
      </c>
      <c r="G319" s="90">
        <v>65493.360294444436</v>
      </c>
      <c r="H319" s="90">
        <v>58182.802988505748</v>
      </c>
      <c r="I319" s="224">
        <v>82808.327343906305</v>
      </c>
      <c r="J319" s="224">
        <v>0</v>
      </c>
      <c r="K319" s="90">
        <v>0</v>
      </c>
      <c r="L319" s="90">
        <v>0</v>
      </c>
      <c r="M319" s="90">
        <v>55960.411764705881</v>
      </c>
      <c r="N319" s="224">
        <v>58397.182847651573</v>
      </c>
      <c r="O319" s="224">
        <v>58362.313227777769</v>
      </c>
      <c r="P319" s="224">
        <v>0</v>
      </c>
      <c r="Q319" s="90">
        <v>0</v>
      </c>
      <c r="R319" s="224">
        <v>0</v>
      </c>
      <c r="S319" s="90"/>
    </row>
    <row r="320" spans="1:19" x14ac:dyDescent="0.2">
      <c r="A320" s="216"/>
      <c r="B320" s="225" t="s">
        <v>54</v>
      </c>
      <c r="C320" s="227">
        <v>3.1814655917486627</v>
      </c>
      <c r="D320" s="226">
        <v>3.1733166014363157</v>
      </c>
      <c r="E320" s="226">
        <v>1.6857276613998606</v>
      </c>
      <c r="F320" s="226">
        <v>1.9940615109945443</v>
      </c>
      <c r="G320" s="226">
        <v>1.3309450336618427</v>
      </c>
      <c r="H320" s="226">
        <v>0.36503948086901111</v>
      </c>
      <c r="I320" s="227">
        <v>2.9043108165013249</v>
      </c>
      <c r="J320" s="227">
        <v>0</v>
      </c>
      <c r="K320" s="226">
        <v>0</v>
      </c>
      <c r="L320" s="226">
        <v>0</v>
      </c>
      <c r="M320" s="226">
        <v>2.8029495611525297</v>
      </c>
      <c r="N320" s="227">
        <v>2.4279615175631331</v>
      </c>
      <c r="O320" s="227">
        <v>2.4344716822354919</v>
      </c>
      <c r="P320" s="227">
        <v>0</v>
      </c>
      <c r="Q320" s="226">
        <v>0</v>
      </c>
      <c r="R320" s="227">
        <v>0</v>
      </c>
      <c r="S320" s="230"/>
    </row>
    <row r="321" spans="1:19" x14ac:dyDescent="0.2">
      <c r="A321" s="220" t="s">
        <v>110</v>
      </c>
      <c r="B321" s="214" t="s">
        <v>14</v>
      </c>
      <c r="C321" s="221">
        <v>102848.99392081912</v>
      </c>
      <c r="D321" s="222">
        <v>0</v>
      </c>
      <c r="E321" s="222">
        <v>73931.322311557786</v>
      </c>
      <c r="F321" s="222">
        <v>0</v>
      </c>
      <c r="G321" s="222">
        <v>74065.436278481007</v>
      </c>
      <c r="H321" s="222">
        <v>68109.256267716541</v>
      </c>
      <c r="I321" s="221">
        <v>85025.979041260754</v>
      </c>
      <c r="J321" s="221">
        <v>58924.09042790698</v>
      </c>
      <c r="K321" s="222">
        <v>0</v>
      </c>
      <c r="L321" s="222">
        <v>56966</v>
      </c>
      <c r="M321" s="222">
        <v>65507.300101818175</v>
      </c>
      <c r="N321" s="221">
        <v>0</v>
      </c>
      <c r="O321" s="221">
        <v>61544.259454545456</v>
      </c>
      <c r="P321" s="221">
        <v>0</v>
      </c>
      <c r="Q321" s="222">
        <v>0</v>
      </c>
      <c r="R321" s="221">
        <v>0</v>
      </c>
      <c r="S321" s="90"/>
    </row>
    <row r="322" spans="1:19" x14ac:dyDescent="0.2">
      <c r="A322" s="216"/>
      <c r="B322" s="223" t="s">
        <v>16</v>
      </c>
      <c r="C322" s="224">
        <v>107787.63762808219</v>
      </c>
      <c r="D322" s="90">
        <v>0</v>
      </c>
      <c r="E322" s="90">
        <v>75170.60173596059</v>
      </c>
      <c r="F322" s="90">
        <v>0</v>
      </c>
      <c r="G322" s="90">
        <v>75611.734944186042</v>
      </c>
      <c r="H322" s="90">
        <v>68914.464079699246</v>
      </c>
      <c r="I322" s="224">
        <v>87397.556397198874</v>
      </c>
      <c r="J322" s="224">
        <v>61352.033287804879</v>
      </c>
      <c r="K322" s="90">
        <v>0</v>
      </c>
      <c r="L322" s="90">
        <v>58966</v>
      </c>
      <c r="M322" s="90">
        <v>67155.970377777776</v>
      </c>
      <c r="N322" s="224">
        <v>0</v>
      </c>
      <c r="O322" s="224">
        <v>63582.117651282053</v>
      </c>
      <c r="P322" s="224">
        <v>0</v>
      </c>
      <c r="Q322" s="90">
        <v>0</v>
      </c>
      <c r="R322" s="224">
        <v>0</v>
      </c>
      <c r="S322" s="90"/>
    </row>
    <row r="323" spans="1:19" x14ac:dyDescent="0.2">
      <c r="A323" s="216"/>
      <c r="B323" s="225" t="s">
        <v>18</v>
      </c>
      <c r="C323" s="227">
        <v>4.8018395892770753</v>
      </c>
      <c r="D323" s="226">
        <v>0</v>
      </c>
      <c r="E323" s="226">
        <v>1.6762576207960862</v>
      </c>
      <c r="F323" s="226">
        <v>0</v>
      </c>
      <c r="G323" s="226">
        <v>2.0877466513409266</v>
      </c>
      <c r="H323" s="226">
        <v>1.1822296353049009</v>
      </c>
      <c r="I323" s="227">
        <v>2.7892385158978983</v>
      </c>
      <c r="J323" s="227">
        <v>4.1204587839475648</v>
      </c>
      <c r="K323" s="226">
        <v>0</v>
      </c>
      <c r="L323" s="226">
        <v>3.5108661306744371</v>
      </c>
      <c r="M323" s="226">
        <v>2.5167733571633515</v>
      </c>
      <c r="N323" s="227">
        <v>0</v>
      </c>
      <c r="O323" s="227">
        <v>3.3112076005101523</v>
      </c>
      <c r="P323" s="227">
        <v>0</v>
      </c>
      <c r="Q323" s="226">
        <v>0</v>
      </c>
      <c r="R323" s="227">
        <v>0</v>
      </c>
      <c r="S323" s="230"/>
    </row>
    <row r="324" spans="1:19" x14ac:dyDescent="0.2">
      <c r="A324" s="216"/>
      <c r="B324" s="214" t="s">
        <v>20</v>
      </c>
      <c r="C324" s="221">
        <v>74946.176752226718</v>
      </c>
      <c r="D324" s="222">
        <v>0</v>
      </c>
      <c r="E324" s="222">
        <v>60085.62837627119</v>
      </c>
      <c r="F324" s="222">
        <v>0</v>
      </c>
      <c r="G324" s="222">
        <v>61039.467475324673</v>
      </c>
      <c r="H324" s="222">
        <v>57288.1466</v>
      </c>
      <c r="I324" s="221">
        <v>65758.364294897954</v>
      </c>
      <c r="J324" s="221">
        <v>51755.033871428575</v>
      </c>
      <c r="K324" s="222">
        <v>0</v>
      </c>
      <c r="L324" s="222">
        <v>45621</v>
      </c>
      <c r="M324" s="222">
        <v>55495.434127272732</v>
      </c>
      <c r="N324" s="221">
        <v>0</v>
      </c>
      <c r="O324" s="221">
        <v>53273.229055882359</v>
      </c>
      <c r="P324" s="221">
        <v>0</v>
      </c>
      <c r="Q324" s="222">
        <v>0</v>
      </c>
      <c r="R324" s="221">
        <v>0</v>
      </c>
      <c r="S324" s="90"/>
    </row>
    <row r="325" spans="1:19" x14ac:dyDescent="0.2">
      <c r="A325" s="216"/>
      <c r="B325" s="223" t="s">
        <v>22</v>
      </c>
      <c r="C325" s="224">
        <v>79308.306935877859</v>
      </c>
      <c r="D325" s="90">
        <v>0</v>
      </c>
      <c r="E325" s="90">
        <v>61790.674786440679</v>
      </c>
      <c r="F325" s="90">
        <v>0</v>
      </c>
      <c r="G325" s="90">
        <v>63785.308935064932</v>
      </c>
      <c r="H325" s="90">
        <v>58788.403186577176</v>
      </c>
      <c r="I325" s="224">
        <v>68879.565849504943</v>
      </c>
      <c r="J325" s="224">
        <v>53871.63636363636</v>
      </c>
      <c r="K325" s="90">
        <v>0</v>
      </c>
      <c r="L325" s="90">
        <v>47293</v>
      </c>
      <c r="M325" s="90">
        <v>55800.470666666668</v>
      </c>
      <c r="N325" s="224">
        <v>0</v>
      </c>
      <c r="O325" s="224">
        <v>54362.4645882353</v>
      </c>
      <c r="P325" s="224">
        <v>0</v>
      </c>
      <c r="Q325" s="90">
        <v>0</v>
      </c>
      <c r="R325" s="224">
        <v>0</v>
      </c>
      <c r="S325" s="90"/>
    </row>
    <row r="326" spans="1:19" x14ac:dyDescent="0.2">
      <c r="A326" s="216"/>
      <c r="B326" s="225" t="s">
        <v>24</v>
      </c>
      <c r="C326" s="227">
        <v>5.8203505137725893</v>
      </c>
      <c r="D326" s="226">
        <v>0</v>
      </c>
      <c r="E326" s="226">
        <v>2.8376942311263904</v>
      </c>
      <c r="F326" s="226">
        <v>0</v>
      </c>
      <c r="G326" s="226">
        <v>4.4984688977672862</v>
      </c>
      <c r="H326" s="226">
        <v>2.618790579929803</v>
      </c>
      <c r="I326" s="227">
        <v>4.7464707920801432</v>
      </c>
      <c r="J326" s="227">
        <v>4.0896553124975501</v>
      </c>
      <c r="K326" s="226">
        <v>0</v>
      </c>
      <c r="L326" s="226">
        <v>3.6649788474605995</v>
      </c>
      <c r="M326" s="226">
        <v>0.54966060576148923</v>
      </c>
      <c r="N326" s="227">
        <v>0</v>
      </c>
      <c r="O326" s="227">
        <v>2.0446208192305342</v>
      </c>
      <c r="P326" s="227">
        <v>0</v>
      </c>
      <c r="Q326" s="226">
        <v>0</v>
      </c>
      <c r="R326" s="227">
        <v>0</v>
      </c>
      <c r="S326" s="230"/>
    </row>
    <row r="327" spans="1:19" x14ac:dyDescent="0.2">
      <c r="A327" s="216"/>
      <c r="B327" s="214" t="s">
        <v>26</v>
      </c>
      <c r="C327" s="221">
        <v>60493.710709090905</v>
      </c>
      <c r="D327" s="222">
        <v>0</v>
      </c>
      <c r="E327" s="222">
        <v>51599.35602521008</v>
      </c>
      <c r="F327" s="222">
        <v>0</v>
      </c>
      <c r="G327" s="222">
        <v>50970.486221359221</v>
      </c>
      <c r="H327" s="222">
        <v>49294.949289201875</v>
      </c>
      <c r="I327" s="221">
        <v>54871.529626429481</v>
      </c>
      <c r="J327" s="221">
        <v>43577.548116666665</v>
      </c>
      <c r="K327" s="222">
        <v>0</v>
      </c>
      <c r="L327" s="222">
        <v>39465</v>
      </c>
      <c r="M327" s="222">
        <v>46347.455196226423</v>
      </c>
      <c r="N327" s="221">
        <v>0</v>
      </c>
      <c r="O327" s="221">
        <v>45466.749315942034</v>
      </c>
      <c r="P327" s="221">
        <v>0</v>
      </c>
      <c r="Q327" s="222">
        <v>0</v>
      </c>
      <c r="R327" s="221">
        <v>0</v>
      </c>
      <c r="S327" s="90"/>
    </row>
    <row r="328" spans="1:19" x14ac:dyDescent="0.2">
      <c r="A328" s="216"/>
      <c r="B328" s="223" t="s">
        <v>28</v>
      </c>
      <c r="C328" s="224">
        <v>64117.587578333332</v>
      </c>
      <c r="D328" s="90">
        <v>0</v>
      </c>
      <c r="E328" s="90">
        <v>51871.453511111111</v>
      </c>
      <c r="F328" s="90">
        <v>0</v>
      </c>
      <c r="G328" s="90">
        <v>53088.929732110097</v>
      </c>
      <c r="H328" s="90">
        <v>51524.839889201881</v>
      </c>
      <c r="I328" s="224">
        <v>57462.798280600749</v>
      </c>
      <c r="J328" s="224">
        <v>44760.663677419354</v>
      </c>
      <c r="K328" s="90">
        <v>0</v>
      </c>
      <c r="L328" s="90">
        <v>40597.585714285713</v>
      </c>
      <c r="M328" s="90">
        <v>46284.700560683756</v>
      </c>
      <c r="N328" s="224">
        <v>0</v>
      </c>
      <c r="O328" s="224">
        <v>45723.055739354844</v>
      </c>
      <c r="P328" s="224">
        <v>0</v>
      </c>
      <c r="Q328" s="90">
        <v>0</v>
      </c>
      <c r="R328" s="224">
        <v>0</v>
      </c>
      <c r="S328" s="90"/>
    </row>
    <row r="329" spans="1:19" x14ac:dyDescent="0.2">
      <c r="A329" s="216"/>
      <c r="B329" s="225" t="s">
        <v>30</v>
      </c>
      <c r="C329" s="227">
        <v>5.9905018666640277</v>
      </c>
      <c r="D329" s="226">
        <v>0</v>
      </c>
      <c r="E329" s="226">
        <v>0.52732729022449731</v>
      </c>
      <c r="F329" s="226">
        <v>0</v>
      </c>
      <c r="G329" s="226">
        <v>4.156216014009968</v>
      </c>
      <c r="H329" s="226">
        <v>4.5235680980575967</v>
      </c>
      <c r="I329" s="227">
        <v>4.7224283190442629</v>
      </c>
      <c r="J329" s="227">
        <v>2.7149658755128416</v>
      </c>
      <c r="K329" s="226">
        <v>0</v>
      </c>
      <c r="L329" s="226">
        <v>2.8698485095292359</v>
      </c>
      <c r="M329" s="226">
        <v>-0.1354003909750302</v>
      </c>
      <c r="N329" s="227">
        <v>0</v>
      </c>
      <c r="O329" s="227">
        <v>0.56372278042525825</v>
      </c>
      <c r="P329" s="227">
        <v>0</v>
      </c>
      <c r="Q329" s="226">
        <v>0</v>
      </c>
      <c r="R329" s="227">
        <v>0</v>
      </c>
      <c r="S329" s="230"/>
    </row>
    <row r="330" spans="1:19" x14ac:dyDescent="0.2">
      <c r="A330" s="216"/>
      <c r="B330" s="214" t="s">
        <v>32</v>
      </c>
      <c r="C330" s="221">
        <v>40395.589458823531</v>
      </c>
      <c r="D330" s="222">
        <v>0</v>
      </c>
      <c r="E330" s="222">
        <v>34784</v>
      </c>
      <c r="F330" s="222">
        <v>0</v>
      </c>
      <c r="G330" s="222">
        <v>40425.764719999999</v>
      </c>
      <c r="H330" s="222">
        <v>40351.319551219509</v>
      </c>
      <c r="I330" s="221">
        <v>39138.409138947369</v>
      </c>
      <c r="J330" s="221">
        <v>37188.239130434784</v>
      </c>
      <c r="K330" s="222">
        <v>0</v>
      </c>
      <c r="L330" s="222">
        <v>32958.728571428575</v>
      </c>
      <c r="M330" s="222">
        <v>39757.364184126985</v>
      </c>
      <c r="N330" s="221">
        <v>0</v>
      </c>
      <c r="O330" s="221">
        <v>38405.285944041454</v>
      </c>
      <c r="P330" s="221">
        <v>0</v>
      </c>
      <c r="Q330" s="222">
        <v>0</v>
      </c>
      <c r="R330" s="221">
        <v>0</v>
      </c>
      <c r="S330" s="90"/>
    </row>
    <row r="331" spans="1:19" x14ac:dyDescent="0.2">
      <c r="A331" s="216"/>
      <c r="B331" s="223" t="s">
        <v>34</v>
      </c>
      <c r="C331" s="224">
        <v>42168.490415686276</v>
      </c>
      <c r="D331" s="90">
        <v>0</v>
      </c>
      <c r="E331" s="90">
        <v>36401</v>
      </c>
      <c r="F331" s="90">
        <v>0</v>
      </c>
      <c r="G331" s="90">
        <v>43237.509599999998</v>
      </c>
      <c r="H331" s="90">
        <v>44069.07696202532</v>
      </c>
      <c r="I331" s="224">
        <v>41243.839300483087</v>
      </c>
      <c r="J331" s="224">
        <v>39274.812324324324</v>
      </c>
      <c r="K331" s="90">
        <v>0</v>
      </c>
      <c r="L331" s="90">
        <v>33852.75</v>
      </c>
      <c r="M331" s="90">
        <v>40525.861795199999</v>
      </c>
      <c r="N331" s="224">
        <v>0</v>
      </c>
      <c r="O331" s="224">
        <v>39415.950432258069</v>
      </c>
      <c r="P331" s="224">
        <v>0</v>
      </c>
      <c r="Q331" s="90">
        <v>0</v>
      </c>
      <c r="R331" s="224">
        <v>0</v>
      </c>
      <c r="S331" s="90"/>
    </row>
    <row r="332" spans="1:19" x14ac:dyDescent="0.2">
      <c r="A332" s="216"/>
      <c r="B332" s="225" t="s">
        <v>36</v>
      </c>
      <c r="C332" s="227">
        <v>4.3888478435744007</v>
      </c>
      <c r="D332" s="226">
        <v>0</v>
      </c>
      <c r="E332" s="226">
        <v>4.6486890524379021</v>
      </c>
      <c r="F332" s="226">
        <v>0</v>
      </c>
      <c r="G332" s="226">
        <v>6.9553288588970901</v>
      </c>
      <c r="H332" s="226">
        <v>9.2134717083705677</v>
      </c>
      <c r="I332" s="227">
        <v>5.3794474733531388</v>
      </c>
      <c r="J332" s="227">
        <v>5.6108416065924809</v>
      </c>
      <c r="K332" s="226">
        <v>0</v>
      </c>
      <c r="L332" s="226">
        <v>2.7125482909144689</v>
      </c>
      <c r="M332" s="226">
        <v>1.9329692167566623</v>
      </c>
      <c r="N332" s="227">
        <v>0</v>
      </c>
      <c r="O332" s="227">
        <v>2.6315765222766645</v>
      </c>
      <c r="P332" s="227">
        <v>0</v>
      </c>
      <c r="Q332" s="226">
        <v>0</v>
      </c>
      <c r="R332" s="227">
        <v>0</v>
      </c>
      <c r="S332" s="230"/>
    </row>
    <row r="333" spans="1:19" x14ac:dyDescent="0.2">
      <c r="A333" s="216"/>
      <c r="B333" s="214" t="s">
        <v>38</v>
      </c>
      <c r="C333" s="221">
        <v>48858.74407619048</v>
      </c>
      <c r="D333" s="222">
        <v>0</v>
      </c>
      <c r="E333" s="222">
        <v>0</v>
      </c>
      <c r="F333" s="222">
        <v>0</v>
      </c>
      <c r="G333" s="222">
        <v>48069.618314285712</v>
      </c>
      <c r="H333" s="222">
        <v>44801.803413333335</v>
      </c>
      <c r="I333" s="221">
        <v>47420.706664000005</v>
      </c>
      <c r="J333" s="221">
        <v>36960.044533333334</v>
      </c>
      <c r="K333" s="222">
        <v>0</v>
      </c>
      <c r="L333" s="222">
        <v>0</v>
      </c>
      <c r="M333" s="222">
        <v>38895.035827586202</v>
      </c>
      <c r="N333" s="221">
        <v>0</v>
      </c>
      <c r="O333" s="221">
        <v>38563.323034285713</v>
      </c>
      <c r="P333" s="221">
        <v>0</v>
      </c>
      <c r="Q333" s="222">
        <v>0</v>
      </c>
      <c r="R333" s="221">
        <v>0</v>
      </c>
      <c r="S333" s="90"/>
    </row>
    <row r="334" spans="1:19" x14ac:dyDescent="0.2">
      <c r="A334" s="216"/>
      <c r="B334" s="223" t="s">
        <v>40</v>
      </c>
      <c r="C334" s="224">
        <v>54684.353824000005</v>
      </c>
      <c r="D334" s="90">
        <v>0</v>
      </c>
      <c r="E334" s="90">
        <v>0</v>
      </c>
      <c r="F334" s="90">
        <v>0</v>
      </c>
      <c r="G334" s="90">
        <v>52001.760487499996</v>
      </c>
      <c r="H334" s="90">
        <v>43558.018759999999</v>
      </c>
      <c r="I334" s="224">
        <v>50332.744075409842</v>
      </c>
      <c r="J334" s="224">
        <v>36318.14686666667</v>
      </c>
      <c r="K334" s="90">
        <v>0</v>
      </c>
      <c r="L334" s="90">
        <v>0</v>
      </c>
      <c r="M334" s="90">
        <v>40774.040297142856</v>
      </c>
      <c r="N334" s="224">
        <v>0</v>
      </c>
      <c r="O334" s="224">
        <v>39636.3653787234</v>
      </c>
      <c r="P334" s="224">
        <v>0</v>
      </c>
      <c r="Q334" s="90">
        <v>0</v>
      </c>
      <c r="R334" s="224">
        <v>0</v>
      </c>
      <c r="S334" s="90"/>
    </row>
    <row r="335" spans="1:19" x14ac:dyDescent="0.2">
      <c r="A335" s="216"/>
      <c r="B335" s="225" t="s">
        <v>42</v>
      </c>
      <c r="C335" s="227">
        <v>11.923371871215215</v>
      </c>
      <c r="D335" s="226">
        <v>0</v>
      </c>
      <c r="E335" s="226">
        <v>0</v>
      </c>
      <c r="F335" s="226">
        <v>0</v>
      </c>
      <c r="G335" s="226">
        <v>8.1800985968005886</v>
      </c>
      <c r="H335" s="226">
        <v>-2.7761932747626332</v>
      </c>
      <c r="I335" s="227">
        <v>6.1408562129685551</v>
      </c>
      <c r="J335" s="227">
        <v>-1.7367340185095088</v>
      </c>
      <c r="K335" s="226">
        <v>0</v>
      </c>
      <c r="L335" s="226">
        <v>0</v>
      </c>
      <c r="M335" s="226">
        <v>4.8309621769880851</v>
      </c>
      <c r="N335" s="227">
        <v>0</v>
      </c>
      <c r="O335" s="227">
        <v>2.7825463679145872</v>
      </c>
      <c r="P335" s="227">
        <v>0</v>
      </c>
      <c r="Q335" s="226">
        <v>0</v>
      </c>
      <c r="R335" s="227">
        <v>0</v>
      </c>
      <c r="S335" s="230"/>
    </row>
    <row r="336" spans="1:19" x14ac:dyDescent="0.2">
      <c r="A336" s="216"/>
      <c r="B336" s="214" t="s">
        <v>44</v>
      </c>
      <c r="C336" s="221">
        <v>0</v>
      </c>
      <c r="D336" s="222">
        <v>0</v>
      </c>
      <c r="E336" s="222">
        <v>0</v>
      </c>
      <c r="F336" s="222">
        <v>0</v>
      </c>
      <c r="G336" s="222">
        <v>0</v>
      </c>
      <c r="H336" s="222">
        <v>0</v>
      </c>
      <c r="I336" s="221">
        <v>0</v>
      </c>
      <c r="J336" s="221">
        <v>0</v>
      </c>
      <c r="K336" s="222">
        <v>0</v>
      </c>
      <c r="L336" s="222">
        <v>0</v>
      </c>
      <c r="M336" s="222">
        <v>0</v>
      </c>
      <c r="N336" s="221">
        <v>0</v>
      </c>
      <c r="O336" s="221">
        <v>0</v>
      </c>
      <c r="P336" s="221">
        <v>0</v>
      </c>
      <c r="Q336" s="222">
        <v>0</v>
      </c>
      <c r="R336" s="221">
        <v>0</v>
      </c>
      <c r="S336" s="90"/>
    </row>
    <row r="337" spans="1:19" x14ac:dyDescent="0.2">
      <c r="A337" s="216"/>
      <c r="B337" s="223" t="s">
        <v>46</v>
      </c>
      <c r="C337" s="224">
        <v>0</v>
      </c>
      <c r="D337" s="90">
        <v>0</v>
      </c>
      <c r="E337" s="90">
        <v>0</v>
      </c>
      <c r="F337" s="90">
        <v>0</v>
      </c>
      <c r="G337" s="90">
        <v>0</v>
      </c>
      <c r="H337" s="90">
        <v>0</v>
      </c>
      <c r="I337" s="224">
        <v>0</v>
      </c>
      <c r="J337" s="224">
        <v>0</v>
      </c>
      <c r="K337" s="90">
        <v>0</v>
      </c>
      <c r="L337" s="90">
        <v>0</v>
      </c>
      <c r="M337" s="90">
        <v>0</v>
      </c>
      <c r="N337" s="224">
        <v>0</v>
      </c>
      <c r="O337" s="224">
        <v>0</v>
      </c>
      <c r="P337" s="224">
        <v>0</v>
      </c>
      <c r="Q337" s="90">
        <v>0</v>
      </c>
      <c r="R337" s="224">
        <v>0</v>
      </c>
      <c r="S337" s="90"/>
    </row>
    <row r="338" spans="1:19" x14ac:dyDescent="0.2">
      <c r="A338" s="216"/>
      <c r="B338" s="225" t="s">
        <v>48</v>
      </c>
      <c r="C338" s="227">
        <v>0</v>
      </c>
      <c r="D338" s="226">
        <v>0</v>
      </c>
      <c r="E338" s="226">
        <v>0</v>
      </c>
      <c r="F338" s="226">
        <v>0</v>
      </c>
      <c r="G338" s="226">
        <v>0</v>
      </c>
      <c r="H338" s="226">
        <v>0</v>
      </c>
      <c r="I338" s="227">
        <v>0</v>
      </c>
      <c r="J338" s="227">
        <v>0</v>
      </c>
      <c r="K338" s="226">
        <v>0</v>
      </c>
      <c r="L338" s="226">
        <v>0</v>
      </c>
      <c r="M338" s="226">
        <v>0</v>
      </c>
      <c r="N338" s="227">
        <v>0</v>
      </c>
      <c r="O338" s="227">
        <v>0</v>
      </c>
      <c r="P338" s="227">
        <v>0</v>
      </c>
      <c r="Q338" s="226">
        <v>0</v>
      </c>
      <c r="R338" s="227">
        <v>0</v>
      </c>
      <c r="S338" s="230"/>
    </row>
    <row r="339" spans="1:19" x14ac:dyDescent="0.2">
      <c r="A339" s="216"/>
      <c r="B339" s="214" t="s">
        <v>50</v>
      </c>
      <c r="C339" s="221">
        <v>75753.584786514519</v>
      </c>
      <c r="D339" s="222">
        <v>0</v>
      </c>
      <c r="E339" s="222">
        <v>61513.993002928873</v>
      </c>
      <c r="F339" s="222">
        <v>0</v>
      </c>
      <c r="G339" s="222">
        <v>59307.394686111104</v>
      </c>
      <c r="H339" s="222">
        <v>54021.619901543745</v>
      </c>
      <c r="I339" s="221">
        <v>65285.464099351499</v>
      </c>
      <c r="J339" s="221">
        <v>46891.629959398495</v>
      </c>
      <c r="K339" s="222">
        <v>0</v>
      </c>
      <c r="L339" s="222">
        <v>44746.472580645161</v>
      </c>
      <c r="M339" s="222">
        <v>47485.874400555556</v>
      </c>
      <c r="N339" s="221">
        <v>0</v>
      </c>
      <c r="O339" s="221">
        <v>47037.446610450446</v>
      </c>
      <c r="P339" s="221">
        <v>0</v>
      </c>
      <c r="Q339" s="222">
        <v>0</v>
      </c>
      <c r="R339" s="221">
        <v>0</v>
      </c>
      <c r="S339" s="90"/>
    </row>
    <row r="340" spans="1:19" x14ac:dyDescent="0.2">
      <c r="A340" s="216"/>
      <c r="B340" s="223" t="s">
        <v>52</v>
      </c>
      <c r="C340" s="224">
        <v>79649.292918787862</v>
      </c>
      <c r="D340" s="90">
        <v>0</v>
      </c>
      <c r="E340" s="90">
        <v>61753.507676000008</v>
      </c>
      <c r="F340" s="90">
        <v>0</v>
      </c>
      <c r="G340" s="90">
        <v>61654.660547194726</v>
      </c>
      <c r="H340" s="90">
        <v>55980.646715488212</v>
      </c>
      <c r="I340" s="224">
        <v>67726.610859824039</v>
      </c>
      <c r="J340" s="224">
        <v>48368.089069696965</v>
      </c>
      <c r="K340" s="90">
        <v>0</v>
      </c>
      <c r="L340" s="90">
        <v>45476.420967741935</v>
      </c>
      <c r="M340" s="90">
        <v>48055.353806860156</v>
      </c>
      <c r="N340" s="224">
        <v>0</v>
      </c>
      <c r="O340" s="224">
        <v>47848.350698080285</v>
      </c>
      <c r="P340" s="224">
        <v>0</v>
      </c>
      <c r="Q340" s="90">
        <v>0</v>
      </c>
      <c r="R340" s="224">
        <v>0</v>
      </c>
      <c r="S340" s="90"/>
    </row>
    <row r="341" spans="1:19" x14ac:dyDescent="0.2">
      <c r="A341" s="216"/>
      <c r="B341" s="225" t="s">
        <v>54</v>
      </c>
      <c r="C341" s="227">
        <v>5.1426056512732163</v>
      </c>
      <c r="D341" s="226">
        <v>0</v>
      </c>
      <c r="E341" s="226">
        <v>0.38936616106148542</v>
      </c>
      <c r="F341" s="226">
        <v>0</v>
      </c>
      <c r="G341" s="226">
        <v>3.9577962807280702</v>
      </c>
      <c r="H341" s="226">
        <v>3.6263755465216714</v>
      </c>
      <c r="I341" s="227">
        <v>3.73918879822559</v>
      </c>
      <c r="J341" s="227">
        <v>3.1486623765837845</v>
      </c>
      <c r="K341" s="226">
        <v>0</v>
      </c>
      <c r="L341" s="226">
        <v>1.6312981672046021</v>
      </c>
      <c r="M341" s="226">
        <v>1.1992606506534851</v>
      </c>
      <c r="N341" s="227">
        <v>0</v>
      </c>
      <c r="O341" s="227">
        <v>1.72395430888393</v>
      </c>
      <c r="P341" s="227">
        <v>0</v>
      </c>
      <c r="Q341" s="226">
        <v>0</v>
      </c>
      <c r="R341" s="227">
        <v>0</v>
      </c>
      <c r="S341" s="230"/>
    </row>
    <row r="342" spans="1:19" x14ac:dyDescent="0.2">
      <c r="A342" s="220" t="s">
        <v>15</v>
      </c>
      <c r="B342" s="214"/>
      <c r="C342" s="221">
        <v>116647.4795533529</v>
      </c>
      <c r="D342" s="222">
        <v>107865.76056013755</v>
      </c>
      <c r="E342" s="222">
        <v>83399.699051345568</v>
      </c>
      <c r="F342" s="222">
        <v>80111.53917584446</v>
      </c>
      <c r="G342" s="222">
        <v>76418.573802389088</v>
      </c>
      <c r="H342" s="222">
        <v>75959.054483390995</v>
      </c>
      <c r="I342" s="221">
        <v>103171.35836739712</v>
      </c>
      <c r="J342" s="221">
        <v>64645.144191397856</v>
      </c>
      <c r="K342" s="222">
        <v>69860.45039425604</v>
      </c>
      <c r="L342" s="222">
        <v>57026.127636472607</v>
      </c>
      <c r="M342" s="222">
        <v>60938.417352554745</v>
      </c>
      <c r="N342" s="221">
        <v>66627.342043243247</v>
      </c>
      <c r="O342" s="221">
        <v>65698.362478145587</v>
      </c>
      <c r="P342" s="221">
        <v>61578.059739999997</v>
      </c>
      <c r="Q342" s="222">
        <v>0</v>
      </c>
      <c r="R342" s="221">
        <v>61578.059739999997</v>
      </c>
      <c r="S342" s="90"/>
    </row>
    <row r="343" spans="1:19" x14ac:dyDescent="0.2">
      <c r="A343" s="216" t="s">
        <v>17</v>
      </c>
      <c r="B343" s="223"/>
      <c r="C343" s="224">
        <v>119877.00637343113</v>
      </c>
      <c r="D343" s="90">
        <v>109519.634238659</v>
      </c>
      <c r="E343" s="90">
        <v>84177.449757173206</v>
      </c>
      <c r="F343" s="90">
        <v>80967.688196393065</v>
      </c>
      <c r="G343" s="90">
        <v>76830.315389223673</v>
      </c>
      <c r="H343" s="90">
        <v>76505.683174020334</v>
      </c>
      <c r="I343" s="224">
        <v>105376.38298766952</v>
      </c>
      <c r="J343" s="224">
        <v>64908.180878918924</v>
      </c>
      <c r="K343" s="90">
        <v>69083.011919248645</v>
      </c>
      <c r="L343" s="90">
        <v>57755.653077146373</v>
      </c>
      <c r="M343" s="90">
        <v>61293.719690344828</v>
      </c>
      <c r="N343" s="224">
        <v>68415.160796839729</v>
      </c>
      <c r="O343" s="224">
        <v>65718.664113004852</v>
      </c>
      <c r="P343" s="224">
        <v>45269.763348453613</v>
      </c>
      <c r="Q343" s="90">
        <v>0</v>
      </c>
      <c r="R343" s="224">
        <v>45269.763348453613</v>
      </c>
      <c r="S343" s="90"/>
    </row>
    <row r="344" spans="1:19" x14ac:dyDescent="0.2">
      <c r="A344" s="216" t="s">
        <v>19</v>
      </c>
      <c r="B344" s="225"/>
      <c r="C344" s="227">
        <v>2.7686211759089834</v>
      </c>
      <c r="D344" s="226">
        <v>1.5332703074015512</v>
      </c>
      <c r="E344" s="226">
        <v>0.93255816828405036</v>
      </c>
      <c r="F344" s="226">
        <v>1.0686962569391671</v>
      </c>
      <c r="G344" s="226">
        <v>0.53879779004945627</v>
      </c>
      <c r="H344" s="226">
        <v>0.71963598592299927</v>
      </c>
      <c r="I344" s="227">
        <v>2.1372449245266618</v>
      </c>
      <c r="J344" s="227">
        <v>0.4068931871236649</v>
      </c>
      <c r="K344" s="226">
        <v>-1.1128449224417203</v>
      </c>
      <c r="L344" s="226">
        <v>1.2792827970440308</v>
      </c>
      <c r="M344" s="226">
        <v>0.58305146937851549</v>
      </c>
      <c r="N344" s="227">
        <v>2.6833109332744085</v>
      </c>
      <c r="O344" s="227">
        <v>3.0901279869826111E-2</v>
      </c>
      <c r="P344" s="227">
        <v>-26.483939994869321</v>
      </c>
      <c r="Q344" s="226">
        <v>0</v>
      </c>
      <c r="R344" s="227">
        <v>-26.483939994869321</v>
      </c>
      <c r="S344" s="230"/>
    </row>
    <row r="345" spans="1:19" x14ac:dyDescent="0.2">
      <c r="A345" s="216" t="s">
        <v>21</v>
      </c>
      <c r="B345" s="214"/>
      <c r="C345" s="221">
        <v>79988.241145602064</v>
      </c>
      <c r="D345" s="222">
        <v>77058.296388039031</v>
      </c>
      <c r="E345" s="222">
        <v>67480.256771660308</v>
      </c>
      <c r="F345" s="222">
        <v>65508.34820585428</v>
      </c>
      <c r="G345" s="222">
        <v>63655.17663658518</v>
      </c>
      <c r="H345" s="222">
        <v>61331.35819941567</v>
      </c>
      <c r="I345" s="221">
        <v>73867.059970744565</v>
      </c>
      <c r="J345" s="221">
        <v>53514.489106796122</v>
      </c>
      <c r="K345" s="222">
        <v>55998.134838840095</v>
      </c>
      <c r="L345" s="222">
        <v>50290.64751234257</v>
      </c>
      <c r="M345" s="222">
        <v>52875.701065517242</v>
      </c>
      <c r="N345" s="221">
        <v>59645.546077961015</v>
      </c>
      <c r="O345" s="221">
        <v>54791.319547830208</v>
      </c>
      <c r="P345" s="221">
        <v>49410.908539999997</v>
      </c>
      <c r="Q345" s="222">
        <v>0</v>
      </c>
      <c r="R345" s="221">
        <v>49410.908539999997</v>
      </c>
      <c r="S345" s="90"/>
    </row>
    <row r="346" spans="1:19" x14ac:dyDescent="0.2">
      <c r="A346" s="216" t="s">
        <v>23</v>
      </c>
      <c r="B346" s="223"/>
      <c r="C346" s="224">
        <v>82057.452621598015</v>
      </c>
      <c r="D346" s="90">
        <v>77660.744045842541</v>
      </c>
      <c r="E346" s="90">
        <v>67603.786249167941</v>
      </c>
      <c r="F346" s="90">
        <v>65861.650952985525</v>
      </c>
      <c r="G346" s="90">
        <v>64124.706530921627</v>
      </c>
      <c r="H346" s="90">
        <v>61619.870053829633</v>
      </c>
      <c r="I346" s="224">
        <v>74913.709121657594</v>
      </c>
      <c r="J346" s="224">
        <v>52970.878771559634</v>
      </c>
      <c r="K346" s="90">
        <v>55333.991709257527</v>
      </c>
      <c r="L346" s="90">
        <v>51222.42138953587</v>
      </c>
      <c r="M346" s="90">
        <v>52775.497355102038</v>
      </c>
      <c r="N346" s="224">
        <v>61503.956829756797</v>
      </c>
      <c r="O346" s="224">
        <v>54967.153643964855</v>
      </c>
      <c r="P346" s="224">
        <v>46461.095146666667</v>
      </c>
      <c r="Q346" s="90">
        <v>0</v>
      </c>
      <c r="R346" s="224">
        <v>46461.095146666667</v>
      </c>
      <c r="S346" s="90"/>
    </row>
    <row r="347" spans="1:19" x14ac:dyDescent="0.2">
      <c r="A347" s="216" t="s">
        <v>25</v>
      </c>
      <c r="B347" s="225"/>
      <c r="C347" s="227">
        <v>2.5868945814540156</v>
      </c>
      <c r="D347" s="226">
        <v>0.78180765218295412</v>
      </c>
      <c r="E347" s="226">
        <v>0.18306017703167868</v>
      </c>
      <c r="F347" s="226">
        <v>0.53932476822804654</v>
      </c>
      <c r="G347" s="226">
        <v>0.73761462797762356</v>
      </c>
      <c r="H347" s="226">
        <v>0.47041491153005488</v>
      </c>
      <c r="I347" s="227">
        <v>1.4169362518659321</v>
      </c>
      <c r="J347" s="227">
        <v>-1.015818975963001</v>
      </c>
      <c r="K347" s="226">
        <v>-1.186009376015718</v>
      </c>
      <c r="L347" s="226">
        <v>1.8527776500881592</v>
      </c>
      <c r="M347" s="226">
        <v>-0.18950805076048763</v>
      </c>
      <c r="N347" s="227">
        <v>3.115757795840624</v>
      </c>
      <c r="O347" s="227">
        <v>0.32091597279593309</v>
      </c>
      <c r="P347" s="227">
        <v>-5.9699638814480513</v>
      </c>
      <c r="Q347" s="226">
        <v>0</v>
      </c>
      <c r="R347" s="227">
        <v>-5.9699638814480513</v>
      </c>
      <c r="S347" s="230"/>
    </row>
    <row r="348" spans="1:19" x14ac:dyDescent="0.2">
      <c r="A348" s="216" t="s">
        <v>27</v>
      </c>
      <c r="B348" s="214"/>
      <c r="C348" s="221">
        <v>69137.159192721447</v>
      </c>
      <c r="D348" s="222">
        <v>65078.026349603875</v>
      </c>
      <c r="E348" s="222">
        <v>57551.809768991763</v>
      </c>
      <c r="F348" s="222">
        <v>56163.330166117754</v>
      </c>
      <c r="G348" s="222">
        <v>54179.378735377657</v>
      </c>
      <c r="H348" s="222">
        <v>52830.335523860587</v>
      </c>
      <c r="I348" s="221">
        <v>62384.662165140937</v>
      </c>
      <c r="J348" s="221">
        <v>45935.378254482763</v>
      </c>
      <c r="K348" s="222">
        <v>52210.84537918344</v>
      </c>
      <c r="L348" s="222">
        <v>45991.150766402679</v>
      </c>
      <c r="M348" s="222">
        <v>45820.355703589739</v>
      </c>
      <c r="N348" s="221">
        <v>53746.541438067346</v>
      </c>
      <c r="O348" s="221">
        <v>49789.775566738914</v>
      </c>
      <c r="P348" s="221">
        <v>44476.730100000001</v>
      </c>
      <c r="Q348" s="222">
        <v>0</v>
      </c>
      <c r="R348" s="221">
        <v>44476.730100000001</v>
      </c>
      <c r="S348" s="90"/>
    </row>
    <row r="349" spans="1:19" x14ac:dyDescent="0.2">
      <c r="A349" s="216" t="s">
        <v>29</v>
      </c>
      <c r="B349" s="223"/>
      <c r="C349" s="224">
        <v>71402.615661085569</v>
      </c>
      <c r="D349" s="90">
        <v>66083.798306091034</v>
      </c>
      <c r="E349" s="90">
        <v>58165.609938606809</v>
      </c>
      <c r="F349" s="90">
        <v>56753.138438230169</v>
      </c>
      <c r="G349" s="90">
        <v>54443.396595351471</v>
      </c>
      <c r="H349" s="90">
        <v>54369.933356154252</v>
      </c>
      <c r="I349" s="224">
        <v>63694.346346191429</v>
      </c>
      <c r="J349" s="224">
        <v>46449.791847457629</v>
      </c>
      <c r="K349" s="90">
        <v>50890.016363594601</v>
      </c>
      <c r="L349" s="90">
        <v>46283.299285308567</v>
      </c>
      <c r="M349" s="90">
        <v>45443.293556770404</v>
      </c>
      <c r="N349" s="224">
        <v>55217.146005899704</v>
      </c>
      <c r="O349" s="224">
        <v>49538.460202096794</v>
      </c>
      <c r="P349" s="224">
        <v>43040.266571052634</v>
      </c>
      <c r="Q349" s="90">
        <v>0</v>
      </c>
      <c r="R349" s="224">
        <v>43040.266571052627</v>
      </c>
      <c r="S349" s="90"/>
    </row>
    <row r="350" spans="1:19" x14ac:dyDescent="0.2">
      <c r="A350" s="216" t="s">
        <v>31</v>
      </c>
      <c r="B350" s="225"/>
      <c r="C350" s="227">
        <v>3.2767566599737044</v>
      </c>
      <c r="D350" s="226">
        <v>1.5454862614979727</v>
      </c>
      <c r="E350" s="226">
        <v>1.0665175814258308</v>
      </c>
      <c r="F350" s="226">
        <v>1.050166132186078</v>
      </c>
      <c r="G350" s="226">
        <v>0.48730322520552877</v>
      </c>
      <c r="H350" s="226">
        <v>2.9142306537090072</v>
      </c>
      <c r="I350" s="227">
        <v>2.0993688762529072</v>
      </c>
      <c r="J350" s="227">
        <v>1.1198636269522075</v>
      </c>
      <c r="K350" s="226">
        <v>-2.5297981788960957</v>
      </c>
      <c r="L350" s="226">
        <v>0.6352276775803295</v>
      </c>
      <c r="M350" s="226">
        <v>-0.82291405430926068</v>
      </c>
      <c r="N350" s="227">
        <v>2.7361845590138092</v>
      </c>
      <c r="O350" s="227">
        <v>-0.50475295737224812</v>
      </c>
      <c r="P350" s="227">
        <v>-3.22969680036655</v>
      </c>
      <c r="Q350" s="226">
        <v>0</v>
      </c>
      <c r="R350" s="227">
        <v>-3.229696800366566</v>
      </c>
      <c r="S350" s="230"/>
    </row>
    <row r="351" spans="1:19" x14ac:dyDescent="0.2">
      <c r="A351" s="216" t="s">
        <v>33</v>
      </c>
      <c r="B351" s="214"/>
      <c r="C351" s="221">
        <v>46133.865822981388</v>
      </c>
      <c r="D351" s="222">
        <v>44431.651460163499</v>
      </c>
      <c r="E351" s="222">
        <v>43220.781382443529</v>
      </c>
      <c r="F351" s="222">
        <v>43937.705334004218</v>
      </c>
      <c r="G351" s="222">
        <v>44983.085352494294</v>
      </c>
      <c r="H351" s="222">
        <v>41470.456577440345</v>
      </c>
      <c r="I351" s="221">
        <v>44496.715302167962</v>
      </c>
      <c r="J351" s="221">
        <v>48844.768771884985</v>
      </c>
      <c r="K351" s="222">
        <v>48842.762754375006</v>
      </c>
      <c r="L351" s="222">
        <v>42338.589546545954</v>
      </c>
      <c r="M351" s="222">
        <v>39540.829211267606</v>
      </c>
      <c r="N351" s="221">
        <v>48175.76580696056</v>
      </c>
      <c r="O351" s="221">
        <v>46025.767580464613</v>
      </c>
      <c r="P351" s="221">
        <v>38135.524593220347</v>
      </c>
      <c r="Q351" s="222">
        <v>0</v>
      </c>
      <c r="R351" s="221">
        <v>38135.524593220347</v>
      </c>
      <c r="S351" s="90"/>
    </row>
    <row r="352" spans="1:19" x14ac:dyDescent="0.2">
      <c r="A352" s="216" t="s">
        <v>35</v>
      </c>
      <c r="B352" s="223"/>
      <c r="C352" s="224">
        <v>47291.321416134851</v>
      </c>
      <c r="D352" s="90">
        <v>44516.956195719846</v>
      </c>
      <c r="E352" s="90">
        <v>43920.213581830678</v>
      </c>
      <c r="F352" s="90">
        <v>44379.862179465694</v>
      </c>
      <c r="G352" s="90">
        <v>45325.611418828405</v>
      </c>
      <c r="H352" s="90">
        <v>43322.754073865828</v>
      </c>
      <c r="I352" s="224">
        <v>45322.203354649166</v>
      </c>
      <c r="J352" s="224">
        <v>49573.345764850616</v>
      </c>
      <c r="K352" s="90">
        <v>48368.520904671925</v>
      </c>
      <c r="L352" s="90">
        <v>44132.092978485147</v>
      </c>
      <c r="M352" s="90">
        <v>39950.218470314496</v>
      </c>
      <c r="N352" s="224">
        <v>49850.39902423077</v>
      </c>
      <c r="O352" s="224">
        <v>46469.147609163985</v>
      </c>
      <c r="P352" s="224">
        <v>36892.140869029856</v>
      </c>
      <c r="Q352" s="90">
        <v>0</v>
      </c>
      <c r="R352" s="224">
        <v>36892.140869029856</v>
      </c>
      <c r="S352" s="90"/>
    </row>
    <row r="353" spans="1:19" x14ac:dyDescent="0.2">
      <c r="A353" s="216" t="s">
        <v>37</v>
      </c>
      <c r="B353" s="225"/>
      <c r="C353" s="227">
        <v>2.5089065754747173</v>
      </c>
      <c r="D353" s="226">
        <v>0.19199091807971436</v>
      </c>
      <c r="E353" s="226">
        <v>1.618277543846677</v>
      </c>
      <c r="F353" s="226">
        <v>1.0063266665846606</v>
      </c>
      <c r="G353" s="226">
        <v>0.76145525290233906</v>
      </c>
      <c r="H353" s="226">
        <v>4.4665471501780383</v>
      </c>
      <c r="I353" s="227">
        <v>1.8551662676120815</v>
      </c>
      <c r="J353" s="227">
        <v>1.4916172423053811</v>
      </c>
      <c r="K353" s="226">
        <v>-0.97095623375768569</v>
      </c>
      <c r="L353" s="226">
        <v>4.2360963157912028</v>
      </c>
      <c r="M353" s="226">
        <v>1.0353583048537318</v>
      </c>
      <c r="N353" s="227">
        <v>3.4760904974099116</v>
      </c>
      <c r="O353" s="227">
        <v>0.96333000405529823</v>
      </c>
      <c r="P353" s="227">
        <v>-3.2604342996543889</v>
      </c>
      <c r="Q353" s="226">
        <v>0</v>
      </c>
      <c r="R353" s="227">
        <v>-3.2604342996543889</v>
      </c>
      <c r="S353" s="230"/>
    </row>
    <row r="354" spans="1:19" x14ac:dyDescent="0.2">
      <c r="A354" s="216" t="s">
        <v>39</v>
      </c>
      <c r="B354" s="214"/>
      <c r="C354" s="221">
        <v>53424.883801003496</v>
      </c>
      <c r="D354" s="222">
        <v>47382.976259172523</v>
      </c>
      <c r="E354" s="222">
        <v>46072.406334395877</v>
      </c>
      <c r="F354" s="222">
        <v>46237.267403943042</v>
      </c>
      <c r="G354" s="222">
        <v>44679.64272302483</v>
      </c>
      <c r="H354" s="222">
        <v>45958.604873668643</v>
      </c>
      <c r="I354" s="221">
        <v>49526.454898951015</v>
      </c>
      <c r="J354" s="221">
        <v>36948.160200000006</v>
      </c>
      <c r="K354" s="222">
        <v>45604.981352767529</v>
      </c>
      <c r="L354" s="222">
        <v>44910.071103645831</v>
      </c>
      <c r="M354" s="222">
        <v>40916.999621118011</v>
      </c>
      <c r="N354" s="221">
        <v>72022.055000000008</v>
      </c>
      <c r="O354" s="221">
        <v>44926.961267470913</v>
      </c>
      <c r="P354" s="221">
        <v>26200</v>
      </c>
      <c r="Q354" s="222">
        <v>0</v>
      </c>
      <c r="R354" s="221">
        <v>26200</v>
      </c>
      <c r="S354" s="90"/>
    </row>
    <row r="355" spans="1:19" x14ac:dyDescent="0.2">
      <c r="A355" s="216" t="s">
        <v>41</v>
      </c>
      <c r="B355" s="223"/>
      <c r="C355" s="224">
        <v>53514.024730565696</v>
      </c>
      <c r="D355" s="90">
        <v>47368.499564088001</v>
      </c>
      <c r="E355" s="90">
        <v>44668.755802643682</v>
      </c>
      <c r="F355" s="90">
        <v>46005.351678084175</v>
      </c>
      <c r="G355" s="90">
        <v>46584.195164576544</v>
      </c>
      <c r="H355" s="90">
        <v>46440.002584648879</v>
      </c>
      <c r="I355" s="224">
        <v>49200.909589217874</v>
      </c>
      <c r="J355" s="224">
        <v>35586.277443478255</v>
      </c>
      <c r="K355" s="90">
        <v>46648.554935742977</v>
      </c>
      <c r="L355" s="90">
        <v>44936.826132413793</v>
      </c>
      <c r="M355" s="90">
        <v>41265.90426744186</v>
      </c>
      <c r="N355" s="224">
        <v>53793.843800000002</v>
      </c>
      <c r="O355" s="224">
        <v>45433.306769406394</v>
      </c>
      <c r="P355" s="224">
        <v>26333</v>
      </c>
      <c r="Q355" s="90">
        <v>0</v>
      </c>
      <c r="R355" s="224">
        <v>26333</v>
      </c>
      <c r="S355" s="90"/>
    </row>
    <row r="356" spans="1:19" x14ac:dyDescent="0.2">
      <c r="A356" s="216" t="s">
        <v>43</v>
      </c>
      <c r="B356" s="225"/>
      <c r="C356" s="227">
        <v>0.16685282815818755</v>
      </c>
      <c r="D356" s="226">
        <v>-3.0552523770011015E-2</v>
      </c>
      <c r="E356" s="226">
        <v>-3.0466186670703239</v>
      </c>
      <c r="F356" s="226">
        <v>-0.50157749123186746</v>
      </c>
      <c r="G356" s="226">
        <v>4.2626850294177441</v>
      </c>
      <c r="H356" s="226">
        <v>1.0474593654518145</v>
      </c>
      <c r="I356" s="227">
        <v>-0.65731599485033243</v>
      </c>
      <c r="J356" s="227">
        <v>-3.6859284715392961</v>
      </c>
      <c r="K356" s="226">
        <v>2.2882885860715727</v>
      </c>
      <c r="L356" s="226">
        <v>5.9574674700950021E-2</v>
      </c>
      <c r="M356" s="226">
        <v>0.85271317436426164</v>
      </c>
      <c r="N356" s="227">
        <v>-25.309207297681251</v>
      </c>
      <c r="O356" s="227">
        <v>1.1270415083739413</v>
      </c>
      <c r="P356" s="227">
        <v>0.50763358778625955</v>
      </c>
      <c r="Q356" s="226">
        <v>0</v>
      </c>
      <c r="R356" s="227">
        <v>0.50763358778625955</v>
      </c>
      <c r="S356" s="230"/>
    </row>
    <row r="357" spans="1:19" x14ac:dyDescent="0.2">
      <c r="A357" s="216" t="s">
        <v>45</v>
      </c>
      <c r="B357" s="214"/>
      <c r="C357" s="221">
        <v>0</v>
      </c>
      <c r="D357" s="222">
        <v>0</v>
      </c>
      <c r="E357" s="222">
        <v>0</v>
      </c>
      <c r="F357" s="222">
        <v>0</v>
      </c>
      <c r="G357" s="222">
        <v>0</v>
      </c>
      <c r="H357" s="222">
        <v>0</v>
      </c>
      <c r="I357" s="221">
        <v>0</v>
      </c>
      <c r="J357" s="221">
        <v>56928.99717710894</v>
      </c>
      <c r="K357" s="222">
        <v>51770.526983135554</v>
      </c>
      <c r="L357" s="222">
        <v>49619.581149000922</v>
      </c>
      <c r="M357" s="222">
        <v>45717.060158957654</v>
      </c>
      <c r="N357" s="221">
        <v>0</v>
      </c>
      <c r="O357" s="221">
        <v>50874.605263073798</v>
      </c>
      <c r="P357" s="221">
        <v>45905.339499166046</v>
      </c>
      <c r="Q357" s="222">
        <v>44247.691075278679</v>
      </c>
      <c r="R357" s="221">
        <v>45298.105810377143</v>
      </c>
      <c r="S357" s="90"/>
    </row>
    <row r="358" spans="1:19" x14ac:dyDescent="0.2">
      <c r="A358" s="216" t="s">
        <v>47</v>
      </c>
      <c r="B358" s="223"/>
      <c r="C358" s="224">
        <v>0</v>
      </c>
      <c r="D358" s="90">
        <v>0</v>
      </c>
      <c r="E358" s="90">
        <v>0</v>
      </c>
      <c r="F358" s="90">
        <v>0</v>
      </c>
      <c r="G358" s="90">
        <v>0</v>
      </c>
      <c r="H358" s="90">
        <v>0</v>
      </c>
      <c r="I358" s="224">
        <v>0</v>
      </c>
      <c r="J358" s="224">
        <v>57132.507582381731</v>
      </c>
      <c r="K358" s="90">
        <v>51753.772016042778</v>
      </c>
      <c r="L358" s="90">
        <v>49722.601490756017</v>
      </c>
      <c r="M358" s="90">
        <v>46002.439544702916</v>
      </c>
      <c r="N358" s="224">
        <v>0</v>
      </c>
      <c r="O358" s="224">
        <v>51057.827917360628</v>
      </c>
      <c r="P358" s="224">
        <v>45676.237833522944</v>
      </c>
      <c r="Q358" s="90">
        <v>45578.095484334925</v>
      </c>
      <c r="R358" s="224">
        <v>45641.217770873656</v>
      </c>
      <c r="S358" s="90"/>
    </row>
    <row r="359" spans="1:19" x14ac:dyDescent="0.2">
      <c r="A359" s="216" t="s">
        <v>49</v>
      </c>
      <c r="B359" s="225"/>
      <c r="C359" s="227">
        <v>0</v>
      </c>
      <c r="D359" s="226">
        <v>0</v>
      </c>
      <c r="E359" s="226">
        <v>0</v>
      </c>
      <c r="F359" s="226">
        <v>0</v>
      </c>
      <c r="G359" s="226">
        <v>0</v>
      </c>
      <c r="H359" s="226">
        <v>0</v>
      </c>
      <c r="I359" s="227">
        <v>0</v>
      </c>
      <c r="J359" s="227">
        <v>0.35748109990355198</v>
      </c>
      <c r="K359" s="226">
        <v>-3.2363910644051377E-2</v>
      </c>
      <c r="L359" s="226">
        <v>0.20762033731348614</v>
      </c>
      <c r="M359" s="226">
        <v>0.62422952121812159</v>
      </c>
      <c r="N359" s="227">
        <v>0</v>
      </c>
      <c r="O359" s="227">
        <v>0.36014560376317711</v>
      </c>
      <c r="P359" s="227">
        <v>-0.49907411238569332</v>
      </c>
      <c r="Q359" s="226">
        <v>3.0067205242253796</v>
      </c>
      <c r="R359" s="227">
        <v>0.75745321875669103</v>
      </c>
      <c r="S359" s="230"/>
    </row>
    <row r="360" spans="1:19" x14ac:dyDescent="0.2">
      <c r="A360" s="216" t="s">
        <v>51</v>
      </c>
      <c r="B360" s="214"/>
      <c r="C360" s="221">
        <v>86344.785370794707</v>
      </c>
      <c r="D360" s="222">
        <v>77611.723464561204</v>
      </c>
      <c r="E360" s="222">
        <v>65262.438080962056</v>
      </c>
      <c r="F360" s="222">
        <v>61597.011568183159</v>
      </c>
      <c r="G360" s="222">
        <v>59803.985499071277</v>
      </c>
      <c r="H360" s="222">
        <v>57684.047198899352</v>
      </c>
      <c r="I360" s="221">
        <v>75400.498321541643</v>
      </c>
      <c r="J360" s="221">
        <v>54704.754153011076</v>
      </c>
      <c r="K360" s="222">
        <v>53637.213173291741</v>
      </c>
      <c r="L360" s="222">
        <v>48691.620113288482</v>
      </c>
      <c r="M360" s="222">
        <v>45773.151378810107</v>
      </c>
      <c r="N360" s="221">
        <v>57012.930827133874</v>
      </c>
      <c r="O360" s="221">
        <v>51679.10817866453</v>
      </c>
      <c r="P360" s="221">
        <v>45634.120808564425</v>
      </c>
      <c r="Q360" s="222">
        <v>44247.691075278679</v>
      </c>
      <c r="R360" s="221">
        <v>45150.740528898044</v>
      </c>
      <c r="S360" s="90"/>
    </row>
    <row r="361" spans="1:19" x14ac:dyDescent="0.2">
      <c r="A361" s="216" t="s">
        <v>53</v>
      </c>
      <c r="B361" s="223"/>
      <c r="C361" s="224">
        <v>86699.35395035884</v>
      </c>
      <c r="D361" s="90">
        <v>75443.145352128224</v>
      </c>
      <c r="E361" s="90">
        <v>64005.908259329583</v>
      </c>
      <c r="F361" s="90">
        <v>62004.409266607043</v>
      </c>
      <c r="G361" s="90">
        <v>59815.634086341001</v>
      </c>
      <c r="H361" s="90">
        <v>58228.200448451011</v>
      </c>
      <c r="I361" s="224">
        <v>75046.293281217469</v>
      </c>
      <c r="J361" s="224">
        <v>55030.933525737055</v>
      </c>
      <c r="K361" s="90">
        <v>53354.246352021233</v>
      </c>
      <c r="L361" s="90">
        <v>49077.743279136754</v>
      </c>
      <c r="M361" s="90">
        <v>46030.460778177585</v>
      </c>
      <c r="N361" s="224">
        <v>58397.182847651573</v>
      </c>
      <c r="O361" s="224">
        <v>51834.101565527541</v>
      </c>
      <c r="P361" s="224">
        <v>44205.837539800697</v>
      </c>
      <c r="Q361" s="90">
        <v>45578.095484334925</v>
      </c>
      <c r="R361" s="224">
        <v>44617.655667565545</v>
      </c>
      <c r="S361" s="90"/>
    </row>
    <row r="362" spans="1:19" x14ac:dyDescent="0.2">
      <c r="A362" s="534" t="s">
        <v>55</v>
      </c>
      <c r="B362" s="225"/>
      <c r="C362" s="227">
        <v>0.41064272502559535</v>
      </c>
      <c r="D362" s="226">
        <v>-2.7941372973416692</v>
      </c>
      <c r="E362" s="226">
        <v>-1.9253491879565872</v>
      </c>
      <c r="F362" s="226">
        <v>0.66139198648123609</v>
      </c>
      <c r="G362" s="226">
        <v>1.9477944776613531E-2</v>
      </c>
      <c r="H362" s="226">
        <v>0.94333403423545026</v>
      </c>
      <c r="I362" s="227">
        <v>-0.46976485329537759</v>
      </c>
      <c r="J362" s="227">
        <v>0.59625416067796277</v>
      </c>
      <c r="K362" s="226">
        <v>-0.527556904114863</v>
      </c>
      <c r="L362" s="226">
        <v>0.79299716244786589</v>
      </c>
      <c r="M362" s="226">
        <v>0.56214045049691386</v>
      </c>
      <c r="N362" s="227">
        <v>2.4279615175631331</v>
      </c>
      <c r="O362" s="227">
        <v>0.29991497981576781</v>
      </c>
      <c r="P362" s="227">
        <v>-3.1298581926348255</v>
      </c>
      <c r="Q362" s="226">
        <v>3.0067205242253796</v>
      </c>
      <c r="R362" s="227">
        <v>-1.1806780023714269</v>
      </c>
      <c r="S362" s="230"/>
    </row>
    <row r="363" spans="1:19" x14ac:dyDescent="0.2">
      <c r="A363" s="213"/>
    </row>
    <row r="369" spans="19:19" x14ac:dyDescent="0.2">
      <c r="S369" s="212"/>
    </row>
    <row r="370" spans="19:19" x14ac:dyDescent="0.2">
      <c r="S370" s="212"/>
    </row>
    <row r="371" spans="19:19" x14ac:dyDescent="0.2">
      <c r="S371" s="212"/>
    </row>
    <row r="372" spans="19:19" x14ac:dyDescent="0.2">
      <c r="S372" s="212"/>
    </row>
    <row r="373" spans="19:19" x14ac:dyDescent="0.2">
      <c r="S373" s="212"/>
    </row>
    <row r="374" spans="19:19" x14ac:dyDescent="0.2">
      <c r="S374" s="212"/>
    </row>
    <row r="375" spans="19:19" x14ac:dyDescent="0.2">
      <c r="S375" s="212"/>
    </row>
    <row r="376" spans="19:19" x14ac:dyDescent="0.2">
      <c r="S376" s="212"/>
    </row>
    <row r="377" spans="19:19" x14ac:dyDescent="0.2">
      <c r="S377" s="212"/>
    </row>
    <row r="378" spans="19:19" x14ac:dyDescent="0.2">
      <c r="S378" s="212"/>
    </row>
    <row r="379" spans="19:19" x14ac:dyDescent="0.2">
      <c r="S379" s="212"/>
    </row>
    <row r="380" spans="19:19" x14ac:dyDescent="0.2">
      <c r="S380" s="212"/>
    </row>
    <row r="381" spans="19:19" x14ac:dyDescent="0.2">
      <c r="S381" s="212"/>
    </row>
    <row r="382" spans="19:19" x14ac:dyDescent="0.2">
      <c r="S382" s="212"/>
    </row>
    <row r="383" spans="19:19" x14ac:dyDescent="0.2">
      <c r="S383" s="212"/>
    </row>
  </sheetData>
  <phoneticPr fontId="21" type="noConversion"/>
  <pageMargins left="0.5" right="0.5" top="1" bottom="1" header="0.5" footer="0.5"/>
  <pageSetup scale="92" pageOrder="overThenDown" orientation="landscape" cellComments="asDisplayed" r:id="rId2"/>
  <headerFooter alignWithMargins="0">
    <oddHeader>&amp;L&amp;"Arial,Bold"&amp;10SREB-State Data Exchange&amp;C&amp;"Arial,Bold"&amp;10Preliminary Tables&amp;R&amp;"Arial,Bold"&amp;10Part 9: Salaries</oddHeader>
    <oddFooter>&amp;L&amp;"Arial,Bold"&amp;10For Agency Review Only&amp;R&amp;"Arial,Bold"&amp;10October 2009</oddFooter>
  </headerFooter>
  <rowBreaks count="15" manualBreakCount="15">
    <brk id="26" min="2" max="18" man="1"/>
    <brk id="47" min="2" max="18" man="1"/>
    <brk id="68" min="2" max="18" man="1"/>
    <brk id="89" min="2" max="18" man="1"/>
    <brk id="110" min="2" max="18" man="1"/>
    <brk id="131" min="2" max="18" man="1"/>
    <brk id="152" min="2" max="18" man="1"/>
    <brk id="173" min="2" max="18" man="1"/>
    <brk id="194" min="2" max="18" man="1"/>
    <brk id="215" min="2" max="18" man="1"/>
    <brk id="236" min="2" max="18" man="1"/>
    <brk id="257" min="2" max="18" man="1"/>
    <brk id="278" min="2" max="18" man="1"/>
    <brk id="299" min="2" max="18" man="1"/>
    <brk id="320" min="2" max="18" man="1"/>
  </rowBreaks>
  <colBreaks count="1" manualBreakCount="1">
    <brk id="9"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17"/>
  </sheetPr>
  <dimension ref="A1:V131"/>
  <sheetViews>
    <sheetView showZeros="0" zoomScale="90" zoomScaleNormal="90" workbookViewId="0">
      <pane xSplit="2" ySplit="5" topLeftCell="C6" activePane="bottomRight" state="frozen"/>
      <selection pane="topRight" activeCell="C1" sqref="C1"/>
      <selection pane="bottomLeft" activeCell="A6" sqref="A6"/>
      <selection pane="bottomRight" sqref="A1:XFD1048576"/>
    </sheetView>
  </sheetViews>
  <sheetFormatPr defaultRowHeight="15.75" x14ac:dyDescent="0.25"/>
  <cols>
    <col min="1" max="1" width="7.125" style="210" customWidth="1"/>
    <col min="2" max="2" width="18.375" style="47" customWidth="1"/>
    <col min="3" max="8" width="12.125" style="47" customWidth="1"/>
    <col min="9" max="9" width="8.875" style="47" customWidth="1"/>
    <col min="10" max="14" width="9.5" style="47" customWidth="1"/>
    <col min="15" max="15" width="8.875" style="47" customWidth="1"/>
    <col min="16" max="17" width="18.875" style="47" customWidth="1"/>
    <col min="18" max="18" width="8.875" style="47" customWidth="1"/>
    <col min="19" max="19" width="11" style="47" customWidth="1"/>
    <col min="20" max="20" width="8.875" style="47" customWidth="1"/>
    <col min="21" max="21" width="11" style="47" customWidth="1"/>
    <col min="22" max="22" width="8.875" style="47" customWidth="1"/>
    <col min="23" max="23" width="11" bestFit="1" customWidth="1"/>
  </cols>
  <sheetData>
    <row r="1" spans="1:22" x14ac:dyDescent="0.25">
      <c r="A1" s="209" t="s">
        <v>0</v>
      </c>
    </row>
    <row r="3" spans="1:22" x14ac:dyDescent="0.25">
      <c r="A3" s="498"/>
      <c r="B3" s="499"/>
      <c r="C3" s="504" t="s">
        <v>56</v>
      </c>
      <c r="D3" s="500" t="s">
        <v>95</v>
      </c>
      <c r="E3" s="500"/>
      <c r="F3" s="500"/>
      <c r="G3" s="500"/>
      <c r="H3" s="500"/>
      <c r="I3" s="500"/>
      <c r="J3" s="500"/>
      <c r="K3" s="500"/>
      <c r="L3" s="500"/>
      <c r="M3" s="500"/>
      <c r="N3" s="500"/>
      <c r="O3" s="500"/>
      <c r="P3" s="500"/>
      <c r="Q3" s="500"/>
      <c r="R3" s="500"/>
      <c r="S3" s="528"/>
      <c r="T3"/>
      <c r="U3"/>
      <c r="V3"/>
    </row>
    <row r="4" spans="1:22" x14ac:dyDescent="0.25">
      <c r="A4" s="502"/>
      <c r="B4" s="503"/>
      <c r="C4" s="504" t="s">
        <v>86</v>
      </c>
      <c r="D4" s="500"/>
      <c r="E4" s="500"/>
      <c r="F4" s="500"/>
      <c r="G4" s="500"/>
      <c r="H4" s="500"/>
      <c r="I4" s="504" t="s">
        <v>7</v>
      </c>
      <c r="J4" s="504" t="s">
        <v>87</v>
      </c>
      <c r="K4" s="500"/>
      <c r="L4" s="500"/>
      <c r="M4" s="500"/>
      <c r="N4" s="500"/>
      <c r="O4" s="504" t="s">
        <v>7</v>
      </c>
      <c r="P4" s="504" t="s">
        <v>57</v>
      </c>
      <c r="Q4" s="500"/>
      <c r="R4" s="504" t="s">
        <v>7</v>
      </c>
      <c r="S4" s="495">
        <v>99</v>
      </c>
      <c r="T4" t="s">
        <v>7</v>
      </c>
      <c r="U4" t="s">
        <v>11</v>
      </c>
      <c r="V4"/>
    </row>
    <row r="5" spans="1:22" x14ac:dyDescent="0.25">
      <c r="A5" s="498" t="s">
        <v>98</v>
      </c>
      <c r="B5" s="504" t="s">
        <v>12</v>
      </c>
      <c r="C5" s="504">
        <v>1</v>
      </c>
      <c r="D5" s="501">
        <v>2</v>
      </c>
      <c r="E5" s="501">
        <v>3</v>
      </c>
      <c r="F5" s="501">
        <v>4</v>
      </c>
      <c r="G5" s="501">
        <v>5</v>
      </c>
      <c r="H5" s="501">
        <v>6</v>
      </c>
      <c r="I5" s="505"/>
      <c r="J5" s="504">
        <v>7</v>
      </c>
      <c r="K5" s="501">
        <v>8</v>
      </c>
      <c r="L5" s="501">
        <v>9</v>
      </c>
      <c r="M5" s="501">
        <v>10</v>
      </c>
      <c r="N5" s="501">
        <v>11</v>
      </c>
      <c r="O5" s="505"/>
      <c r="P5" s="504">
        <v>12</v>
      </c>
      <c r="Q5" s="501">
        <v>13</v>
      </c>
      <c r="R5" s="505"/>
      <c r="S5" s="506">
        <v>99</v>
      </c>
      <c r="T5"/>
      <c r="U5"/>
      <c r="V5"/>
    </row>
    <row r="6" spans="1:22" x14ac:dyDescent="0.25">
      <c r="A6" s="498" t="s">
        <v>97</v>
      </c>
      <c r="B6" s="504" t="s">
        <v>58</v>
      </c>
      <c r="C6" s="504">
        <v>997</v>
      </c>
      <c r="D6" s="501">
        <v>79</v>
      </c>
      <c r="E6" s="501">
        <v>314</v>
      </c>
      <c r="F6" s="501">
        <v>198</v>
      </c>
      <c r="G6" s="501">
        <v>45</v>
      </c>
      <c r="H6" s="501">
        <v>20</v>
      </c>
      <c r="I6" s="504">
        <v>1653</v>
      </c>
      <c r="J6" s="504">
        <v>0</v>
      </c>
      <c r="K6" s="501">
        <v>0</v>
      </c>
      <c r="L6" s="501">
        <v>0</v>
      </c>
      <c r="M6" s="501">
        <v>0</v>
      </c>
      <c r="N6" s="501">
        <v>0</v>
      </c>
      <c r="O6" s="504">
        <v>0</v>
      </c>
      <c r="P6" s="504">
        <v>0</v>
      </c>
      <c r="Q6" s="501">
        <v>0</v>
      </c>
      <c r="R6" s="504">
        <v>0</v>
      </c>
      <c r="S6" s="495">
        <v>0</v>
      </c>
      <c r="T6">
        <v>0</v>
      </c>
      <c r="U6">
        <v>1653</v>
      </c>
      <c r="V6"/>
    </row>
    <row r="7" spans="1:22" x14ac:dyDescent="0.25">
      <c r="A7" s="502"/>
      <c r="B7" s="507" t="s">
        <v>13</v>
      </c>
      <c r="C7" s="507">
        <v>914</v>
      </c>
      <c r="D7" s="508">
        <v>86</v>
      </c>
      <c r="E7" s="508">
        <v>366</v>
      </c>
      <c r="F7" s="508">
        <v>170</v>
      </c>
      <c r="G7" s="508">
        <v>64</v>
      </c>
      <c r="H7" s="508">
        <v>23</v>
      </c>
      <c r="I7" s="507">
        <v>1623</v>
      </c>
      <c r="J7" s="507">
        <v>0</v>
      </c>
      <c r="K7" s="508">
        <v>0</v>
      </c>
      <c r="L7" s="508">
        <v>0</v>
      </c>
      <c r="M7" s="508">
        <v>0</v>
      </c>
      <c r="N7" s="508">
        <v>0</v>
      </c>
      <c r="O7" s="507">
        <v>0</v>
      </c>
      <c r="P7" s="507">
        <v>0</v>
      </c>
      <c r="Q7" s="508">
        <v>0</v>
      </c>
      <c r="R7" s="507">
        <v>0</v>
      </c>
      <c r="S7" s="496">
        <v>0</v>
      </c>
      <c r="T7">
        <v>0</v>
      </c>
      <c r="U7">
        <v>1623</v>
      </c>
      <c r="V7"/>
    </row>
    <row r="8" spans="1:22" x14ac:dyDescent="0.25">
      <c r="A8" s="502"/>
      <c r="B8" s="507" t="s">
        <v>61</v>
      </c>
      <c r="C8" s="507">
        <v>887</v>
      </c>
      <c r="D8" s="508">
        <v>87</v>
      </c>
      <c r="E8" s="508">
        <v>495</v>
      </c>
      <c r="F8" s="508">
        <v>220</v>
      </c>
      <c r="G8" s="508">
        <v>104</v>
      </c>
      <c r="H8" s="508">
        <v>39</v>
      </c>
      <c r="I8" s="507">
        <v>1832</v>
      </c>
      <c r="J8" s="507">
        <v>0</v>
      </c>
      <c r="K8" s="508">
        <v>0</v>
      </c>
      <c r="L8" s="508">
        <v>0</v>
      </c>
      <c r="M8" s="508">
        <v>0</v>
      </c>
      <c r="N8" s="508">
        <v>0</v>
      </c>
      <c r="O8" s="507">
        <v>0</v>
      </c>
      <c r="P8" s="507">
        <v>0</v>
      </c>
      <c r="Q8" s="508">
        <v>0</v>
      </c>
      <c r="R8" s="507">
        <v>0</v>
      </c>
      <c r="S8" s="496">
        <v>0</v>
      </c>
      <c r="T8">
        <v>0</v>
      </c>
      <c r="U8">
        <v>1832</v>
      </c>
      <c r="V8"/>
    </row>
    <row r="9" spans="1:22" x14ac:dyDescent="0.25">
      <c r="A9" s="502"/>
      <c r="B9" s="507" t="s">
        <v>63</v>
      </c>
      <c r="C9" s="507">
        <v>423</v>
      </c>
      <c r="D9" s="508">
        <v>14</v>
      </c>
      <c r="E9" s="508">
        <v>273</v>
      </c>
      <c r="F9" s="508">
        <v>97</v>
      </c>
      <c r="G9" s="508">
        <v>15</v>
      </c>
      <c r="H9" s="508">
        <v>3</v>
      </c>
      <c r="I9" s="507">
        <v>825</v>
      </c>
      <c r="J9" s="507">
        <v>0</v>
      </c>
      <c r="K9" s="508">
        <v>0</v>
      </c>
      <c r="L9" s="508">
        <v>0</v>
      </c>
      <c r="M9" s="508">
        <v>0</v>
      </c>
      <c r="N9" s="508">
        <v>0</v>
      </c>
      <c r="O9" s="507">
        <v>0</v>
      </c>
      <c r="P9" s="507">
        <v>0</v>
      </c>
      <c r="Q9" s="508">
        <v>0</v>
      </c>
      <c r="R9" s="507">
        <v>0</v>
      </c>
      <c r="S9" s="496">
        <v>0</v>
      </c>
      <c r="T9">
        <v>0</v>
      </c>
      <c r="U9">
        <v>825</v>
      </c>
      <c r="V9"/>
    </row>
    <row r="10" spans="1:22" x14ac:dyDescent="0.25">
      <c r="A10" s="502"/>
      <c r="B10" s="507" t="s">
        <v>65</v>
      </c>
      <c r="C10" s="507">
        <v>25</v>
      </c>
      <c r="D10" s="508">
        <v>40</v>
      </c>
      <c r="E10" s="508">
        <v>71</v>
      </c>
      <c r="F10" s="508">
        <v>1</v>
      </c>
      <c r="G10" s="508">
        <v>9</v>
      </c>
      <c r="H10" s="508">
        <v>0</v>
      </c>
      <c r="I10" s="507">
        <v>146</v>
      </c>
      <c r="J10" s="507">
        <v>0</v>
      </c>
      <c r="K10" s="508">
        <v>0</v>
      </c>
      <c r="L10" s="508">
        <v>0</v>
      </c>
      <c r="M10" s="508">
        <v>0</v>
      </c>
      <c r="N10" s="508">
        <v>0</v>
      </c>
      <c r="O10" s="507">
        <v>0</v>
      </c>
      <c r="P10" s="507">
        <v>0</v>
      </c>
      <c r="Q10" s="508">
        <v>0</v>
      </c>
      <c r="R10" s="507">
        <v>0</v>
      </c>
      <c r="S10" s="496">
        <v>0</v>
      </c>
      <c r="T10">
        <v>0</v>
      </c>
      <c r="U10">
        <v>146</v>
      </c>
      <c r="V10"/>
    </row>
    <row r="11" spans="1:22" x14ac:dyDescent="0.25">
      <c r="A11" s="502"/>
      <c r="B11" s="507" t="s">
        <v>67</v>
      </c>
      <c r="C11" s="507">
        <v>0</v>
      </c>
      <c r="D11" s="508">
        <v>0</v>
      </c>
      <c r="E11" s="508">
        <v>0</v>
      </c>
      <c r="F11" s="508">
        <v>0</v>
      </c>
      <c r="G11" s="508">
        <v>0</v>
      </c>
      <c r="H11" s="508">
        <v>0</v>
      </c>
      <c r="I11" s="507">
        <v>0</v>
      </c>
      <c r="J11" s="507">
        <v>0</v>
      </c>
      <c r="K11" s="508">
        <v>560</v>
      </c>
      <c r="L11" s="508">
        <v>942</v>
      </c>
      <c r="M11" s="508">
        <v>271</v>
      </c>
      <c r="N11" s="508">
        <v>0</v>
      </c>
      <c r="O11" s="507">
        <v>1773</v>
      </c>
      <c r="P11" s="507">
        <v>60</v>
      </c>
      <c r="Q11" s="508">
        <v>89</v>
      </c>
      <c r="R11" s="507">
        <v>149</v>
      </c>
      <c r="S11" s="496">
        <v>0</v>
      </c>
      <c r="T11">
        <v>0</v>
      </c>
      <c r="U11">
        <v>1922</v>
      </c>
      <c r="V11"/>
    </row>
    <row r="12" spans="1:22" x14ac:dyDescent="0.25">
      <c r="A12" s="502"/>
      <c r="B12" s="507" t="s">
        <v>69</v>
      </c>
      <c r="C12" s="507">
        <v>3246</v>
      </c>
      <c r="D12" s="508">
        <v>306</v>
      </c>
      <c r="E12" s="508">
        <v>1519</v>
      </c>
      <c r="F12" s="508">
        <v>686</v>
      </c>
      <c r="G12" s="508">
        <v>237</v>
      </c>
      <c r="H12" s="508">
        <v>85</v>
      </c>
      <c r="I12" s="507">
        <v>6079</v>
      </c>
      <c r="J12" s="507">
        <v>0</v>
      </c>
      <c r="K12" s="508">
        <v>560</v>
      </c>
      <c r="L12" s="508">
        <v>942</v>
      </c>
      <c r="M12" s="508">
        <v>271</v>
      </c>
      <c r="N12" s="508">
        <v>0</v>
      </c>
      <c r="O12" s="507">
        <v>1773</v>
      </c>
      <c r="P12" s="507">
        <v>60</v>
      </c>
      <c r="Q12" s="508">
        <v>89</v>
      </c>
      <c r="R12" s="507">
        <v>149</v>
      </c>
      <c r="S12" s="496">
        <v>0</v>
      </c>
      <c r="T12">
        <v>0</v>
      </c>
      <c r="U12">
        <v>8001</v>
      </c>
      <c r="V12"/>
    </row>
    <row r="13" spans="1:22" x14ac:dyDescent="0.25">
      <c r="A13" s="498" t="s">
        <v>105</v>
      </c>
      <c r="B13" s="504" t="s">
        <v>58</v>
      </c>
      <c r="C13" s="504">
        <v>363</v>
      </c>
      <c r="D13" s="501">
        <v>0</v>
      </c>
      <c r="E13" s="501">
        <v>337</v>
      </c>
      <c r="F13" s="501">
        <v>140</v>
      </c>
      <c r="G13" s="501">
        <v>20</v>
      </c>
      <c r="H13" s="501">
        <v>41</v>
      </c>
      <c r="I13" s="504">
        <v>901</v>
      </c>
      <c r="J13" s="504">
        <v>0</v>
      </c>
      <c r="K13" s="501">
        <v>0</v>
      </c>
      <c r="L13" s="501">
        <v>5</v>
      </c>
      <c r="M13" s="501">
        <v>15</v>
      </c>
      <c r="N13" s="501">
        <v>0</v>
      </c>
      <c r="O13" s="504">
        <v>20</v>
      </c>
      <c r="P13" s="504">
        <v>0</v>
      </c>
      <c r="Q13" s="501">
        <v>0</v>
      </c>
      <c r="R13" s="504">
        <v>0</v>
      </c>
      <c r="S13" s="495">
        <v>0</v>
      </c>
      <c r="T13">
        <v>0</v>
      </c>
      <c r="U13">
        <v>921</v>
      </c>
      <c r="V13"/>
    </row>
    <row r="14" spans="1:22" x14ac:dyDescent="0.25">
      <c r="A14" s="502"/>
      <c r="B14" s="507" t="s">
        <v>13</v>
      </c>
      <c r="C14" s="507">
        <v>214</v>
      </c>
      <c r="D14" s="508">
        <v>0</v>
      </c>
      <c r="E14" s="508">
        <v>376</v>
      </c>
      <c r="F14" s="508">
        <v>139</v>
      </c>
      <c r="G14" s="508">
        <v>45</v>
      </c>
      <c r="H14" s="508">
        <v>91</v>
      </c>
      <c r="I14" s="507">
        <v>865</v>
      </c>
      <c r="J14" s="507">
        <v>0</v>
      </c>
      <c r="K14" s="508">
        <v>0</v>
      </c>
      <c r="L14" s="508">
        <v>10</v>
      </c>
      <c r="M14" s="508">
        <v>4</v>
      </c>
      <c r="N14" s="508">
        <v>0</v>
      </c>
      <c r="O14" s="507">
        <v>14</v>
      </c>
      <c r="P14" s="507">
        <v>0</v>
      </c>
      <c r="Q14" s="508">
        <v>0</v>
      </c>
      <c r="R14" s="507">
        <v>0</v>
      </c>
      <c r="S14" s="496">
        <v>0</v>
      </c>
      <c r="T14">
        <v>0</v>
      </c>
      <c r="U14">
        <v>879</v>
      </c>
      <c r="V14"/>
    </row>
    <row r="15" spans="1:22" x14ac:dyDescent="0.25">
      <c r="A15" s="502"/>
      <c r="B15" s="507" t="s">
        <v>61</v>
      </c>
      <c r="C15" s="507">
        <v>167</v>
      </c>
      <c r="D15" s="508">
        <v>0</v>
      </c>
      <c r="E15" s="508">
        <v>413</v>
      </c>
      <c r="F15" s="508">
        <v>220</v>
      </c>
      <c r="G15" s="508">
        <v>23</v>
      </c>
      <c r="H15" s="508">
        <v>153</v>
      </c>
      <c r="I15" s="507">
        <v>976</v>
      </c>
      <c r="J15" s="507">
        <v>0</v>
      </c>
      <c r="K15" s="508">
        <v>0</v>
      </c>
      <c r="L15" s="508">
        <v>32</v>
      </c>
      <c r="M15" s="508">
        <v>44</v>
      </c>
      <c r="N15" s="508">
        <v>0</v>
      </c>
      <c r="O15" s="507">
        <v>76</v>
      </c>
      <c r="P15" s="507">
        <v>0</v>
      </c>
      <c r="Q15" s="508">
        <v>0</v>
      </c>
      <c r="R15" s="507">
        <v>0</v>
      </c>
      <c r="S15" s="496">
        <v>0</v>
      </c>
      <c r="T15">
        <v>0</v>
      </c>
      <c r="U15">
        <v>1052</v>
      </c>
      <c r="V15"/>
    </row>
    <row r="16" spans="1:22" x14ac:dyDescent="0.25">
      <c r="A16" s="502"/>
      <c r="B16" s="507" t="s">
        <v>63</v>
      </c>
      <c r="C16" s="507">
        <v>178</v>
      </c>
      <c r="D16" s="508">
        <v>0</v>
      </c>
      <c r="E16" s="508">
        <v>300</v>
      </c>
      <c r="F16" s="508">
        <v>97</v>
      </c>
      <c r="G16" s="508">
        <v>29</v>
      </c>
      <c r="H16" s="508">
        <v>127</v>
      </c>
      <c r="I16" s="507">
        <v>731</v>
      </c>
      <c r="J16" s="507">
        <v>0</v>
      </c>
      <c r="K16" s="508">
        <v>0</v>
      </c>
      <c r="L16" s="508">
        <v>74</v>
      </c>
      <c r="M16" s="508">
        <v>111</v>
      </c>
      <c r="N16" s="508">
        <v>0</v>
      </c>
      <c r="O16" s="507">
        <v>185</v>
      </c>
      <c r="P16" s="507">
        <v>0</v>
      </c>
      <c r="Q16" s="508">
        <v>0</v>
      </c>
      <c r="R16" s="507">
        <v>0</v>
      </c>
      <c r="S16" s="496">
        <v>0</v>
      </c>
      <c r="T16">
        <v>0</v>
      </c>
      <c r="U16">
        <v>916</v>
      </c>
      <c r="V16"/>
    </row>
    <row r="17" spans="1:22" x14ac:dyDescent="0.25">
      <c r="A17" s="502"/>
      <c r="B17" s="507" t="s">
        <v>65</v>
      </c>
      <c r="C17" s="507">
        <v>73</v>
      </c>
      <c r="D17" s="508">
        <v>0</v>
      </c>
      <c r="E17" s="508">
        <v>82</v>
      </c>
      <c r="F17" s="508">
        <v>48</v>
      </c>
      <c r="G17" s="508">
        <v>37</v>
      </c>
      <c r="H17" s="508">
        <v>9</v>
      </c>
      <c r="I17" s="507">
        <v>249</v>
      </c>
      <c r="J17" s="507">
        <v>0</v>
      </c>
      <c r="K17" s="508">
        <v>0</v>
      </c>
      <c r="L17" s="508">
        <v>0</v>
      </c>
      <c r="M17" s="508">
        <v>0</v>
      </c>
      <c r="N17" s="508">
        <v>0</v>
      </c>
      <c r="O17" s="507">
        <v>0</v>
      </c>
      <c r="P17" s="507">
        <v>0</v>
      </c>
      <c r="Q17" s="508">
        <v>0</v>
      </c>
      <c r="R17" s="507">
        <v>0</v>
      </c>
      <c r="S17" s="496">
        <v>0</v>
      </c>
      <c r="T17">
        <v>0</v>
      </c>
      <c r="U17">
        <v>249</v>
      </c>
      <c r="V17"/>
    </row>
    <row r="18" spans="1:22" x14ac:dyDescent="0.25">
      <c r="A18" s="502"/>
      <c r="B18" s="507" t="s">
        <v>67</v>
      </c>
      <c r="C18" s="507">
        <v>0</v>
      </c>
      <c r="D18" s="508">
        <v>0</v>
      </c>
      <c r="E18" s="508">
        <v>0</v>
      </c>
      <c r="F18" s="508">
        <v>0</v>
      </c>
      <c r="G18" s="508">
        <v>0</v>
      </c>
      <c r="H18" s="508">
        <v>0</v>
      </c>
      <c r="I18" s="507">
        <v>0</v>
      </c>
      <c r="J18" s="507">
        <v>0</v>
      </c>
      <c r="K18" s="508">
        <v>327</v>
      </c>
      <c r="L18" s="508">
        <v>97</v>
      </c>
      <c r="M18" s="508">
        <v>732</v>
      </c>
      <c r="N18" s="508">
        <v>0</v>
      </c>
      <c r="O18" s="507">
        <v>1156</v>
      </c>
      <c r="P18" s="507">
        <v>0</v>
      </c>
      <c r="Q18" s="508">
        <v>0</v>
      </c>
      <c r="R18" s="507">
        <v>0</v>
      </c>
      <c r="S18" s="496">
        <v>0</v>
      </c>
      <c r="T18">
        <v>0</v>
      </c>
      <c r="U18">
        <v>1156</v>
      </c>
      <c r="V18"/>
    </row>
    <row r="19" spans="1:22" x14ac:dyDescent="0.25">
      <c r="A19" s="502"/>
      <c r="B19" s="507" t="s">
        <v>69</v>
      </c>
      <c r="C19" s="507">
        <v>995</v>
      </c>
      <c r="D19" s="508">
        <v>0</v>
      </c>
      <c r="E19" s="508">
        <v>1508</v>
      </c>
      <c r="F19" s="508">
        <v>644</v>
      </c>
      <c r="G19" s="508">
        <v>154</v>
      </c>
      <c r="H19" s="508">
        <v>421</v>
      </c>
      <c r="I19" s="507">
        <v>3722</v>
      </c>
      <c r="J19" s="507">
        <v>0</v>
      </c>
      <c r="K19" s="508">
        <v>327</v>
      </c>
      <c r="L19" s="508">
        <v>218</v>
      </c>
      <c r="M19" s="508">
        <v>906</v>
      </c>
      <c r="N19" s="508">
        <v>0</v>
      </c>
      <c r="O19" s="507">
        <v>1451</v>
      </c>
      <c r="P19" s="507">
        <v>0</v>
      </c>
      <c r="Q19" s="508">
        <v>0</v>
      </c>
      <c r="R19" s="507">
        <v>0</v>
      </c>
      <c r="S19" s="496">
        <v>0</v>
      </c>
      <c r="T19">
        <v>0</v>
      </c>
      <c r="U19">
        <v>5173</v>
      </c>
      <c r="V19"/>
    </row>
    <row r="20" spans="1:22" x14ac:dyDescent="0.25">
      <c r="A20" s="498" t="s">
        <v>106</v>
      </c>
      <c r="B20" s="504" t="s">
        <v>58</v>
      </c>
      <c r="C20" s="504">
        <v>395</v>
      </c>
      <c r="D20" s="501">
        <v>0</v>
      </c>
      <c r="E20" s="501">
        <v>0</v>
      </c>
      <c r="F20" s="501">
        <v>39</v>
      </c>
      <c r="G20" s="501">
        <v>0</v>
      </c>
      <c r="H20" s="501">
        <v>0</v>
      </c>
      <c r="I20" s="504">
        <v>434</v>
      </c>
      <c r="J20" s="504">
        <v>0</v>
      </c>
      <c r="K20" s="501">
        <v>0</v>
      </c>
      <c r="L20" s="501">
        <v>0</v>
      </c>
      <c r="M20" s="501">
        <v>0</v>
      </c>
      <c r="N20" s="501">
        <v>0</v>
      </c>
      <c r="O20" s="504">
        <v>0</v>
      </c>
      <c r="P20" s="504">
        <v>0</v>
      </c>
      <c r="Q20" s="501">
        <v>0</v>
      </c>
      <c r="R20" s="504">
        <v>0</v>
      </c>
      <c r="S20" s="495">
        <v>0</v>
      </c>
      <c r="T20">
        <v>0</v>
      </c>
      <c r="U20">
        <v>434</v>
      </c>
      <c r="V20"/>
    </row>
    <row r="21" spans="1:22" x14ac:dyDescent="0.25">
      <c r="A21" s="502"/>
      <c r="B21" s="507" t="s">
        <v>13</v>
      </c>
      <c r="C21" s="507">
        <v>334</v>
      </c>
      <c r="D21" s="508">
        <v>0</v>
      </c>
      <c r="E21" s="508">
        <v>0</v>
      </c>
      <c r="F21" s="508">
        <v>91</v>
      </c>
      <c r="G21" s="508">
        <v>0</v>
      </c>
      <c r="H21" s="508">
        <v>0</v>
      </c>
      <c r="I21" s="507">
        <v>425</v>
      </c>
      <c r="J21" s="507">
        <v>0</v>
      </c>
      <c r="K21" s="508">
        <v>0</v>
      </c>
      <c r="L21" s="508">
        <v>0</v>
      </c>
      <c r="M21" s="508">
        <v>0</v>
      </c>
      <c r="N21" s="508">
        <v>0</v>
      </c>
      <c r="O21" s="507">
        <v>0</v>
      </c>
      <c r="P21" s="507">
        <v>0</v>
      </c>
      <c r="Q21" s="508">
        <v>0</v>
      </c>
      <c r="R21" s="507">
        <v>0</v>
      </c>
      <c r="S21" s="496">
        <v>0</v>
      </c>
      <c r="T21">
        <v>0</v>
      </c>
      <c r="U21">
        <v>425</v>
      </c>
      <c r="V21"/>
    </row>
    <row r="22" spans="1:22" x14ac:dyDescent="0.25">
      <c r="A22" s="502"/>
      <c r="B22" s="507" t="s">
        <v>61</v>
      </c>
      <c r="C22" s="507">
        <v>300</v>
      </c>
      <c r="D22" s="508">
        <v>0</v>
      </c>
      <c r="E22" s="508">
        <v>0</v>
      </c>
      <c r="F22" s="508">
        <v>63</v>
      </c>
      <c r="G22" s="508">
        <v>0</v>
      </c>
      <c r="H22" s="508">
        <v>0</v>
      </c>
      <c r="I22" s="507">
        <v>363</v>
      </c>
      <c r="J22" s="507">
        <v>0</v>
      </c>
      <c r="K22" s="508">
        <v>0</v>
      </c>
      <c r="L22" s="508">
        <v>0</v>
      </c>
      <c r="M22" s="508">
        <v>0</v>
      </c>
      <c r="N22" s="508">
        <v>0</v>
      </c>
      <c r="O22" s="507">
        <v>0</v>
      </c>
      <c r="P22" s="507">
        <v>0</v>
      </c>
      <c r="Q22" s="508">
        <v>0</v>
      </c>
      <c r="R22" s="507">
        <v>0</v>
      </c>
      <c r="S22" s="496">
        <v>0</v>
      </c>
      <c r="T22">
        <v>0</v>
      </c>
      <c r="U22">
        <v>363</v>
      </c>
      <c r="V22"/>
    </row>
    <row r="23" spans="1:22" x14ac:dyDescent="0.25">
      <c r="A23" s="502"/>
      <c r="B23" s="507" t="s">
        <v>63</v>
      </c>
      <c r="C23" s="507">
        <v>102</v>
      </c>
      <c r="D23" s="508">
        <v>0</v>
      </c>
      <c r="E23" s="508">
        <v>0</v>
      </c>
      <c r="F23" s="508">
        <v>12</v>
      </c>
      <c r="G23" s="508">
        <v>0</v>
      </c>
      <c r="H23" s="508">
        <v>0</v>
      </c>
      <c r="I23" s="507">
        <v>114</v>
      </c>
      <c r="J23" s="507">
        <v>0</v>
      </c>
      <c r="K23" s="508">
        <v>0</v>
      </c>
      <c r="L23" s="508">
        <v>0</v>
      </c>
      <c r="M23" s="508">
        <v>0</v>
      </c>
      <c r="N23" s="508">
        <v>0</v>
      </c>
      <c r="O23" s="507">
        <v>0</v>
      </c>
      <c r="P23" s="507">
        <v>0</v>
      </c>
      <c r="Q23" s="508">
        <v>0</v>
      </c>
      <c r="R23" s="507">
        <v>0</v>
      </c>
      <c r="S23" s="496">
        <v>0</v>
      </c>
      <c r="T23">
        <v>0</v>
      </c>
      <c r="U23">
        <v>114</v>
      </c>
      <c r="V23"/>
    </row>
    <row r="24" spans="1:22" x14ac:dyDescent="0.25">
      <c r="A24" s="502"/>
      <c r="B24" s="507" t="s">
        <v>65</v>
      </c>
      <c r="C24" s="507">
        <v>0</v>
      </c>
      <c r="D24" s="508">
        <v>0</v>
      </c>
      <c r="E24" s="508">
        <v>0</v>
      </c>
      <c r="F24" s="508">
        <v>2</v>
      </c>
      <c r="G24" s="508">
        <v>0</v>
      </c>
      <c r="H24" s="508">
        <v>0</v>
      </c>
      <c r="I24" s="507">
        <v>2</v>
      </c>
      <c r="J24" s="507">
        <v>0</v>
      </c>
      <c r="K24" s="508">
        <v>0</v>
      </c>
      <c r="L24" s="508">
        <v>0</v>
      </c>
      <c r="M24" s="508">
        <v>0</v>
      </c>
      <c r="N24" s="508">
        <v>0</v>
      </c>
      <c r="O24" s="507">
        <v>0</v>
      </c>
      <c r="P24" s="507">
        <v>0</v>
      </c>
      <c r="Q24" s="508">
        <v>0</v>
      </c>
      <c r="R24" s="507">
        <v>0</v>
      </c>
      <c r="S24" s="496">
        <v>0</v>
      </c>
      <c r="T24">
        <v>0</v>
      </c>
      <c r="U24">
        <v>2</v>
      </c>
      <c r="V24"/>
    </row>
    <row r="25" spans="1:22" x14ac:dyDescent="0.25">
      <c r="A25" s="502"/>
      <c r="B25" s="507" t="s">
        <v>67</v>
      </c>
      <c r="C25" s="507">
        <v>0</v>
      </c>
      <c r="D25" s="508">
        <v>0</v>
      </c>
      <c r="E25" s="508">
        <v>0</v>
      </c>
      <c r="F25" s="508">
        <v>0</v>
      </c>
      <c r="G25" s="508">
        <v>0</v>
      </c>
      <c r="H25" s="508">
        <v>0</v>
      </c>
      <c r="I25" s="507">
        <v>0</v>
      </c>
      <c r="J25" s="507">
        <v>0</v>
      </c>
      <c r="K25" s="508">
        <v>176</v>
      </c>
      <c r="L25" s="508">
        <v>122</v>
      </c>
      <c r="M25" s="508">
        <v>85</v>
      </c>
      <c r="N25" s="508">
        <v>0</v>
      </c>
      <c r="O25" s="507">
        <v>383</v>
      </c>
      <c r="P25" s="507">
        <v>0</v>
      </c>
      <c r="Q25" s="508">
        <v>0</v>
      </c>
      <c r="R25" s="507">
        <v>0</v>
      </c>
      <c r="S25" s="496">
        <v>0</v>
      </c>
      <c r="T25">
        <v>0</v>
      </c>
      <c r="U25">
        <v>383</v>
      </c>
      <c r="V25"/>
    </row>
    <row r="26" spans="1:22" x14ac:dyDescent="0.25">
      <c r="A26" s="502"/>
      <c r="B26" s="507" t="s">
        <v>69</v>
      </c>
      <c r="C26" s="507">
        <v>1131</v>
      </c>
      <c r="D26" s="508">
        <v>0</v>
      </c>
      <c r="E26" s="508">
        <v>0</v>
      </c>
      <c r="F26" s="508">
        <v>207</v>
      </c>
      <c r="G26" s="508">
        <v>0</v>
      </c>
      <c r="H26" s="508">
        <v>0</v>
      </c>
      <c r="I26" s="507">
        <v>1338</v>
      </c>
      <c r="J26" s="507">
        <v>0</v>
      </c>
      <c r="K26" s="508">
        <v>176</v>
      </c>
      <c r="L26" s="508">
        <v>122</v>
      </c>
      <c r="M26" s="508">
        <v>85</v>
      </c>
      <c r="N26" s="508">
        <v>0</v>
      </c>
      <c r="O26" s="507">
        <v>383</v>
      </c>
      <c r="P26" s="507">
        <v>0</v>
      </c>
      <c r="Q26" s="508">
        <v>0</v>
      </c>
      <c r="R26" s="507">
        <v>0</v>
      </c>
      <c r="S26" s="496">
        <v>0</v>
      </c>
      <c r="T26">
        <v>0</v>
      </c>
      <c r="U26">
        <v>1721</v>
      </c>
      <c r="V26"/>
    </row>
    <row r="27" spans="1:22" x14ac:dyDescent="0.25">
      <c r="A27" s="498" t="s">
        <v>114</v>
      </c>
      <c r="B27" s="504" t="s">
        <v>58</v>
      </c>
      <c r="C27" s="504">
        <v>1943</v>
      </c>
      <c r="D27" s="501">
        <v>196</v>
      </c>
      <c r="E27" s="501">
        <v>298</v>
      </c>
      <c r="F27" s="501">
        <v>64</v>
      </c>
      <c r="G27" s="501">
        <v>0</v>
      </c>
      <c r="H27" s="501">
        <v>26</v>
      </c>
      <c r="I27" s="504">
        <v>2527</v>
      </c>
      <c r="J27" s="504">
        <v>0</v>
      </c>
      <c r="K27" s="501">
        <v>0</v>
      </c>
      <c r="L27" s="501">
        <v>0</v>
      </c>
      <c r="M27" s="501">
        <v>0</v>
      </c>
      <c r="N27" s="501">
        <v>0</v>
      </c>
      <c r="O27" s="504">
        <v>0</v>
      </c>
      <c r="P27" s="504">
        <v>0</v>
      </c>
      <c r="Q27" s="501">
        <v>0</v>
      </c>
      <c r="R27" s="504">
        <v>0</v>
      </c>
      <c r="S27" s="495">
        <v>0</v>
      </c>
      <c r="T27">
        <v>0</v>
      </c>
      <c r="U27">
        <v>2527</v>
      </c>
      <c r="V27"/>
    </row>
    <row r="28" spans="1:22" x14ac:dyDescent="0.25">
      <c r="A28" s="502"/>
      <c r="B28" s="507" t="s">
        <v>13</v>
      </c>
      <c r="C28" s="507">
        <v>1866</v>
      </c>
      <c r="D28" s="508">
        <v>229</v>
      </c>
      <c r="E28" s="508">
        <v>405</v>
      </c>
      <c r="F28" s="508">
        <v>99</v>
      </c>
      <c r="G28" s="508">
        <v>0</v>
      </c>
      <c r="H28" s="508">
        <v>19</v>
      </c>
      <c r="I28" s="507">
        <v>2618</v>
      </c>
      <c r="J28" s="507">
        <v>0</v>
      </c>
      <c r="K28" s="508">
        <v>0</v>
      </c>
      <c r="L28" s="508">
        <v>0</v>
      </c>
      <c r="M28" s="508">
        <v>0</v>
      </c>
      <c r="N28" s="508">
        <v>0</v>
      </c>
      <c r="O28" s="507">
        <v>0</v>
      </c>
      <c r="P28" s="507">
        <v>0</v>
      </c>
      <c r="Q28" s="508">
        <v>0</v>
      </c>
      <c r="R28" s="507">
        <v>0</v>
      </c>
      <c r="S28" s="496">
        <v>0</v>
      </c>
      <c r="T28">
        <v>0</v>
      </c>
      <c r="U28">
        <v>2618</v>
      </c>
      <c r="V28"/>
    </row>
    <row r="29" spans="1:22" x14ac:dyDescent="0.25">
      <c r="A29" s="502"/>
      <c r="B29" s="507" t="s">
        <v>61</v>
      </c>
      <c r="C29" s="507">
        <v>1522</v>
      </c>
      <c r="D29" s="508">
        <v>148</v>
      </c>
      <c r="E29" s="508">
        <v>378</v>
      </c>
      <c r="F29" s="508">
        <v>132</v>
      </c>
      <c r="G29" s="508">
        <v>0</v>
      </c>
      <c r="H29" s="508">
        <v>23</v>
      </c>
      <c r="I29" s="507">
        <v>2203</v>
      </c>
      <c r="J29" s="507">
        <v>0</v>
      </c>
      <c r="K29" s="508">
        <v>0</v>
      </c>
      <c r="L29" s="508">
        <v>0</v>
      </c>
      <c r="M29" s="508">
        <v>0</v>
      </c>
      <c r="N29" s="508">
        <v>0</v>
      </c>
      <c r="O29" s="507">
        <v>0</v>
      </c>
      <c r="P29" s="507">
        <v>0</v>
      </c>
      <c r="Q29" s="508">
        <v>0</v>
      </c>
      <c r="R29" s="507">
        <v>0</v>
      </c>
      <c r="S29" s="496">
        <v>0</v>
      </c>
      <c r="T29">
        <v>0</v>
      </c>
      <c r="U29">
        <v>2203</v>
      </c>
      <c r="V29"/>
    </row>
    <row r="30" spans="1:22" x14ac:dyDescent="0.25">
      <c r="A30" s="502"/>
      <c r="B30" s="507" t="s">
        <v>63</v>
      </c>
      <c r="C30" s="507">
        <v>690</v>
      </c>
      <c r="D30" s="508">
        <v>188</v>
      </c>
      <c r="E30" s="508">
        <v>180</v>
      </c>
      <c r="F30" s="508">
        <v>99</v>
      </c>
      <c r="G30" s="508">
        <v>0</v>
      </c>
      <c r="H30" s="508">
        <v>1</v>
      </c>
      <c r="I30" s="507">
        <v>1158</v>
      </c>
      <c r="J30" s="507">
        <v>0</v>
      </c>
      <c r="K30" s="508">
        <v>0</v>
      </c>
      <c r="L30" s="508">
        <v>0</v>
      </c>
      <c r="M30" s="508">
        <v>0</v>
      </c>
      <c r="N30" s="508">
        <v>0</v>
      </c>
      <c r="O30" s="507">
        <v>0</v>
      </c>
      <c r="P30" s="507">
        <v>0</v>
      </c>
      <c r="Q30" s="508">
        <v>0</v>
      </c>
      <c r="R30" s="507">
        <v>0</v>
      </c>
      <c r="S30" s="496">
        <v>0</v>
      </c>
      <c r="T30">
        <v>0</v>
      </c>
      <c r="U30">
        <v>1158</v>
      </c>
      <c r="V30"/>
    </row>
    <row r="31" spans="1:22" x14ac:dyDescent="0.25">
      <c r="A31" s="502"/>
      <c r="B31" s="507" t="s">
        <v>65</v>
      </c>
      <c r="C31" s="507">
        <v>228</v>
      </c>
      <c r="D31" s="508">
        <v>1</v>
      </c>
      <c r="E31" s="508">
        <v>9</v>
      </c>
      <c r="F31" s="508">
        <v>0</v>
      </c>
      <c r="G31" s="508">
        <v>0</v>
      </c>
      <c r="H31" s="508">
        <v>0</v>
      </c>
      <c r="I31" s="507">
        <v>238</v>
      </c>
      <c r="J31" s="507">
        <v>0</v>
      </c>
      <c r="K31" s="508">
        <v>0</v>
      </c>
      <c r="L31" s="508">
        <v>0</v>
      </c>
      <c r="M31" s="508">
        <v>0</v>
      </c>
      <c r="N31" s="508">
        <v>0</v>
      </c>
      <c r="O31" s="507">
        <v>0</v>
      </c>
      <c r="P31" s="507">
        <v>0</v>
      </c>
      <c r="Q31" s="508">
        <v>0</v>
      </c>
      <c r="R31" s="507">
        <v>0</v>
      </c>
      <c r="S31" s="496">
        <v>0</v>
      </c>
      <c r="T31">
        <v>0</v>
      </c>
      <c r="U31">
        <v>238</v>
      </c>
      <c r="V31"/>
    </row>
    <row r="32" spans="1:22" x14ac:dyDescent="0.25">
      <c r="A32" s="502"/>
      <c r="B32" s="507" t="s">
        <v>67</v>
      </c>
      <c r="C32" s="507">
        <v>0</v>
      </c>
      <c r="D32" s="508">
        <v>0</v>
      </c>
      <c r="E32" s="508">
        <v>0</v>
      </c>
      <c r="F32" s="508">
        <v>0</v>
      </c>
      <c r="G32" s="508">
        <v>0</v>
      </c>
      <c r="H32" s="508">
        <v>0</v>
      </c>
      <c r="I32" s="507">
        <v>0</v>
      </c>
      <c r="J32" s="507">
        <v>2230</v>
      </c>
      <c r="K32" s="508">
        <v>2963</v>
      </c>
      <c r="L32" s="508">
        <v>441</v>
      </c>
      <c r="M32" s="508">
        <v>57</v>
      </c>
      <c r="N32" s="508">
        <v>0</v>
      </c>
      <c r="O32" s="507">
        <v>5691</v>
      </c>
      <c r="P32" s="507">
        <v>0</v>
      </c>
      <c r="Q32" s="508">
        <v>0</v>
      </c>
      <c r="R32" s="507">
        <v>0</v>
      </c>
      <c r="S32" s="496">
        <v>0</v>
      </c>
      <c r="T32">
        <v>0</v>
      </c>
      <c r="U32">
        <v>5691</v>
      </c>
      <c r="V32"/>
    </row>
    <row r="33" spans="1:22" x14ac:dyDescent="0.25">
      <c r="A33" s="502"/>
      <c r="B33" s="507" t="s">
        <v>69</v>
      </c>
      <c r="C33" s="507">
        <v>6249</v>
      </c>
      <c r="D33" s="508">
        <v>762</v>
      </c>
      <c r="E33" s="508">
        <v>1270</v>
      </c>
      <c r="F33" s="508">
        <v>394</v>
      </c>
      <c r="G33" s="508">
        <v>0</v>
      </c>
      <c r="H33" s="508">
        <v>69</v>
      </c>
      <c r="I33" s="507">
        <v>8744</v>
      </c>
      <c r="J33" s="507">
        <v>2230</v>
      </c>
      <c r="K33" s="508">
        <v>2963</v>
      </c>
      <c r="L33" s="508">
        <v>441</v>
      </c>
      <c r="M33" s="508">
        <v>57</v>
      </c>
      <c r="N33" s="508">
        <v>0</v>
      </c>
      <c r="O33" s="507">
        <v>5691</v>
      </c>
      <c r="P33" s="507">
        <v>0</v>
      </c>
      <c r="Q33" s="508">
        <v>0</v>
      </c>
      <c r="R33" s="507">
        <v>0</v>
      </c>
      <c r="S33" s="496">
        <v>0</v>
      </c>
      <c r="T33">
        <v>0</v>
      </c>
      <c r="U33">
        <v>14435</v>
      </c>
      <c r="V33"/>
    </row>
    <row r="34" spans="1:22" x14ac:dyDescent="0.25">
      <c r="A34" s="498" t="s">
        <v>112</v>
      </c>
      <c r="B34" s="504" t="s">
        <v>58</v>
      </c>
      <c r="C34" s="504">
        <v>913</v>
      </c>
      <c r="D34" s="501">
        <v>417</v>
      </c>
      <c r="E34" s="501">
        <v>383</v>
      </c>
      <c r="F34" s="501">
        <v>332</v>
      </c>
      <c r="G34" s="501">
        <v>214</v>
      </c>
      <c r="H34" s="501">
        <v>31</v>
      </c>
      <c r="I34" s="504">
        <v>2290</v>
      </c>
      <c r="J34" s="504">
        <v>82</v>
      </c>
      <c r="K34" s="501">
        <v>31</v>
      </c>
      <c r="L34" s="501">
        <v>57</v>
      </c>
      <c r="M34" s="501">
        <v>4</v>
      </c>
      <c r="N34" s="501">
        <v>0</v>
      </c>
      <c r="O34" s="504">
        <v>174</v>
      </c>
      <c r="P34" s="504">
        <v>0</v>
      </c>
      <c r="Q34" s="501">
        <v>0</v>
      </c>
      <c r="R34" s="504">
        <v>0</v>
      </c>
      <c r="S34" s="495">
        <v>0</v>
      </c>
      <c r="T34">
        <v>0</v>
      </c>
      <c r="U34">
        <v>2464</v>
      </c>
      <c r="V34"/>
    </row>
    <row r="35" spans="1:22" x14ac:dyDescent="0.25">
      <c r="A35" s="502"/>
      <c r="B35" s="507" t="s">
        <v>13</v>
      </c>
      <c r="C35" s="507">
        <v>836</v>
      </c>
      <c r="D35" s="508">
        <v>254</v>
      </c>
      <c r="E35" s="508">
        <v>402</v>
      </c>
      <c r="F35" s="508">
        <v>423</v>
      </c>
      <c r="G35" s="508">
        <v>283</v>
      </c>
      <c r="H35" s="508">
        <v>107</v>
      </c>
      <c r="I35" s="507">
        <v>2305</v>
      </c>
      <c r="J35" s="507">
        <v>133</v>
      </c>
      <c r="K35" s="508">
        <v>134</v>
      </c>
      <c r="L35" s="508">
        <v>149</v>
      </c>
      <c r="M35" s="508">
        <v>12</v>
      </c>
      <c r="N35" s="508">
        <v>0</v>
      </c>
      <c r="O35" s="507">
        <v>428</v>
      </c>
      <c r="P35" s="507">
        <v>0</v>
      </c>
      <c r="Q35" s="508">
        <v>0</v>
      </c>
      <c r="R35" s="507">
        <v>0</v>
      </c>
      <c r="S35" s="496">
        <v>0</v>
      </c>
      <c r="T35">
        <v>0</v>
      </c>
      <c r="U35">
        <v>2733</v>
      </c>
      <c r="V35"/>
    </row>
    <row r="36" spans="1:22" x14ac:dyDescent="0.25">
      <c r="A36" s="502"/>
      <c r="B36" s="507" t="s">
        <v>61</v>
      </c>
      <c r="C36" s="507">
        <v>732</v>
      </c>
      <c r="D36" s="508">
        <v>225</v>
      </c>
      <c r="E36" s="508">
        <v>567</v>
      </c>
      <c r="F36" s="508">
        <v>666</v>
      </c>
      <c r="G36" s="508">
        <v>409</v>
      </c>
      <c r="H36" s="508">
        <v>299</v>
      </c>
      <c r="I36" s="507">
        <v>2898</v>
      </c>
      <c r="J36" s="507">
        <v>184</v>
      </c>
      <c r="K36" s="508">
        <v>116</v>
      </c>
      <c r="L36" s="508">
        <v>311</v>
      </c>
      <c r="M36" s="508">
        <v>21</v>
      </c>
      <c r="N36" s="508">
        <v>0</v>
      </c>
      <c r="O36" s="507">
        <v>632</v>
      </c>
      <c r="P36" s="507">
        <v>0</v>
      </c>
      <c r="Q36" s="508">
        <v>0</v>
      </c>
      <c r="R36" s="507">
        <v>0</v>
      </c>
      <c r="S36" s="496">
        <v>0</v>
      </c>
      <c r="T36">
        <v>0</v>
      </c>
      <c r="U36">
        <v>3530</v>
      </c>
      <c r="V36"/>
    </row>
    <row r="37" spans="1:22" x14ac:dyDescent="0.25">
      <c r="A37" s="502"/>
      <c r="B37" s="507" t="s">
        <v>63</v>
      </c>
      <c r="C37" s="507">
        <v>105</v>
      </c>
      <c r="D37" s="508">
        <v>45</v>
      </c>
      <c r="E37" s="508">
        <v>238</v>
      </c>
      <c r="F37" s="508">
        <v>136</v>
      </c>
      <c r="G37" s="508">
        <v>122</v>
      </c>
      <c r="H37" s="508">
        <v>18</v>
      </c>
      <c r="I37" s="507">
        <v>664</v>
      </c>
      <c r="J37" s="507">
        <v>34</v>
      </c>
      <c r="K37" s="508">
        <v>272</v>
      </c>
      <c r="L37" s="508">
        <v>179</v>
      </c>
      <c r="M37" s="508">
        <v>19</v>
      </c>
      <c r="N37" s="508">
        <v>0</v>
      </c>
      <c r="O37" s="507">
        <v>504</v>
      </c>
      <c r="P37" s="507">
        <v>0</v>
      </c>
      <c r="Q37" s="508">
        <v>0</v>
      </c>
      <c r="R37" s="507">
        <v>0</v>
      </c>
      <c r="S37" s="496">
        <v>0</v>
      </c>
      <c r="T37">
        <v>0</v>
      </c>
      <c r="U37">
        <v>1168</v>
      </c>
      <c r="V37"/>
    </row>
    <row r="38" spans="1:22" x14ac:dyDescent="0.25">
      <c r="A38" s="502"/>
      <c r="B38" s="507" t="s">
        <v>65</v>
      </c>
      <c r="C38" s="507">
        <v>298</v>
      </c>
      <c r="D38" s="508">
        <v>87</v>
      </c>
      <c r="E38" s="508">
        <v>112</v>
      </c>
      <c r="F38" s="508">
        <v>164</v>
      </c>
      <c r="G38" s="508">
        <v>96</v>
      </c>
      <c r="H38" s="508">
        <v>16</v>
      </c>
      <c r="I38" s="507">
        <v>773</v>
      </c>
      <c r="J38" s="507">
        <v>34</v>
      </c>
      <c r="K38" s="508">
        <v>20</v>
      </c>
      <c r="L38" s="508">
        <v>34</v>
      </c>
      <c r="M38" s="508">
        <v>8</v>
      </c>
      <c r="N38" s="508">
        <v>0</v>
      </c>
      <c r="O38" s="507">
        <v>96</v>
      </c>
      <c r="P38" s="507">
        <v>0</v>
      </c>
      <c r="Q38" s="508">
        <v>0</v>
      </c>
      <c r="R38" s="507">
        <v>0</v>
      </c>
      <c r="S38" s="496">
        <v>0</v>
      </c>
      <c r="T38">
        <v>0</v>
      </c>
      <c r="U38">
        <v>869</v>
      </c>
      <c r="V38"/>
    </row>
    <row r="39" spans="1:22" x14ac:dyDescent="0.25">
      <c r="A39" s="502"/>
      <c r="B39" s="507" t="s">
        <v>67</v>
      </c>
      <c r="C39" s="507">
        <v>0</v>
      </c>
      <c r="D39" s="508">
        <v>0</v>
      </c>
      <c r="E39" s="508">
        <v>0</v>
      </c>
      <c r="F39" s="508">
        <v>0</v>
      </c>
      <c r="G39" s="508">
        <v>0</v>
      </c>
      <c r="H39" s="508">
        <v>0</v>
      </c>
      <c r="I39" s="507">
        <v>0</v>
      </c>
      <c r="J39" s="507">
        <v>0</v>
      </c>
      <c r="K39" s="508">
        <v>0</v>
      </c>
      <c r="L39" s="508">
        <v>0</v>
      </c>
      <c r="M39" s="508">
        <v>0</v>
      </c>
      <c r="N39" s="508">
        <v>0</v>
      </c>
      <c r="O39" s="507">
        <v>0</v>
      </c>
      <c r="P39" s="507">
        <v>2288</v>
      </c>
      <c r="Q39" s="508">
        <v>0</v>
      </c>
      <c r="R39" s="507">
        <v>2288</v>
      </c>
      <c r="S39" s="496">
        <v>0</v>
      </c>
      <c r="T39">
        <v>0</v>
      </c>
      <c r="U39">
        <v>2288</v>
      </c>
      <c r="V39"/>
    </row>
    <row r="40" spans="1:22" x14ac:dyDescent="0.25">
      <c r="A40" s="502"/>
      <c r="B40" s="507" t="s">
        <v>69</v>
      </c>
      <c r="C40" s="507">
        <v>2884</v>
      </c>
      <c r="D40" s="508">
        <v>1028</v>
      </c>
      <c r="E40" s="508">
        <v>1702</v>
      </c>
      <c r="F40" s="508">
        <v>1721</v>
      </c>
      <c r="G40" s="508">
        <v>1124</v>
      </c>
      <c r="H40" s="508">
        <v>471</v>
      </c>
      <c r="I40" s="507">
        <v>8930</v>
      </c>
      <c r="J40" s="507">
        <v>467</v>
      </c>
      <c r="K40" s="508">
        <v>573</v>
      </c>
      <c r="L40" s="508">
        <v>730</v>
      </c>
      <c r="M40" s="508">
        <v>64</v>
      </c>
      <c r="N40" s="508">
        <v>0</v>
      </c>
      <c r="O40" s="507">
        <v>1834</v>
      </c>
      <c r="P40" s="507">
        <v>2288</v>
      </c>
      <c r="Q40" s="508">
        <v>0</v>
      </c>
      <c r="R40" s="507">
        <v>2288</v>
      </c>
      <c r="S40" s="496">
        <v>0</v>
      </c>
      <c r="T40">
        <v>0</v>
      </c>
      <c r="U40">
        <v>13052</v>
      </c>
      <c r="V40"/>
    </row>
    <row r="41" spans="1:22" x14ac:dyDescent="0.25">
      <c r="A41" s="498" t="s">
        <v>115</v>
      </c>
      <c r="B41" s="504" t="s">
        <v>58</v>
      </c>
      <c r="C41" s="504">
        <v>774</v>
      </c>
      <c r="D41" s="501">
        <v>0</v>
      </c>
      <c r="E41" s="501">
        <v>455</v>
      </c>
      <c r="F41" s="501">
        <v>111</v>
      </c>
      <c r="G41" s="501">
        <v>0</v>
      </c>
      <c r="H41" s="501">
        <v>0</v>
      </c>
      <c r="I41" s="504">
        <v>1340</v>
      </c>
      <c r="J41" s="504">
        <v>0</v>
      </c>
      <c r="K41" s="501">
        <v>158</v>
      </c>
      <c r="L41" s="501">
        <v>366</v>
      </c>
      <c r="M41" s="501">
        <v>79</v>
      </c>
      <c r="N41" s="501">
        <v>0</v>
      </c>
      <c r="O41" s="504">
        <v>603</v>
      </c>
      <c r="P41" s="504">
        <v>12</v>
      </c>
      <c r="Q41" s="501">
        <v>0</v>
      </c>
      <c r="R41" s="504">
        <v>12</v>
      </c>
      <c r="S41" s="495">
        <v>0</v>
      </c>
      <c r="T41">
        <v>0</v>
      </c>
      <c r="U41">
        <v>1955</v>
      </c>
      <c r="V41"/>
    </row>
    <row r="42" spans="1:22" x14ac:dyDescent="0.25">
      <c r="A42" s="502"/>
      <c r="B42" s="507" t="s">
        <v>13</v>
      </c>
      <c r="C42" s="507">
        <v>609</v>
      </c>
      <c r="D42" s="508">
        <v>0</v>
      </c>
      <c r="E42" s="508">
        <v>608</v>
      </c>
      <c r="F42" s="508">
        <v>205</v>
      </c>
      <c r="G42" s="508">
        <v>0</v>
      </c>
      <c r="H42" s="508">
        <v>0</v>
      </c>
      <c r="I42" s="507">
        <v>1422</v>
      </c>
      <c r="J42" s="507">
        <v>0</v>
      </c>
      <c r="K42" s="508">
        <v>220</v>
      </c>
      <c r="L42" s="508">
        <v>329</v>
      </c>
      <c r="M42" s="508">
        <v>35</v>
      </c>
      <c r="N42" s="508">
        <v>0</v>
      </c>
      <c r="O42" s="507">
        <v>584</v>
      </c>
      <c r="P42" s="507">
        <v>42</v>
      </c>
      <c r="Q42" s="508">
        <v>0</v>
      </c>
      <c r="R42" s="507">
        <v>42</v>
      </c>
      <c r="S42" s="496">
        <v>0</v>
      </c>
      <c r="T42">
        <v>0</v>
      </c>
      <c r="U42">
        <v>2048</v>
      </c>
      <c r="V42"/>
    </row>
    <row r="43" spans="1:22" x14ac:dyDescent="0.25">
      <c r="A43" s="502"/>
      <c r="B43" s="507" t="s">
        <v>61</v>
      </c>
      <c r="C43" s="507">
        <v>595</v>
      </c>
      <c r="D43" s="508">
        <v>0</v>
      </c>
      <c r="E43" s="508">
        <v>703</v>
      </c>
      <c r="F43" s="508">
        <v>178</v>
      </c>
      <c r="G43" s="508">
        <v>0</v>
      </c>
      <c r="H43" s="508">
        <v>0</v>
      </c>
      <c r="I43" s="507">
        <v>1476</v>
      </c>
      <c r="J43" s="507">
        <v>0</v>
      </c>
      <c r="K43" s="508">
        <v>56</v>
      </c>
      <c r="L43" s="508">
        <v>153</v>
      </c>
      <c r="M43" s="508">
        <v>19</v>
      </c>
      <c r="N43" s="508">
        <v>0</v>
      </c>
      <c r="O43" s="507">
        <v>228</v>
      </c>
      <c r="P43" s="507">
        <v>40</v>
      </c>
      <c r="Q43" s="508">
        <v>0</v>
      </c>
      <c r="R43" s="507">
        <v>40</v>
      </c>
      <c r="S43" s="496">
        <v>0</v>
      </c>
      <c r="T43">
        <v>0</v>
      </c>
      <c r="U43">
        <v>1744</v>
      </c>
      <c r="V43"/>
    </row>
    <row r="44" spans="1:22" x14ac:dyDescent="0.25">
      <c r="A44" s="502"/>
      <c r="B44" s="507" t="s">
        <v>63</v>
      </c>
      <c r="C44" s="507">
        <v>102</v>
      </c>
      <c r="D44" s="508">
        <v>0</v>
      </c>
      <c r="E44" s="508">
        <v>298</v>
      </c>
      <c r="F44" s="508">
        <v>17</v>
      </c>
      <c r="G44" s="508">
        <v>0</v>
      </c>
      <c r="H44" s="508">
        <v>0</v>
      </c>
      <c r="I44" s="507">
        <v>417</v>
      </c>
      <c r="J44" s="507">
        <v>0</v>
      </c>
      <c r="K44" s="508">
        <v>90</v>
      </c>
      <c r="L44" s="508">
        <v>274</v>
      </c>
      <c r="M44" s="508">
        <v>26</v>
      </c>
      <c r="N44" s="508">
        <v>0</v>
      </c>
      <c r="O44" s="507">
        <v>390</v>
      </c>
      <c r="P44" s="507">
        <v>72</v>
      </c>
      <c r="Q44" s="508">
        <v>0</v>
      </c>
      <c r="R44" s="507">
        <v>72</v>
      </c>
      <c r="S44" s="496">
        <v>0</v>
      </c>
      <c r="T44">
        <v>0</v>
      </c>
      <c r="U44">
        <v>879</v>
      </c>
      <c r="V44"/>
    </row>
    <row r="45" spans="1:22" x14ac:dyDescent="0.25">
      <c r="A45" s="502"/>
      <c r="B45" s="507" t="s">
        <v>65</v>
      </c>
      <c r="C45" s="507">
        <v>181</v>
      </c>
      <c r="D45" s="508">
        <v>0</v>
      </c>
      <c r="E45" s="508">
        <v>158</v>
      </c>
      <c r="F45" s="508">
        <v>163</v>
      </c>
      <c r="G45" s="508">
        <v>0</v>
      </c>
      <c r="H45" s="508">
        <v>0</v>
      </c>
      <c r="I45" s="507">
        <v>502</v>
      </c>
      <c r="J45" s="507">
        <v>0</v>
      </c>
      <c r="K45" s="508">
        <v>0</v>
      </c>
      <c r="L45" s="508">
        <v>0</v>
      </c>
      <c r="M45" s="508">
        <v>0</v>
      </c>
      <c r="N45" s="508">
        <v>0</v>
      </c>
      <c r="O45" s="507">
        <v>0</v>
      </c>
      <c r="P45" s="507">
        <v>0</v>
      </c>
      <c r="Q45" s="508">
        <v>0</v>
      </c>
      <c r="R45" s="507">
        <v>0</v>
      </c>
      <c r="S45" s="496">
        <v>0</v>
      </c>
      <c r="T45">
        <v>0</v>
      </c>
      <c r="U45">
        <v>502</v>
      </c>
      <c r="V45"/>
    </row>
    <row r="46" spans="1:22" x14ac:dyDescent="0.25">
      <c r="A46" s="502"/>
      <c r="B46" s="507" t="s">
        <v>67</v>
      </c>
      <c r="C46" s="507">
        <v>0</v>
      </c>
      <c r="D46" s="508">
        <v>0</v>
      </c>
      <c r="E46" s="508">
        <v>0</v>
      </c>
      <c r="F46" s="508">
        <v>0</v>
      </c>
      <c r="G46" s="508">
        <v>0</v>
      </c>
      <c r="H46" s="508">
        <v>0</v>
      </c>
      <c r="I46" s="507">
        <v>0</v>
      </c>
      <c r="J46" s="507">
        <v>0</v>
      </c>
      <c r="K46" s="508">
        <v>0</v>
      </c>
      <c r="L46" s="508">
        <v>0</v>
      </c>
      <c r="M46" s="508">
        <v>0</v>
      </c>
      <c r="N46" s="508">
        <v>0</v>
      </c>
      <c r="O46" s="507">
        <v>0</v>
      </c>
      <c r="P46" s="507">
        <v>0</v>
      </c>
      <c r="Q46" s="508">
        <v>0</v>
      </c>
      <c r="R46" s="507">
        <v>0</v>
      </c>
      <c r="S46" s="496">
        <v>0</v>
      </c>
      <c r="T46">
        <v>0</v>
      </c>
      <c r="U46">
        <v>0</v>
      </c>
      <c r="V46"/>
    </row>
    <row r="47" spans="1:22" x14ac:dyDescent="0.25">
      <c r="A47" s="502"/>
      <c r="B47" s="507" t="s">
        <v>69</v>
      </c>
      <c r="C47" s="507">
        <v>2261</v>
      </c>
      <c r="D47" s="508">
        <v>0</v>
      </c>
      <c r="E47" s="508">
        <v>2222</v>
      </c>
      <c r="F47" s="508">
        <v>674</v>
      </c>
      <c r="G47" s="508">
        <v>0</v>
      </c>
      <c r="H47" s="508">
        <v>0</v>
      </c>
      <c r="I47" s="507">
        <v>5157</v>
      </c>
      <c r="J47" s="507">
        <v>0</v>
      </c>
      <c r="K47" s="508">
        <v>524</v>
      </c>
      <c r="L47" s="508">
        <v>1122</v>
      </c>
      <c r="M47" s="508">
        <v>159</v>
      </c>
      <c r="N47" s="508">
        <v>0</v>
      </c>
      <c r="O47" s="507">
        <v>1805</v>
      </c>
      <c r="P47" s="507">
        <v>166</v>
      </c>
      <c r="Q47" s="508">
        <v>0</v>
      </c>
      <c r="R47" s="507">
        <v>166</v>
      </c>
      <c r="S47" s="496">
        <v>0</v>
      </c>
      <c r="T47">
        <v>0</v>
      </c>
      <c r="U47">
        <v>7128</v>
      </c>
      <c r="V47"/>
    </row>
    <row r="48" spans="1:22" x14ac:dyDescent="0.25">
      <c r="A48" s="498" t="s">
        <v>76</v>
      </c>
      <c r="B48" s="504" t="s">
        <v>58</v>
      </c>
      <c r="C48" s="504">
        <v>408</v>
      </c>
      <c r="D48" s="501">
        <v>344</v>
      </c>
      <c r="E48" s="501">
        <v>292</v>
      </c>
      <c r="F48" s="501">
        <v>229</v>
      </c>
      <c r="G48" s="501">
        <v>0</v>
      </c>
      <c r="H48" s="501">
        <v>17</v>
      </c>
      <c r="I48" s="504">
        <v>1290</v>
      </c>
      <c r="J48" s="504">
        <v>0</v>
      </c>
      <c r="K48" s="501">
        <v>71</v>
      </c>
      <c r="L48" s="501">
        <v>39</v>
      </c>
      <c r="M48" s="501">
        <v>14</v>
      </c>
      <c r="N48" s="501">
        <v>0</v>
      </c>
      <c r="O48" s="504">
        <v>124</v>
      </c>
      <c r="P48" s="504">
        <v>85</v>
      </c>
      <c r="Q48" s="501">
        <v>0</v>
      </c>
      <c r="R48" s="504">
        <v>85</v>
      </c>
      <c r="S48" s="495">
        <v>0</v>
      </c>
      <c r="T48">
        <v>0</v>
      </c>
      <c r="U48">
        <v>1499</v>
      </c>
      <c r="V48"/>
    </row>
    <row r="49" spans="1:22" x14ac:dyDescent="0.25">
      <c r="A49" s="502"/>
      <c r="B49" s="507" t="s">
        <v>13</v>
      </c>
      <c r="C49" s="507">
        <v>298</v>
      </c>
      <c r="D49" s="508">
        <v>326</v>
      </c>
      <c r="E49" s="508">
        <v>284</v>
      </c>
      <c r="F49" s="508">
        <v>285</v>
      </c>
      <c r="G49" s="508">
        <v>0</v>
      </c>
      <c r="H49" s="508">
        <v>33</v>
      </c>
      <c r="I49" s="507">
        <v>1226</v>
      </c>
      <c r="J49" s="507">
        <v>0</v>
      </c>
      <c r="K49" s="508">
        <v>102</v>
      </c>
      <c r="L49" s="508">
        <v>36</v>
      </c>
      <c r="M49" s="508">
        <v>46</v>
      </c>
      <c r="N49" s="508">
        <v>0</v>
      </c>
      <c r="O49" s="507">
        <v>184</v>
      </c>
      <c r="P49" s="507">
        <v>18</v>
      </c>
      <c r="Q49" s="508">
        <v>0</v>
      </c>
      <c r="R49" s="507">
        <v>18</v>
      </c>
      <c r="S49" s="496">
        <v>0</v>
      </c>
      <c r="T49">
        <v>0</v>
      </c>
      <c r="U49">
        <v>1428</v>
      </c>
      <c r="V49"/>
    </row>
    <row r="50" spans="1:22" x14ac:dyDescent="0.25">
      <c r="A50" s="502"/>
      <c r="B50" s="507" t="s">
        <v>61</v>
      </c>
      <c r="C50" s="507">
        <v>252</v>
      </c>
      <c r="D50" s="508">
        <v>345</v>
      </c>
      <c r="E50" s="508">
        <v>304</v>
      </c>
      <c r="F50" s="508">
        <v>485</v>
      </c>
      <c r="G50" s="508">
        <v>0</v>
      </c>
      <c r="H50" s="508">
        <v>35</v>
      </c>
      <c r="I50" s="507">
        <v>1421</v>
      </c>
      <c r="J50" s="507">
        <v>0</v>
      </c>
      <c r="K50" s="508">
        <v>140</v>
      </c>
      <c r="L50" s="508">
        <v>36</v>
      </c>
      <c r="M50" s="508">
        <v>70</v>
      </c>
      <c r="N50" s="508">
        <v>0</v>
      </c>
      <c r="O50" s="507">
        <v>246</v>
      </c>
      <c r="P50" s="507">
        <v>36</v>
      </c>
      <c r="Q50" s="508">
        <v>0</v>
      </c>
      <c r="R50" s="507">
        <v>36</v>
      </c>
      <c r="S50" s="496">
        <v>0</v>
      </c>
      <c r="T50">
        <v>0</v>
      </c>
      <c r="U50">
        <v>1703</v>
      </c>
      <c r="V50"/>
    </row>
    <row r="51" spans="1:22" x14ac:dyDescent="0.25">
      <c r="A51" s="502"/>
      <c r="B51" s="507" t="s">
        <v>63</v>
      </c>
      <c r="C51" s="507">
        <v>189</v>
      </c>
      <c r="D51" s="508">
        <v>282</v>
      </c>
      <c r="E51" s="508">
        <v>326</v>
      </c>
      <c r="F51" s="508">
        <v>243</v>
      </c>
      <c r="G51" s="508">
        <v>0</v>
      </c>
      <c r="H51" s="508">
        <v>10</v>
      </c>
      <c r="I51" s="507">
        <v>1050</v>
      </c>
      <c r="J51" s="507">
        <v>0</v>
      </c>
      <c r="K51" s="508">
        <v>231</v>
      </c>
      <c r="L51" s="508">
        <v>145</v>
      </c>
      <c r="M51" s="508">
        <v>107</v>
      </c>
      <c r="N51" s="508">
        <v>0</v>
      </c>
      <c r="O51" s="507">
        <v>483</v>
      </c>
      <c r="P51" s="507">
        <v>464</v>
      </c>
      <c r="Q51" s="508">
        <v>0</v>
      </c>
      <c r="R51" s="507">
        <v>464</v>
      </c>
      <c r="S51" s="496">
        <v>0</v>
      </c>
      <c r="T51">
        <v>0</v>
      </c>
      <c r="U51">
        <v>1997</v>
      </c>
      <c r="V51"/>
    </row>
    <row r="52" spans="1:22" x14ac:dyDescent="0.25">
      <c r="A52" s="502"/>
      <c r="B52" s="507" t="s">
        <v>65</v>
      </c>
      <c r="C52" s="507">
        <v>19</v>
      </c>
      <c r="D52" s="508">
        <v>16</v>
      </c>
      <c r="E52" s="508">
        <v>4</v>
      </c>
      <c r="F52" s="508">
        <v>24</v>
      </c>
      <c r="G52" s="508">
        <v>0</v>
      </c>
      <c r="H52" s="508">
        <v>0</v>
      </c>
      <c r="I52" s="507">
        <v>63</v>
      </c>
      <c r="J52" s="507">
        <v>0</v>
      </c>
      <c r="K52" s="508">
        <v>0</v>
      </c>
      <c r="L52" s="508">
        <v>0</v>
      </c>
      <c r="M52" s="508">
        <v>0</v>
      </c>
      <c r="N52" s="508">
        <v>0</v>
      </c>
      <c r="O52" s="507">
        <v>0</v>
      </c>
      <c r="P52" s="507">
        <v>6</v>
      </c>
      <c r="Q52" s="508">
        <v>0</v>
      </c>
      <c r="R52" s="507">
        <v>6</v>
      </c>
      <c r="S52" s="496">
        <v>0</v>
      </c>
      <c r="T52">
        <v>0</v>
      </c>
      <c r="U52">
        <v>69</v>
      </c>
      <c r="V52"/>
    </row>
    <row r="53" spans="1:22" x14ac:dyDescent="0.25">
      <c r="A53" s="502"/>
      <c r="B53" s="507" t="s">
        <v>67</v>
      </c>
      <c r="C53" s="507">
        <v>0</v>
      </c>
      <c r="D53" s="508">
        <v>0</v>
      </c>
      <c r="E53" s="508">
        <v>0</v>
      </c>
      <c r="F53" s="508">
        <v>0</v>
      </c>
      <c r="G53" s="508">
        <v>0</v>
      </c>
      <c r="H53" s="508">
        <v>0</v>
      </c>
      <c r="I53" s="507">
        <v>0</v>
      </c>
      <c r="J53" s="507">
        <v>0</v>
      </c>
      <c r="K53" s="508">
        <v>121</v>
      </c>
      <c r="L53" s="508">
        <v>0</v>
      </c>
      <c r="M53" s="508">
        <v>0</v>
      </c>
      <c r="N53" s="508">
        <v>0</v>
      </c>
      <c r="O53" s="507">
        <v>121</v>
      </c>
      <c r="P53" s="507">
        <v>74</v>
      </c>
      <c r="Q53" s="508">
        <v>0</v>
      </c>
      <c r="R53" s="507">
        <v>74</v>
      </c>
      <c r="S53" s="496">
        <v>0</v>
      </c>
      <c r="T53">
        <v>0</v>
      </c>
      <c r="U53">
        <v>195</v>
      </c>
      <c r="V53"/>
    </row>
    <row r="54" spans="1:22" x14ac:dyDescent="0.25">
      <c r="A54" s="502"/>
      <c r="B54" s="507" t="s">
        <v>69</v>
      </c>
      <c r="C54" s="507">
        <v>1166</v>
      </c>
      <c r="D54" s="508">
        <v>1313</v>
      </c>
      <c r="E54" s="508">
        <v>1210</v>
      </c>
      <c r="F54" s="508">
        <v>1266</v>
      </c>
      <c r="G54" s="508">
        <v>0</v>
      </c>
      <c r="H54" s="508">
        <v>95</v>
      </c>
      <c r="I54" s="507">
        <v>5050</v>
      </c>
      <c r="J54" s="507">
        <v>0</v>
      </c>
      <c r="K54" s="508">
        <v>665</v>
      </c>
      <c r="L54" s="508">
        <v>256</v>
      </c>
      <c r="M54" s="508">
        <v>237</v>
      </c>
      <c r="N54" s="508">
        <v>0</v>
      </c>
      <c r="O54" s="507">
        <v>1158</v>
      </c>
      <c r="P54" s="507">
        <v>683</v>
      </c>
      <c r="Q54" s="508">
        <v>0</v>
      </c>
      <c r="R54" s="507">
        <v>683</v>
      </c>
      <c r="S54" s="496">
        <v>0</v>
      </c>
      <c r="T54">
        <v>0</v>
      </c>
      <c r="U54">
        <v>6891</v>
      </c>
      <c r="V54"/>
    </row>
    <row r="55" spans="1:22" x14ac:dyDescent="0.25">
      <c r="A55" s="498" t="s">
        <v>107</v>
      </c>
      <c r="B55" s="504" t="s">
        <v>58</v>
      </c>
      <c r="C55" s="504">
        <v>657</v>
      </c>
      <c r="D55" s="501">
        <v>195</v>
      </c>
      <c r="E55" s="501">
        <v>187</v>
      </c>
      <c r="F55" s="501">
        <v>318</v>
      </c>
      <c r="G55" s="501">
        <v>0</v>
      </c>
      <c r="H55" s="501">
        <v>45</v>
      </c>
      <c r="I55" s="504">
        <v>1402</v>
      </c>
      <c r="J55" s="504">
        <v>0</v>
      </c>
      <c r="K55" s="501">
        <v>658</v>
      </c>
      <c r="L55" s="501">
        <v>127</v>
      </c>
      <c r="M55" s="501">
        <v>38</v>
      </c>
      <c r="N55" s="501">
        <v>0</v>
      </c>
      <c r="O55" s="504">
        <v>823</v>
      </c>
      <c r="P55" s="504">
        <v>0</v>
      </c>
      <c r="Q55" s="501">
        <v>0</v>
      </c>
      <c r="R55" s="504">
        <v>0</v>
      </c>
      <c r="S55" s="495">
        <v>0</v>
      </c>
      <c r="T55">
        <v>0</v>
      </c>
      <c r="U55">
        <v>2225</v>
      </c>
      <c r="V55"/>
    </row>
    <row r="56" spans="1:22" x14ac:dyDescent="0.25">
      <c r="A56" s="502"/>
      <c r="B56" s="507" t="s">
        <v>13</v>
      </c>
      <c r="C56" s="507">
        <v>423</v>
      </c>
      <c r="D56" s="508">
        <v>292</v>
      </c>
      <c r="E56" s="508">
        <v>174</v>
      </c>
      <c r="F56" s="508">
        <v>340</v>
      </c>
      <c r="G56" s="508">
        <v>0</v>
      </c>
      <c r="H56" s="508">
        <v>51</v>
      </c>
      <c r="I56" s="507">
        <v>1280</v>
      </c>
      <c r="J56" s="507">
        <v>0</v>
      </c>
      <c r="K56" s="508">
        <v>502</v>
      </c>
      <c r="L56" s="508">
        <v>149</v>
      </c>
      <c r="M56" s="508">
        <v>39</v>
      </c>
      <c r="N56" s="508">
        <v>0</v>
      </c>
      <c r="O56" s="507">
        <v>690</v>
      </c>
      <c r="P56" s="507">
        <v>0</v>
      </c>
      <c r="Q56" s="508">
        <v>0</v>
      </c>
      <c r="R56" s="507">
        <v>0</v>
      </c>
      <c r="S56" s="496">
        <v>0</v>
      </c>
      <c r="T56">
        <v>0</v>
      </c>
      <c r="U56">
        <v>1970</v>
      </c>
      <c r="V56"/>
    </row>
    <row r="57" spans="1:22" x14ac:dyDescent="0.25">
      <c r="A57" s="502"/>
      <c r="B57" s="507" t="s">
        <v>61</v>
      </c>
      <c r="C57" s="507">
        <v>316</v>
      </c>
      <c r="D57" s="508">
        <v>178</v>
      </c>
      <c r="E57" s="508">
        <v>288</v>
      </c>
      <c r="F57" s="508">
        <v>449</v>
      </c>
      <c r="G57" s="508">
        <v>0</v>
      </c>
      <c r="H57" s="508">
        <v>42</v>
      </c>
      <c r="I57" s="507">
        <v>1273</v>
      </c>
      <c r="J57" s="507">
        <v>0</v>
      </c>
      <c r="K57" s="508">
        <v>484</v>
      </c>
      <c r="L57" s="508">
        <v>263</v>
      </c>
      <c r="M57" s="508">
        <v>36</v>
      </c>
      <c r="N57" s="508">
        <v>0</v>
      </c>
      <c r="O57" s="507">
        <v>783</v>
      </c>
      <c r="P57" s="507">
        <v>0</v>
      </c>
      <c r="Q57" s="508">
        <v>0</v>
      </c>
      <c r="R57" s="507">
        <v>0</v>
      </c>
      <c r="S57" s="496">
        <v>0</v>
      </c>
      <c r="T57">
        <v>0</v>
      </c>
      <c r="U57">
        <v>2056</v>
      </c>
      <c r="V57"/>
    </row>
    <row r="58" spans="1:22" x14ac:dyDescent="0.25">
      <c r="A58" s="502"/>
      <c r="B58" s="507" t="s">
        <v>63</v>
      </c>
      <c r="C58" s="507">
        <v>12</v>
      </c>
      <c r="D58" s="508">
        <v>16</v>
      </c>
      <c r="E58" s="508">
        <v>22</v>
      </c>
      <c r="F58" s="508">
        <v>36</v>
      </c>
      <c r="G58" s="508">
        <v>0</v>
      </c>
      <c r="H58" s="508">
        <v>3</v>
      </c>
      <c r="I58" s="507">
        <v>89</v>
      </c>
      <c r="J58" s="507">
        <v>0</v>
      </c>
      <c r="K58" s="508">
        <v>106</v>
      </c>
      <c r="L58" s="508">
        <v>66</v>
      </c>
      <c r="M58" s="508">
        <v>15</v>
      </c>
      <c r="N58" s="508">
        <v>0</v>
      </c>
      <c r="O58" s="507">
        <v>187</v>
      </c>
      <c r="P58" s="507">
        <v>0</v>
      </c>
      <c r="Q58" s="508">
        <v>0</v>
      </c>
      <c r="R58" s="507">
        <v>0</v>
      </c>
      <c r="S58" s="496">
        <v>0</v>
      </c>
      <c r="T58">
        <v>0</v>
      </c>
      <c r="U58">
        <v>276</v>
      </c>
      <c r="V58"/>
    </row>
    <row r="59" spans="1:22" x14ac:dyDescent="0.25">
      <c r="A59" s="502"/>
      <c r="B59" s="507" t="s">
        <v>65</v>
      </c>
      <c r="C59" s="507">
        <v>260</v>
      </c>
      <c r="D59" s="508">
        <v>256</v>
      </c>
      <c r="E59" s="508">
        <v>170</v>
      </c>
      <c r="F59" s="508">
        <v>237</v>
      </c>
      <c r="G59" s="508">
        <v>0</v>
      </c>
      <c r="H59" s="508">
        <v>0</v>
      </c>
      <c r="I59" s="507">
        <v>923</v>
      </c>
      <c r="J59" s="507">
        <v>0</v>
      </c>
      <c r="K59" s="508">
        <v>2</v>
      </c>
      <c r="L59" s="508">
        <v>2</v>
      </c>
      <c r="M59" s="508">
        <v>1</v>
      </c>
      <c r="N59" s="508">
        <v>0</v>
      </c>
      <c r="O59" s="507">
        <v>5</v>
      </c>
      <c r="P59" s="507">
        <v>0</v>
      </c>
      <c r="Q59" s="508">
        <v>0</v>
      </c>
      <c r="R59" s="507">
        <v>0</v>
      </c>
      <c r="S59" s="496">
        <v>0</v>
      </c>
      <c r="T59">
        <v>0</v>
      </c>
      <c r="U59">
        <v>928</v>
      </c>
      <c r="V59"/>
    </row>
    <row r="60" spans="1:22" x14ac:dyDescent="0.25">
      <c r="A60" s="502"/>
      <c r="B60" s="507" t="s">
        <v>67</v>
      </c>
      <c r="C60" s="507">
        <v>0</v>
      </c>
      <c r="D60" s="508">
        <v>0</v>
      </c>
      <c r="E60" s="508">
        <v>0</v>
      </c>
      <c r="F60" s="508">
        <v>0</v>
      </c>
      <c r="G60" s="508">
        <v>0</v>
      </c>
      <c r="H60" s="508">
        <v>0</v>
      </c>
      <c r="I60" s="507">
        <v>0</v>
      </c>
      <c r="J60" s="507">
        <v>0</v>
      </c>
      <c r="K60" s="508">
        <v>0</v>
      </c>
      <c r="L60" s="508">
        <v>0</v>
      </c>
      <c r="M60" s="508">
        <v>0</v>
      </c>
      <c r="N60" s="508">
        <v>0</v>
      </c>
      <c r="O60" s="507">
        <v>0</v>
      </c>
      <c r="P60" s="507">
        <v>0</v>
      </c>
      <c r="Q60" s="508">
        <v>0</v>
      </c>
      <c r="R60" s="507">
        <v>0</v>
      </c>
      <c r="S60" s="496">
        <v>0</v>
      </c>
      <c r="T60">
        <v>0</v>
      </c>
      <c r="U60">
        <v>0</v>
      </c>
      <c r="V60"/>
    </row>
    <row r="61" spans="1:22" x14ac:dyDescent="0.25">
      <c r="A61" s="502"/>
      <c r="B61" s="507" t="s">
        <v>69</v>
      </c>
      <c r="C61" s="507">
        <v>1668</v>
      </c>
      <c r="D61" s="508">
        <v>937</v>
      </c>
      <c r="E61" s="508">
        <v>841</v>
      </c>
      <c r="F61" s="508">
        <v>1380</v>
      </c>
      <c r="G61" s="508">
        <v>0</v>
      </c>
      <c r="H61" s="508">
        <v>141</v>
      </c>
      <c r="I61" s="507">
        <v>4967</v>
      </c>
      <c r="J61" s="507">
        <v>0</v>
      </c>
      <c r="K61" s="508">
        <v>1752</v>
      </c>
      <c r="L61" s="508">
        <v>607</v>
      </c>
      <c r="M61" s="508">
        <v>129</v>
      </c>
      <c r="N61" s="508">
        <v>0</v>
      </c>
      <c r="O61" s="507">
        <v>2488</v>
      </c>
      <c r="P61" s="507">
        <v>0</v>
      </c>
      <c r="Q61" s="508">
        <v>0</v>
      </c>
      <c r="R61" s="507">
        <v>0</v>
      </c>
      <c r="S61" s="496">
        <v>0</v>
      </c>
      <c r="T61">
        <v>0</v>
      </c>
      <c r="U61">
        <v>7455</v>
      </c>
      <c r="V61"/>
    </row>
    <row r="62" spans="1:22" x14ac:dyDescent="0.25">
      <c r="A62" s="498" t="s">
        <v>108</v>
      </c>
      <c r="B62" s="504" t="s">
        <v>58</v>
      </c>
      <c r="C62" s="504">
        <v>358</v>
      </c>
      <c r="D62" s="501">
        <v>247</v>
      </c>
      <c r="E62" s="501">
        <v>0</v>
      </c>
      <c r="F62" s="501">
        <v>86</v>
      </c>
      <c r="G62" s="501">
        <v>30</v>
      </c>
      <c r="H62" s="501">
        <v>0</v>
      </c>
      <c r="I62" s="504">
        <v>721</v>
      </c>
      <c r="J62" s="504">
        <v>0</v>
      </c>
      <c r="K62" s="501">
        <v>0</v>
      </c>
      <c r="L62" s="501">
        <v>0</v>
      </c>
      <c r="M62" s="501">
        <v>0</v>
      </c>
      <c r="N62" s="501">
        <v>0</v>
      </c>
      <c r="O62" s="504">
        <v>0</v>
      </c>
      <c r="P62" s="504">
        <v>0</v>
      </c>
      <c r="Q62" s="501">
        <v>0</v>
      </c>
      <c r="R62" s="504">
        <v>0</v>
      </c>
      <c r="S62" s="495">
        <v>0</v>
      </c>
      <c r="T62">
        <v>0</v>
      </c>
      <c r="U62">
        <v>721</v>
      </c>
      <c r="V62"/>
    </row>
    <row r="63" spans="1:22" x14ac:dyDescent="0.25">
      <c r="A63" s="502"/>
      <c r="B63" s="507" t="s">
        <v>13</v>
      </c>
      <c r="C63" s="507">
        <v>404</v>
      </c>
      <c r="D63" s="508">
        <v>329</v>
      </c>
      <c r="E63" s="508">
        <v>0</v>
      </c>
      <c r="F63" s="508">
        <v>112</v>
      </c>
      <c r="G63" s="508">
        <v>23</v>
      </c>
      <c r="H63" s="508">
        <v>0</v>
      </c>
      <c r="I63" s="507">
        <v>868</v>
      </c>
      <c r="J63" s="507">
        <v>0</v>
      </c>
      <c r="K63" s="508">
        <v>0</v>
      </c>
      <c r="L63" s="508">
        <v>0</v>
      </c>
      <c r="M63" s="508">
        <v>0</v>
      </c>
      <c r="N63" s="508">
        <v>0</v>
      </c>
      <c r="O63" s="507">
        <v>0</v>
      </c>
      <c r="P63" s="507">
        <v>0</v>
      </c>
      <c r="Q63" s="508">
        <v>0</v>
      </c>
      <c r="R63" s="507">
        <v>0</v>
      </c>
      <c r="S63" s="496">
        <v>0</v>
      </c>
      <c r="T63">
        <v>0</v>
      </c>
      <c r="U63">
        <v>868</v>
      </c>
      <c r="V63"/>
    </row>
    <row r="64" spans="1:22" x14ac:dyDescent="0.25">
      <c r="A64" s="502"/>
      <c r="B64" s="507" t="s">
        <v>61</v>
      </c>
      <c r="C64" s="507">
        <v>474</v>
      </c>
      <c r="D64" s="508">
        <v>335</v>
      </c>
      <c r="E64" s="508">
        <v>0</v>
      </c>
      <c r="F64" s="508">
        <v>159</v>
      </c>
      <c r="G64" s="508">
        <v>31</v>
      </c>
      <c r="H64" s="508">
        <v>0</v>
      </c>
      <c r="I64" s="507">
        <v>999</v>
      </c>
      <c r="J64" s="507">
        <v>0</v>
      </c>
      <c r="K64" s="508">
        <v>0</v>
      </c>
      <c r="L64" s="508">
        <v>0</v>
      </c>
      <c r="M64" s="508">
        <v>0</v>
      </c>
      <c r="N64" s="508">
        <v>0</v>
      </c>
      <c r="O64" s="507">
        <v>0</v>
      </c>
      <c r="P64" s="507">
        <v>0</v>
      </c>
      <c r="Q64" s="508">
        <v>0</v>
      </c>
      <c r="R64" s="507">
        <v>0</v>
      </c>
      <c r="S64" s="496">
        <v>0</v>
      </c>
      <c r="T64">
        <v>0</v>
      </c>
      <c r="U64">
        <v>999</v>
      </c>
      <c r="V64"/>
    </row>
    <row r="65" spans="1:22" x14ac:dyDescent="0.25">
      <c r="A65" s="502"/>
      <c r="B65" s="507" t="s">
        <v>63</v>
      </c>
      <c r="C65" s="507">
        <v>281</v>
      </c>
      <c r="D65" s="508">
        <v>215</v>
      </c>
      <c r="E65" s="508">
        <v>0</v>
      </c>
      <c r="F65" s="508">
        <v>120</v>
      </c>
      <c r="G65" s="508">
        <v>53</v>
      </c>
      <c r="H65" s="508">
        <v>0</v>
      </c>
      <c r="I65" s="507">
        <v>669</v>
      </c>
      <c r="J65" s="507">
        <v>0</v>
      </c>
      <c r="K65" s="508">
        <v>0</v>
      </c>
      <c r="L65" s="508">
        <v>0</v>
      </c>
      <c r="M65" s="508">
        <v>0</v>
      </c>
      <c r="N65" s="508">
        <v>0</v>
      </c>
      <c r="O65" s="507">
        <v>0</v>
      </c>
      <c r="P65" s="507">
        <v>0</v>
      </c>
      <c r="Q65" s="508">
        <v>0</v>
      </c>
      <c r="R65" s="507">
        <v>0</v>
      </c>
      <c r="S65" s="496">
        <v>0</v>
      </c>
      <c r="T65">
        <v>0</v>
      </c>
      <c r="U65">
        <v>669</v>
      </c>
      <c r="V65"/>
    </row>
    <row r="66" spans="1:22" x14ac:dyDescent="0.25">
      <c r="A66" s="502"/>
      <c r="B66" s="507" t="s">
        <v>65</v>
      </c>
      <c r="C66" s="507">
        <v>62</v>
      </c>
      <c r="D66" s="508">
        <v>16</v>
      </c>
      <c r="E66" s="508">
        <v>0</v>
      </c>
      <c r="F66" s="508">
        <v>0</v>
      </c>
      <c r="G66" s="508">
        <v>0</v>
      </c>
      <c r="H66" s="508">
        <v>0</v>
      </c>
      <c r="I66" s="507">
        <v>78</v>
      </c>
      <c r="J66" s="507">
        <v>0</v>
      </c>
      <c r="K66" s="508">
        <v>0</v>
      </c>
      <c r="L66" s="508">
        <v>0</v>
      </c>
      <c r="M66" s="508">
        <v>0</v>
      </c>
      <c r="N66" s="508">
        <v>0</v>
      </c>
      <c r="O66" s="507">
        <v>0</v>
      </c>
      <c r="P66" s="507">
        <v>0</v>
      </c>
      <c r="Q66" s="508">
        <v>0</v>
      </c>
      <c r="R66" s="507">
        <v>0</v>
      </c>
      <c r="S66" s="496">
        <v>0</v>
      </c>
      <c r="T66">
        <v>0</v>
      </c>
      <c r="U66">
        <v>78</v>
      </c>
      <c r="V66"/>
    </row>
    <row r="67" spans="1:22" x14ac:dyDescent="0.25">
      <c r="A67" s="502"/>
      <c r="B67" s="507" t="s">
        <v>67</v>
      </c>
      <c r="C67" s="507">
        <v>0</v>
      </c>
      <c r="D67" s="508">
        <v>0</v>
      </c>
      <c r="E67" s="508">
        <v>0</v>
      </c>
      <c r="F67" s="508">
        <v>0</v>
      </c>
      <c r="G67" s="508">
        <v>0</v>
      </c>
      <c r="H67" s="508">
        <v>0</v>
      </c>
      <c r="I67" s="507">
        <v>0</v>
      </c>
      <c r="J67" s="507">
        <v>0</v>
      </c>
      <c r="K67" s="508">
        <v>1173.9000000000001</v>
      </c>
      <c r="L67" s="508">
        <v>1199</v>
      </c>
      <c r="M67" s="508">
        <v>149</v>
      </c>
      <c r="N67" s="508">
        <v>0</v>
      </c>
      <c r="O67" s="507">
        <v>2521.9</v>
      </c>
      <c r="P67" s="507">
        <v>0</v>
      </c>
      <c r="Q67" s="508">
        <v>0</v>
      </c>
      <c r="R67" s="507">
        <v>0</v>
      </c>
      <c r="S67" s="496">
        <v>0</v>
      </c>
      <c r="T67">
        <v>0</v>
      </c>
      <c r="U67">
        <v>2521.9</v>
      </c>
      <c r="V67"/>
    </row>
    <row r="68" spans="1:22" x14ac:dyDescent="0.25">
      <c r="A68" s="502"/>
      <c r="B68" s="507" t="s">
        <v>69</v>
      </c>
      <c r="C68" s="507">
        <v>1579</v>
      </c>
      <c r="D68" s="508">
        <v>1142</v>
      </c>
      <c r="E68" s="508">
        <v>0</v>
      </c>
      <c r="F68" s="508">
        <v>477</v>
      </c>
      <c r="G68" s="508">
        <v>137</v>
      </c>
      <c r="H68" s="508">
        <v>0</v>
      </c>
      <c r="I68" s="507">
        <v>3335</v>
      </c>
      <c r="J68" s="507">
        <v>0</v>
      </c>
      <c r="K68" s="508">
        <v>1173.9000000000001</v>
      </c>
      <c r="L68" s="508">
        <v>1199</v>
      </c>
      <c r="M68" s="508">
        <v>149</v>
      </c>
      <c r="N68" s="508">
        <v>0</v>
      </c>
      <c r="O68" s="507">
        <v>2521.9</v>
      </c>
      <c r="P68" s="507">
        <v>0</v>
      </c>
      <c r="Q68" s="508">
        <v>0</v>
      </c>
      <c r="R68" s="507">
        <v>0</v>
      </c>
      <c r="S68" s="496">
        <v>0</v>
      </c>
      <c r="T68">
        <v>0</v>
      </c>
      <c r="U68">
        <v>5856.9</v>
      </c>
      <c r="V68"/>
    </row>
    <row r="69" spans="1:22" x14ac:dyDescent="0.25">
      <c r="A69" s="498" t="s">
        <v>109</v>
      </c>
      <c r="B69" s="504" t="s">
        <v>58</v>
      </c>
      <c r="C69" s="504">
        <v>1468</v>
      </c>
      <c r="D69" s="501">
        <v>214</v>
      </c>
      <c r="E69" s="501">
        <v>912</v>
      </c>
      <c r="F69" s="501">
        <v>50</v>
      </c>
      <c r="G69" s="501">
        <v>99</v>
      </c>
      <c r="H69" s="501">
        <v>112</v>
      </c>
      <c r="I69" s="504">
        <v>2855</v>
      </c>
      <c r="J69" s="504">
        <v>0</v>
      </c>
      <c r="K69" s="501">
        <v>0</v>
      </c>
      <c r="L69" s="501">
        <v>0</v>
      </c>
      <c r="M69" s="501">
        <v>0</v>
      </c>
      <c r="N69" s="501">
        <v>0</v>
      </c>
      <c r="O69" s="504">
        <v>0</v>
      </c>
      <c r="P69" s="504">
        <v>0</v>
      </c>
      <c r="Q69" s="501">
        <v>0</v>
      </c>
      <c r="R69" s="504">
        <v>0</v>
      </c>
      <c r="S69" s="495">
        <v>0</v>
      </c>
      <c r="T69">
        <v>0</v>
      </c>
      <c r="U69">
        <v>2855</v>
      </c>
      <c r="V69"/>
    </row>
    <row r="70" spans="1:22" x14ac:dyDescent="0.25">
      <c r="A70" s="502"/>
      <c r="B70" s="507" t="s">
        <v>13</v>
      </c>
      <c r="C70" s="507">
        <v>1060</v>
      </c>
      <c r="D70" s="508">
        <v>304</v>
      </c>
      <c r="E70" s="508">
        <v>1241</v>
      </c>
      <c r="F70" s="508">
        <v>89</v>
      </c>
      <c r="G70" s="508">
        <v>188</v>
      </c>
      <c r="H70" s="508">
        <v>100</v>
      </c>
      <c r="I70" s="507">
        <v>2982</v>
      </c>
      <c r="J70" s="507">
        <v>0</v>
      </c>
      <c r="K70" s="508">
        <v>0</v>
      </c>
      <c r="L70" s="508">
        <v>0</v>
      </c>
      <c r="M70" s="508">
        <v>0</v>
      </c>
      <c r="N70" s="508">
        <v>0</v>
      </c>
      <c r="O70" s="507">
        <v>0</v>
      </c>
      <c r="P70" s="507">
        <v>0</v>
      </c>
      <c r="Q70" s="508">
        <v>0</v>
      </c>
      <c r="R70" s="507">
        <v>0</v>
      </c>
      <c r="S70" s="496">
        <v>0</v>
      </c>
      <c r="T70">
        <v>0</v>
      </c>
      <c r="U70">
        <v>2982</v>
      </c>
      <c r="V70"/>
    </row>
    <row r="71" spans="1:22" x14ac:dyDescent="0.25">
      <c r="A71" s="502"/>
      <c r="B71" s="507" t="s">
        <v>61</v>
      </c>
      <c r="C71" s="507">
        <v>829</v>
      </c>
      <c r="D71" s="508">
        <v>214</v>
      </c>
      <c r="E71" s="508">
        <v>995</v>
      </c>
      <c r="F71" s="508">
        <v>101</v>
      </c>
      <c r="G71" s="508">
        <v>222</v>
      </c>
      <c r="H71" s="508">
        <v>84</v>
      </c>
      <c r="I71" s="507">
        <v>2445</v>
      </c>
      <c r="J71" s="507">
        <v>0</v>
      </c>
      <c r="K71" s="508">
        <v>0</v>
      </c>
      <c r="L71" s="508">
        <v>0</v>
      </c>
      <c r="M71" s="508">
        <v>0</v>
      </c>
      <c r="N71" s="508">
        <v>0</v>
      </c>
      <c r="O71" s="507">
        <v>0</v>
      </c>
      <c r="P71" s="507">
        <v>0</v>
      </c>
      <c r="Q71" s="508">
        <v>0</v>
      </c>
      <c r="R71" s="507">
        <v>0</v>
      </c>
      <c r="S71" s="496">
        <v>0</v>
      </c>
      <c r="T71">
        <v>0</v>
      </c>
      <c r="U71">
        <v>2445</v>
      </c>
      <c r="V71"/>
    </row>
    <row r="72" spans="1:22" x14ac:dyDescent="0.25">
      <c r="A72" s="502"/>
      <c r="B72" s="507" t="s">
        <v>63</v>
      </c>
      <c r="C72" s="507">
        <v>66</v>
      </c>
      <c r="D72" s="508">
        <v>0</v>
      </c>
      <c r="E72" s="508">
        <v>43</v>
      </c>
      <c r="F72" s="508">
        <v>7</v>
      </c>
      <c r="G72" s="508">
        <v>53</v>
      </c>
      <c r="H72" s="508">
        <v>5</v>
      </c>
      <c r="I72" s="507">
        <v>174</v>
      </c>
      <c r="J72" s="507">
        <v>0</v>
      </c>
      <c r="K72" s="508">
        <v>0</v>
      </c>
      <c r="L72" s="508">
        <v>0</v>
      </c>
      <c r="M72" s="508">
        <v>0</v>
      </c>
      <c r="N72" s="508">
        <v>0</v>
      </c>
      <c r="O72" s="507">
        <v>0</v>
      </c>
      <c r="P72" s="507">
        <v>0</v>
      </c>
      <c r="Q72" s="508">
        <v>0</v>
      </c>
      <c r="R72" s="507">
        <v>0</v>
      </c>
      <c r="S72" s="496">
        <v>0</v>
      </c>
      <c r="T72">
        <v>0</v>
      </c>
      <c r="U72">
        <v>174</v>
      </c>
      <c r="V72"/>
    </row>
    <row r="73" spans="1:22" x14ac:dyDescent="0.25">
      <c r="A73" s="502"/>
      <c r="B73" s="507" t="s">
        <v>65</v>
      </c>
      <c r="C73" s="507">
        <v>805</v>
      </c>
      <c r="D73" s="508">
        <v>239</v>
      </c>
      <c r="E73" s="508">
        <v>873</v>
      </c>
      <c r="F73" s="508">
        <v>33</v>
      </c>
      <c r="G73" s="508">
        <v>110</v>
      </c>
      <c r="H73" s="508">
        <v>71</v>
      </c>
      <c r="I73" s="507">
        <v>2131</v>
      </c>
      <c r="J73" s="507">
        <v>0</v>
      </c>
      <c r="K73" s="508">
        <v>0</v>
      </c>
      <c r="L73" s="508">
        <v>0</v>
      </c>
      <c r="M73" s="508">
        <v>0</v>
      </c>
      <c r="N73" s="508">
        <v>0</v>
      </c>
      <c r="O73" s="507">
        <v>0</v>
      </c>
      <c r="P73" s="507">
        <v>0</v>
      </c>
      <c r="Q73" s="508">
        <v>0</v>
      </c>
      <c r="R73" s="507">
        <v>0</v>
      </c>
      <c r="S73" s="496">
        <v>0</v>
      </c>
      <c r="T73">
        <v>0</v>
      </c>
      <c r="U73">
        <v>2131</v>
      </c>
      <c r="V73"/>
    </row>
    <row r="74" spans="1:22" x14ac:dyDescent="0.25">
      <c r="A74" s="502"/>
      <c r="B74" s="507" t="s">
        <v>67</v>
      </c>
      <c r="C74" s="507">
        <v>0</v>
      </c>
      <c r="D74" s="508">
        <v>0</v>
      </c>
      <c r="E74" s="508">
        <v>0</v>
      </c>
      <c r="F74" s="508">
        <v>0</v>
      </c>
      <c r="G74" s="508">
        <v>0</v>
      </c>
      <c r="H74" s="508">
        <v>0</v>
      </c>
      <c r="I74" s="507">
        <v>0</v>
      </c>
      <c r="J74" s="507">
        <v>0</v>
      </c>
      <c r="K74" s="508">
        <v>2573</v>
      </c>
      <c r="L74" s="508">
        <v>2485</v>
      </c>
      <c r="M74" s="508">
        <v>1158</v>
      </c>
      <c r="N74" s="508">
        <v>0</v>
      </c>
      <c r="O74" s="507">
        <v>6216</v>
      </c>
      <c r="P74" s="507">
        <v>0</v>
      </c>
      <c r="Q74" s="508">
        <v>0</v>
      </c>
      <c r="R74" s="507">
        <v>0</v>
      </c>
      <c r="S74" s="496">
        <v>0</v>
      </c>
      <c r="T74">
        <v>0</v>
      </c>
      <c r="U74">
        <v>6216</v>
      </c>
      <c r="V74"/>
    </row>
    <row r="75" spans="1:22" x14ac:dyDescent="0.25">
      <c r="A75" s="502"/>
      <c r="B75" s="507" t="s">
        <v>69</v>
      </c>
      <c r="C75" s="507">
        <v>4228</v>
      </c>
      <c r="D75" s="508">
        <v>971</v>
      </c>
      <c r="E75" s="508">
        <v>4064</v>
      </c>
      <c r="F75" s="508">
        <v>280</v>
      </c>
      <c r="G75" s="508">
        <v>672</v>
      </c>
      <c r="H75" s="508">
        <v>372</v>
      </c>
      <c r="I75" s="507">
        <v>10587</v>
      </c>
      <c r="J75" s="507">
        <v>0</v>
      </c>
      <c r="K75" s="508">
        <v>2573</v>
      </c>
      <c r="L75" s="508">
        <v>2485</v>
      </c>
      <c r="M75" s="508">
        <v>1158</v>
      </c>
      <c r="N75" s="508">
        <v>0</v>
      </c>
      <c r="O75" s="507">
        <v>6216</v>
      </c>
      <c r="P75" s="507">
        <v>0</v>
      </c>
      <c r="Q75" s="508">
        <v>0</v>
      </c>
      <c r="R75" s="507">
        <v>0</v>
      </c>
      <c r="S75" s="496">
        <v>0</v>
      </c>
      <c r="T75">
        <v>0</v>
      </c>
      <c r="U75">
        <v>16803</v>
      </c>
      <c r="V75"/>
    </row>
    <row r="76" spans="1:22" x14ac:dyDescent="0.25">
      <c r="A76" s="498" t="s">
        <v>79</v>
      </c>
      <c r="B76" s="504" t="s">
        <v>58</v>
      </c>
      <c r="C76" s="504">
        <v>711</v>
      </c>
      <c r="D76" s="501">
        <v>0</v>
      </c>
      <c r="E76" s="501">
        <v>223</v>
      </c>
      <c r="F76" s="501">
        <v>0</v>
      </c>
      <c r="G76" s="501">
        <v>197</v>
      </c>
      <c r="H76" s="501">
        <v>38</v>
      </c>
      <c r="I76" s="504">
        <v>1169</v>
      </c>
      <c r="J76" s="504">
        <v>0</v>
      </c>
      <c r="K76" s="501">
        <v>0</v>
      </c>
      <c r="L76" s="501">
        <v>0</v>
      </c>
      <c r="M76" s="501">
        <v>0</v>
      </c>
      <c r="N76" s="501">
        <v>0</v>
      </c>
      <c r="O76" s="504">
        <v>0</v>
      </c>
      <c r="P76" s="504">
        <v>0</v>
      </c>
      <c r="Q76" s="501">
        <v>0</v>
      </c>
      <c r="R76" s="504">
        <v>0</v>
      </c>
      <c r="S76" s="495">
        <v>0</v>
      </c>
      <c r="T76">
        <v>0</v>
      </c>
      <c r="U76">
        <v>1169</v>
      </c>
      <c r="V76"/>
    </row>
    <row r="77" spans="1:22" x14ac:dyDescent="0.25">
      <c r="A77" s="502"/>
      <c r="B77" s="507" t="s">
        <v>13</v>
      </c>
      <c r="C77" s="507">
        <v>575</v>
      </c>
      <c r="D77" s="508">
        <v>0</v>
      </c>
      <c r="E77" s="508">
        <v>153</v>
      </c>
      <c r="F77" s="508">
        <v>0</v>
      </c>
      <c r="G77" s="508">
        <v>189</v>
      </c>
      <c r="H77" s="508">
        <v>58</v>
      </c>
      <c r="I77" s="507">
        <v>975</v>
      </c>
      <c r="J77" s="507">
        <v>0</v>
      </c>
      <c r="K77" s="508">
        <v>0</v>
      </c>
      <c r="L77" s="508">
        <v>0</v>
      </c>
      <c r="M77" s="508">
        <v>0</v>
      </c>
      <c r="N77" s="508">
        <v>0</v>
      </c>
      <c r="O77" s="507">
        <v>0</v>
      </c>
      <c r="P77" s="507">
        <v>0</v>
      </c>
      <c r="Q77" s="508">
        <v>0</v>
      </c>
      <c r="R77" s="507">
        <v>0</v>
      </c>
      <c r="S77" s="496">
        <v>0</v>
      </c>
      <c r="T77">
        <v>0</v>
      </c>
      <c r="U77">
        <v>975</v>
      </c>
      <c r="V77"/>
    </row>
    <row r="78" spans="1:22" x14ac:dyDescent="0.25">
      <c r="A78" s="502"/>
      <c r="B78" s="507" t="s">
        <v>61</v>
      </c>
      <c r="C78" s="507">
        <v>486</v>
      </c>
      <c r="D78" s="508">
        <v>0</v>
      </c>
      <c r="E78" s="508">
        <v>220</v>
      </c>
      <c r="F78" s="508">
        <v>0</v>
      </c>
      <c r="G78" s="508">
        <v>260</v>
      </c>
      <c r="H78" s="508">
        <v>61</v>
      </c>
      <c r="I78" s="507">
        <v>1027</v>
      </c>
      <c r="J78" s="507">
        <v>0</v>
      </c>
      <c r="K78" s="508">
        <v>0</v>
      </c>
      <c r="L78" s="508">
        <v>0</v>
      </c>
      <c r="M78" s="508">
        <v>0</v>
      </c>
      <c r="N78" s="508">
        <v>0</v>
      </c>
      <c r="O78" s="507">
        <v>0</v>
      </c>
      <c r="P78" s="507">
        <v>0</v>
      </c>
      <c r="Q78" s="508">
        <v>0</v>
      </c>
      <c r="R78" s="507">
        <v>0</v>
      </c>
      <c r="S78" s="496">
        <v>0</v>
      </c>
      <c r="T78">
        <v>0</v>
      </c>
      <c r="U78">
        <v>1027</v>
      </c>
      <c r="V78"/>
    </row>
    <row r="79" spans="1:22" x14ac:dyDescent="0.25">
      <c r="A79" s="502"/>
      <c r="B79" s="507" t="s">
        <v>63</v>
      </c>
      <c r="C79" s="507">
        <v>288</v>
      </c>
      <c r="D79" s="508">
        <v>0</v>
      </c>
      <c r="E79" s="508">
        <v>179</v>
      </c>
      <c r="F79" s="508">
        <v>0</v>
      </c>
      <c r="G79" s="508">
        <v>267</v>
      </c>
      <c r="H79" s="508">
        <v>50</v>
      </c>
      <c r="I79" s="507">
        <v>784</v>
      </c>
      <c r="J79" s="507">
        <v>0</v>
      </c>
      <c r="K79" s="508">
        <v>0</v>
      </c>
      <c r="L79" s="508">
        <v>0</v>
      </c>
      <c r="M79" s="508">
        <v>0</v>
      </c>
      <c r="N79" s="508">
        <v>0</v>
      </c>
      <c r="O79" s="507">
        <v>0</v>
      </c>
      <c r="P79" s="507">
        <v>0</v>
      </c>
      <c r="Q79" s="508">
        <v>0</v>
      </c>
      <c r="R79" s="507">
        <v>0</v>
      </c>
      <c r="S79" s="496">
        <v>0</v>
      </c>
      <c r="T79">
        <v>0</v>
      </c>
      <c r="U79">
        <v>784</v>
      </c>
      <c r="V79"/>
    </row>
    <row r="80" spans="1:22" x14ac:dyDescent="0.25">
      <c r="A80" s="502"/>
      <c r="B80" s="507" t="s">
        <v>65</v>
      </c>
      <c r="C80" s="507">
        <v>0</v>
      </c>
      <c r="D80" s="508">
        <v>0</v>
      </c>
      <c r="E80" s="508">
        <v>0</v>
      </c>
      <c r="F80" s="508">
        <v>0</v>
      </c>
      <c r="G80" s="508">
        <v>0</v>
      </c>
      <c r="H80" s="508">
        <v>0</v>
      </c>
      <c r="I80" s="507">
        <v>0</v>
      </c>
      <c r="J80" s="507">
        <v>0</v>
      </c>
      <c r="K80" s="508">
        <v>0</v>
      </c>
      <c r="L80" s="508">
        <v>0</v>
      </c>
      <c r="M80" s="508">
        <v>0</v>
      </c>
      <c r="N80" s="508">
        <v>0</v>
      </c>
      <c r="O80" s="507">
        <v>0</v>
      </c>
      <c r="P80" s="507">
        <v>0</v>
      </c>
      <c r="Q80" s="508">
        <v>0</v>
      </c>
      <c r="R80" s="507">
        <v>0</v>
      </c>
      <c r="S80" s="496">
        <v>0</v>
      </c>
      <c r="T80">
        <v>0</v>
      </c>
      <c r="U80">
        <v>0</v>
      </c>
      <c r="V80"/>
    </row>
    <row r="81" spans="1:22" x14ac:dyDescent="0.25">
      <c r="A81" s="502"/>
      <c r="B81" s="507" t="s">
        <v>67</v>
      </c>
      <c r="C81" s="507">
        <v>0</v>
      </c>
      <c r="D81" s="508">
        <v>0</v>
      </c>
      <c r="E81" s="508">
        <v>0</v>
      </c>
      <c r="F81" s="508">
        <v>0</v>
      </c>
      <c r="G81" s="508">
        <v>0</v>
      </c>
      <c r="H81" s="508">
        <v>0</v>
      </c>
      <c r="I81" s="507">
        <v>0</v>
      </c>
      <c r="J81" s="507">
        <v>212</v>
      </c>
      <c r="K81" s="508">
        <v>570</v>
      </c>
      <c r="L81" s="508">
        <v>95</v>
      </c>
      <c r="M81" s="508">
        <v>384</v>
      </c>
      <c r="N81" s="508">
        <v>0</v>
      </c>
      <c r="O81" s="507">
        <v>1261</v>
      </c>
      <c r="P81" s="507">
        <v>215</v>
      </c>
      <c r="Q81" s="508">
        <v>916</v>
      </c>
      <c r="R81" s="507">
        <v>1131</v>
      </c>
      <c r="S81" s="496">
        <v>0</v>
      </c>
      <c r="T81">
        <v>0</v>
      </c>
      <c r="U81">
        <v>2392</v>
      </c>
      <c r="V81"/>
    </row>
    <row r="82" spans="1:22" x14ac:dyDescent="0.25">
      <c r="A82" s="502"/>
      <c r="B82" s="507" t="s">
        <v>69</v>
      </c>
      <c r="C82" s="507">
        <v>2060</v>
      </c>
      <c r="D82" s="508">
        <v>0</v>
      </c>
      <c r="E82" s="508">
        <v>775</v>
      </c>
      <c r="F82" s="508">
        <v>0</v>
      </c>
      <c r="G82" s="508">
        <v>913</v>
      </c>
      <c r="H82" s="508">
        <v>207</v>
      </c>
      <c r="I82" s="507">
        <v>3955</v>
      </c>
      <c r="J82" s="507">
        <v>212</v>
      </c>
      <c r="K82" s="508">
        <v>570</v>
      </c>
      <c r="L82" s="508">
        <v>95</v>
      </c>
      <c r="M82" s="508">
        <v>384</v>
      </c>
      <c r="N82" s="508">
        <v>0</v>
      </c>
      <c r="O82" s="507">
        <v>1261</v>
      </c>
      <c r="P82" s="507">
        <v>215</v>
      </c>
      <c r="Q82" s="508">
        <v>916</v>
      </c>
      <c r="R82" s="507">
        <v>1131</v>
      </c>
      <c r="S82" s="496">
        <v>0</v>
      </c>
      <c r="T82">
        <v>0</v>
      </c>
      <c r="U82">
        <v>6347</v>
      </c>
      <c r="V82"/>
    </row>
    <row r="83" spans="1:22" x14ac:dyDescent="0.25">
      <c r="A83" s="498" t="s">
        <v>113</v>
      </c>
      <c r="B83" s="504" t="s">
        <v>58</v>
      </c>
      <c r="C83" s="504">
        <v>678</v>
      </c>
      <c r="D83" s="501">
        <v>0</v>
      </c>
      <c r="E83" s="501">
        <v>217</v>
      </c>
      <c r="F83" s="501">
        <v>58</v>
      </c>
      <c r="G83" s="501">
        <v>166</v>
      </c>
      <c r="H83" s="501">
        <v>85</v>
      </c>
      <c r="I83" s="504">
        <v>1204</v>
      </c>
      <c r="J83" s="504">
        <v>0</v>
      </c>
      <c r="K83" s="501">
        <v>0</v>
      </c>
      <c r="L83" s="501">
        <v>0</v>
      </c>
      <c r="M83" s="501">
        <v>17</v>
      </c>
      <c r="N83" s="501">
        <v>0</v>
      </c>
      <c r="O83" s="504">
        <v>17</v>
      </c>
      <c r="P83" s="504">
        <v>0</v>
      </c>
      <c r="Q83" s="501">
        <v>0</v>
      </c>
      <c r="R83" s="504">
        <v>0</v>
      </c>
      <c r="S83" s="495">
        <v>0</v>
      </c>
      <c r="T83">
        <v>0</v>
      </c>
      <c r="U83">
        <v>1221</v>
      </c>
      <c r="V83"/>
    </row>
    <row r="84" spans="1:22" x14ac:dyDescent="0.25">
      <c r="A84" s="502"/>
      <c r="B84" s="507" t="s">
        <v>13</v>
      </c>
      <c r="C84" s="507">
        <v>606</v>
      </c>
      <c r="D84" s="508">
        <v>0</v>
      </c>
      <c r="E84" s="508">
        <v>255</v>
      </c>
      <c r="F84" s="508">
        <v>53</v>
      </c>
      <c r="G84" s="508">
        <v>203</v>
      </c>
      <c r="H84" s="508">
        <v>134</v>
      </c>
      <c r="I84" s="507">
        <v>1251</v>
      </c>
      <c r="J84" s="507">
        <v>0</v>
      </c>
      <c r="K84" s="508">
        <v>0</v>
      </c>
      <c r="L84" s="508">
        <v>0</v>
      </c>
      <c r="M84" s="508">
        <v>24</v>
      </c>
      <c r="N84" s="508">
        <v>0</v>
      </c>
      <c r="O84" s="507">
        <v>24</v>
      </c>
      <c r="P84" s="507">
        <v>0</v>
      </c>
      <c r="Q84" s="508">
        <v>0</v>
      </c>
      <c r="R84" s="507">
        <v>0</v>
      </c>
      <c r="S84" s="496">
        <v>0</v>
      </c>
      <c r="T84">
        <v>0</v>
      </c>
      <c r="U84">
        <v>1275</v>
      </c>
      <c r="V84"/>
    </row>
    <row r="85" spans="1:22" x14ac:dyDescent="0.25">
      <c r="A85" s="502"/>
      <c r="B85" s="507" t="s">
        <v>61</v>
      </c>
      <c r="C85" s="507">
        <v>574</v>
      </c>
      <c r="D85" s="508">
        <v>0</v>
      </c>
      <c r="E85" s="508">
        <v>244</v>
      </c>
      <c r="F85" s="508">
        <v>64</v>
      </c>
      <c r="G85" s="508">
        <v>252</v>
      </c>
      <c r="H85" s="508">
        <v>175</v>
      </c>
      <c r="I85" s="507">
        <v>1309</v>
      </c>
      <c r="J85" s="507">
        <v>0</v>
      </c>
      <c r="K85" s="508">
        <v>0</v>
      </c>
      <c r="L85" s="508">
        <v>0</v>
      </c>
      <c r="M85" s="508">
        <v>36</v>
      </c>
      <c r="N85" s="508">
        <v>0</v>
      </c>
      <c r="O85" s="507">
        <v>36</v>
      </c>
      <c r="P85" s="507">
        <v>0</v>
      </c>
      <c r="Q85" s="508">
        <v>0</v>
      </c>
      <c r="R85" s="507">
        <v>0</v>
      </c>
      <c r="S85" s="496">
        <v>0</v>
      </c>
      <c r="T85">
        <v>0</v>
      </c>
      <c r="U85">
        <v>1345</v>
      </c>
      <c r="V85"/>
    </row>
    <row r="86" spans="1:22" x14ac:dyDescent="0.25">
      <c r="A86" s="502"/>
      <c r="B86" s="507" t="s">
        <v>63</v>
      </c>
      <c r="C86" s="507">
        <v>157</v>
      </c>
      <c r="D86" s="508">
        <v>0</v>
      </c>
      <c r="E86" s="508">
        <v>90</v>
      </c>
      <c r="F86" s="508">
        <v>3</v>
      </c>
      <c r="G86" s="508">
        <v>61</v>
      </c>
      <c r="H86" s="508">
        <v>156</v>
      </c>
      <c r="I86" s="507">
        <v>467</v>
      </c>
      <c r="J86" s="507">
        <v>0</v>
      </c>
      <c r="K86" s="508">
        <v>0</v>
      </c>
      <c r="L86" s="508">
        <v>0</v>
      </c>
      <c r="M86" s="508">
        <v>50</v>
      </c>
      <c r="N86" s="508">
        <v>0</v>
      </c>
      <c r="O86" s="507">
        <v>50</v>
      </c>
      <c r="P86" s="507">
        <v>0</v>
      </c>
      <c r="Q86" s="508">
        <v>0</v>
      </c>
      <c r="R86" s="507">
        <v>0</v>
      </c>
      <c r="S86" s="496">
        <v>0</v>
      </c>
      <c r="T86">
        <v>0</v>
      </c>
      <c r="U86">
        <v>517</v>
      </c>
      <c r="V86"/>
    </row>
    <row r="87" spans="1:22" x14ac:dyDescent="0.25">
      <c r="A87" s="502"/>
      <c r="B87" s="507" t="s">
        <v>65</v>
      </c>
      <c r="C87" s="507">
        <v>228</v>
      </c>
      <c r="D87" s="508">
        <v>0</v>
      </c>
      <c r="E87" s="508">
        <v>1</v>
      </c>
      <c r="F87" s="508">
        <v>0</v>
      </c>
      <c r="G87" s="508">
        <v>85</v>
      </c>
      <c r="H87" s="508">
        <v>5</v>
      </c>
      <c r="I87" s="507">
        <v>319</v>
      </c>
      <c r="J87" s="507">
        <v>0</v>
      </c>
      <c r="K87" s="508">
        <v>1148</v>
      </c>
      <c r="L87" s="508">
        <v>689</v>
      </c>
      <c r="M87" s="508">
        <v>128</v>
      </c>
      <c r="N87" s="508">
        <v>0</v>
      </c>
      <c r="O87" s="507">
        <v>1965</v>
      </c>
      <c r="P87" s="507">
        <v>0</v>
      </c>
      <c r="Q87" s="508">
        <v>0</v>
      </c>
      <c r="R87" s="507">
        <v>0</v>
      </c>
      <c r="S87" s="496">
        <v>0</v>
      </c>
      <c r="T87">
        <v>0</v>
      </c>
      <c r="U87">
        <v>2284</v>
      </c>
      <c r="V87"/>
    </row>
    <row r="88" spans="1:22" x14ac:dyDescent="0.25">
      <c r="A88" s="502"/>
      <c r="B88" s="507" t="s">
        <v>67</v>
      </c>
      <c r="C88" s="507">
        <v>0</v>
      </c>
      <c r="D88" s="508">
        <v>0</v>
      </c>
      <c r="E88" s="508">
        <v>0</v>
      </c>
      <c r="F88" s="508">
        <v>0</v>
      </c>
      <c r="G88" s="508">
        <v>0</v>
      </c>
      <c r="H88" s="508">
        <v>0</v>
      </c>
      <c r="I88" s="507">
        <v>0</v>
      </c>
      <c r="J88" s="507">
        <v>0</v>
      </c>
      <c r="K88" s="508">
        <v>0</v>
      </c>
      <c r="L88" s="508">
        <v>0</v>
      </c>
      <c r="M88" s="508">
        <v>0</v>
      </c>
      <c r="N88" s="508">
        <v>0</v>
      </c>
      <c r="O88" s="507">
        <v>0</v>
      </c>
      <c r="P88" s="507">
        <v>0</v>
      </c>
      <c r="Q88" s="508">
        <v>0</v>
      </c>
      <c r="R88" s="507">
        <v>0</v>
      </c>
      <c r="S88" s="496">
        <v>0</v>
      </c>
      <c r="T88">
        <v>0</v>
      </c>
      <c r="U88">
        <v>0</v>
      </c>
      <c r="V88"/>
    </row>
    <row r="89" spans="1:22" x14ac:dyDescent="0.25">
      <c r="A89" s="502"/>
      <c r="B89" s="507" t="s">
        <v>69</v>
      </c>
      <c r="C89" s="507">
        <v>2243</v>
      </c>
      <c r="D89" s="508">
        <v>0</v>
      </c>
      <c r="E89" s="508">
        <v>807</v>
      </c>
      <c r="F89" s="508">
        <v>178</v>
      </c>
      <c r="G89" s="508">
        <v>767</v>
      </c>
      <c r="H89" s="508">
        <v>555</v>
      </c>
      <c r="I89" s="507">
        <v>4550</v>
      </c>
      <c r="J89" s="507">
        <v>0</v>
      </c>
      <c r="K89" s="508">
        <v>1148</v>
      </c>
      <c r="L89" s="508">
        <v>689</v>
      </c>
      <c r="M89" s="508">
        <v>255</v>
      </c>
      <c r="N89" s="508">
        <v>0</v>
      </c>
      <c r="O89" s="507">
        <v>2092</v>
      </c>
      <c r="P89" s="507">
        <v>0</v>
      </c>
      <c r="Q89" s="508">
        <v>0</v>
      </c>
      <c r="R89" s="507">
        <v>0</v>
      </c>
      <c r="S89" s="496">
        <v>0</v>
      </c>
      <c r="T89">
        <v>0</v>
      </c>
      <c r="U89">
        <v>6642</v>
      </c>
      <c r="V89"/>
    </row>
    <row r="90" spans="1:22" x14ac:dyDescent="0.25">
      <c r="A90" s="498" t="s">
        <v>78</v>
      </c>
      <c r="B90" s="504" t="s">
        <v>58</v>
      </c>
      <c r="C90" s="504">
        <v>792</v>
      </c>
      <c r="D90" s="501">
        <v>102</v>
      </c>
      <c r="E90" s="501">
        <v>857</v>
      </c>
      <c r="F90" s="501">
        <v>0</v>
      </c>
      <c r="G90" s="501">
        <v>76</v>
      </c>
      <c r="H90" s="501">
        <v>0</v>
      </c>
      <c r="I90" s="504">
        <v>1827</v>
      </c>
      <c r="J90" s="504">
        <v>0</v>
      </c>
      <c r="K90" s="501">
        <v>112</v>
      </c>
      <c r="L90" s="501">
        <v>99</v>
      </c>
      <c r="M90" s="501">
        <v>0</v>
      </c>
      <c r="N90" s="501">
        <v>0</v>
      </c>
      <c r="O90" s="504">
        <v>211</v>
      </c>
      <c r="P90" s="504">
        <v>0</v>
      </c>
      <c r="Q90" s="501">
        <v>0</v>
      </c>
      <c r="R90" s="504">
        <v>0</v>
      </c>
      <c r="S90" s="495">
        <v>0</v>
      </c>
      <c r="T90">
        <v>0</v>
      </c>
      <c r="U90">
        <v>2038</v>
      </c>
      <c r="V90"/>
    </row>
    <row r="91" spans="1:22" x14ac:dyDescent="0.25">
      <c r="A91" s="502"/>
      <c r="B91" s="507" t="s">
        <v>13</v>
      </c>
      <c r="C91" s="507">
        <v>672</v>
      </c>
      <c r="D91" s="508">
        <v>116</v>
      </c>
      <c r="E91" s="508">
        <v>653</v>
      </c>
      <c r="F91" s="508">
        <v>0</v>
      </c>
      <c r="G91" s="508">
        <v>64</v>
      </c>
      <c r="H91" s="508">
        <v>0</v>
      </c>
      <c r="I91" s="507">
        <v>1505</v>
      </c>
      <c r="J91" s="507">
        <v>0</v>
      </c>
      <c r="K91" s="508">
        <v>403</v>
      </c>
      <c r="L91" s="508">
        <v>356</v>
      </c>
      <c r="M91" s="508">
        <v>0</v>
      </c>
      <c r="N91" s="508">
        <v>0</v>
      </c>
      <c r="O91" s="507">
        <v>759</v>
      </c>
      <c r="P91" s="507">
        <v>0</v>
      </c>
      <c r="Q91" s="508">
        <v>0</v>
      </c>
      <c r="R91" s="507">
        <v>0</v>
      </c>
      <c r="S91" s="496">
        <v>0</v>
      </c>
      <c r="T91">
        <v>0</v>
      </c>
      <c r="U91">
        <v>2264</v>
      </c>
      <c r="V91"/>
    </row>
    <row r="92" spans="1:22" x14ac:dyDescent="0.25">
      <c r="A92" s="502"/>
      <c r="B92" s="507" t="s">
        <v>61</v>
      </c>
      <c r="C92" s="507">
        <v>583</v>
      </c>
      <c r="D92" s="508">
        <v>126</v>
      </c>
      <c r="E92" s="508">
        <v>694</v>
      </c>
      <c r="F92" s="508">
        <v>0</v>
      </c>
      <c r="G92" s="508">
        <v>79</v>
      </c>
      <c r="H92" s="508">
        <v>0</v>
      </c>
      <c r="I92" s="507">
        <v>1482</v>
      </c>
      <c r="J92" s="507">
        <v>0</v>
      </c>
      <c r="K92" s="508">
        <v>178</v>
      </c>
      <c r="L92" s="508">
        <v>181</v>
      </c>
      <c r="M92" s="508">
        <v>0</v>
      </c>
      <c r="N92" s="508">
        <v>0</v>
      </c>
      <c r="O92" s="507">
        <v>359</v>
      </c>
      <c r="P92" s="507">
        <v>0</v>
      </c>
      <c r="Q92" s="508">
        <v>0</v>
      </c>
      <c r="R92" s="507">
        <v>0</v>
      </c>
      <c r="S92" s="496">
        <v>0</v>
      </c>
      <c r="T92">
        <v>0</v>
      </c>
      <c r="U92">
        <v>1841</v>
      </c>
      <c r="V92"/>
    </row>
    <row r="93" spans="1:22" x14ac:dyDescent="0.25">
      <c r="A93" s="502"/>
      <c r="B93" s="507" t="s">
        <v>63</v>
      </c>
      <c r="C93" s="507">
        <v>171</v>
      </c>
      <c r="D93" s="508">
        <v>12</v>
      </c>
      <c r="E93" s="508">
        <v>268</v>
      </c>
      <c r="F93" s="508">
        <v>0</v>
      </c>
      <c r="G93" s="508">
        <v>19</v>
      </c>
      <c r="H93" s="508">
        <v>0</v>
      </c>
      <c r="I93" s="507">
        <v>470</v>
      </c>
      <c r="J93" s="507">
        <v>0</v>
      </c>
      <c r="K93" s="508">
        <v>295</v>
      </c>
      <c r="L93" s="508">
        <v>165</v>
      </c>
      <c r="M93" s="508">
        <v>0</v>
      </c>
      <c r="N93" s="508">
        <v>0</v>
      </c>
      <c r="O93" s="507">
        <v>460</v>
      </c>
      <c r="P93" s="507">
        <v>0</v>
      </c>
      <c r="Q93" s="508">
        <v>0</v>
      </c>
      <c r="R93" s="507">
        <v>0</v>
      </c>
      <c r="S93" s="496">
        <v>0</v>
      </c>
      <c r="T93">
        <v>0</v>
      </c>
      <c r="U93">
        <v>930</v>
      </c>
      <c r="V93"/>
    </row>
    <row r="94" spans="1:22" x14ac:dyDescent="0.25">
      <c r="A94" s="502"/>
      <c r="B94" s="507" t="s">
        <v>65</v>
      </c>
      <c r="C94" s="507">
        <v>293</v>
      </c>
      <c r="D94" s="508">
        <v>61</v>
      </c>
      <c r="E94" s="508">
        <v>151</v>
      </c>
      <c r="F94" s="508">
        <v>0</v>
      </c>
      <c r="G94" s="508">
        <v>34</v>
      </c>
      <c r="H94" s="508">
        <v>0</v>
      </c>
      <c r="I94" s="507">
        <v>539</v>
      </c>
      <c r="J94" s="507">
        <v>0</v>
      </c>
      <c r="K94" s="508">
        <v>0</v>
      </c>
      <c r="L94" s="508">
        <v>0</v>
      </c>
      <c r="M94" s="508">
        <v>0</v>
      </c>
      <c r="N94" s="508">
        <v>0</v>
      </c>
      <c r="O94" s="507">
        <v>0</v>
      </c>
      <c r="P94" s="507">
        <v>0</v>
      </c>
      <c r="Q94" s="508">
        <v>0</v>
      </c>
      <c r="R94" s="507">
        <v>0</v>
      </c>
      <c r="S94" s="496">
        <v>0</v>
      </c>
      <c r="T94">
        <v>0</v>
      </c>
      <c r="U94">
        <v>539</v>
      </c>
      <c r="V94"/>
    </row>
    <row r="95" spans="1:22" x14ac:dyDescent="0.25">
      <c r="A95" s="502"/>
      <c r="B95" s="507" t="s">
        <v>67</v>
      </c>
      <c r="C95" s="507">
        <v>0</v>
      </c>
      <c r="D95" s="508">
        <v>0</v>
      </c>
      <c r="E95" s="508">
        <v>0</v>
      </c>
      <c r="F95" s="508">
        <v>0</v>
      </c>
      <c r="G95" s="508">
        <v>0</v>
      </c>
      <c r="H95" s="508">
        <v>0</v>
      </c>
      <c r="I95" s="507">
        <v>0</v>
      </c>
      <c r="J95" s="507">
        <v>0</v>
      </c>
      <c r="K95" s="508">
        <v>0</v>
      </c>
      <c r="L95" s="508">
        <v>0</v>
      </c>
      <c r="M95" s="508">
        <v>0</v>
      </c>
      <c r="N95" s="508">
        <v>0</v>
      </c>
      <c r="O95" s="507">
        <v>0</v>
      </c>
      <c r="P95" s="507">
        <v>0</v>
      </c>
      <c r="Q95" s="508">
        <v>458</v>
      </c>
      <c r="R95" s="507">
        <v>458</v>
      </c>
      <c r="S95" s="496">
        <v>0</v>
      </c>
      <c r="T95">
        <v>0</v>
      </c>
      <c r="U95">
        <v>458</v>
      </c>
      <c r="V95"/>
    </row>
    <row r="96" spans="1:22" x14ac:dyDescent="0.25">
      <c r="A96" s="502"/>
      <c r="B96" s="507" t="s">
        <v>69</v>
      </c>
      <c r="C96" s="507">
        <v>2511</v>
      </c>
      <c r="D96" s="508">
        <v>417</v>
      </c>
      <c r="E96" s="508">
        <v>2623</v>
      </c>
      <c r="F96" s="508">
        <v>0</v>
      </c>
      <c r="G96" s="508">
        <v>272</v>
      </c>
      <c r="H96" s="508">
        <v>0</v>
      </c>
      <c r="I96" s="507">
        <v>5823</v>
      </c>
      <c r="J96" s="507">
        <v>0</v>
      </c>
      <c r="K96" s="508">
        <v>988</v>
      </c>
      <c r="L96" s="508">
        <v>801</v>
      </c>
      <c r="M96" s="508">
        <v>0</v>
      </c>
      <c r="N96" s="508">
        <v>0</v>
      </c>
      <c r="O96" s="507">
        <v>1789</v>
      </c>
      <c r="P96" s="507">
        <v>0</v>
      </c>
      <c r="Q96" s="508">
        <v>458</v>
      </c>
      <c r="R96" s="507">
        <v>458</v>
      </c>
      <c r="S96" s="496">
        <v>0</v>
      </c>
      <c r="T96">
        <v>0</v>
      </c>
      <c r="U96">
        <v>8070</v>
      </c>
      <c r="V96"/>
    </row>
    <row r="97" spans="1:22" x14ac:dyDescent="0.25">
      <c r="A97" s="498" t="s">
        <v>77</v>
      </c>
      <c r="B97" s="504" t="s">
        <v>58</v>
      </c>
      <c r="C97" s="504">
        <v>3200</v>
      </c>
      <c r="D97" s="501">
        <v>388</v>
      </c>
      <c r="E97" s="501">
        <v>1602</v>
      </c>
      <c r="F97" s="501">
        <v>48</v>
      </c>
      <c r="G97" s="501">
        <v>56</v>
      </c>
      <c r="H97" s="501">
        <v>27</v>
      </c>
      <c r="I97" s="504">
        <v>5321</v>
      </c>
      <c r="J97" s="504">
        <v>62</v>
      </c>
      <c r="K97" s="501">
        <v>1680</v>
      </c>
      <c r="L97" s="501">
        <v>400</v>
      </c>
      <c r="M97" s="501">
        <v>58</v>
      </c>
      <c r="N97" s="501">
        <v>0</v>
      </c>
      <c r="O97" s="504">
        <v>2200</v>
      </c>
      <c r="P97" s="504">
        <v>0</v>
      </c>
      <c r="Q97" s="501">
        <v>0</v>
      </c>
      <c r="R97" s="504">
        <v>0</v>
      </c>
      <c r="S97" s="495">
        <v>0</v>
      </c>
      <c r="T97">
        <v>0</v>
      </c>
      <c r="U97">
        <v>7521</v>
      </c>
      <c r="V97"/>
    </row>
    <row r="98" spans="1:22" x14ac:dyDescent="0.25">
      <c r="A98" s="502"/>
      <c r="B98" s="507" t="s">
        <v>13</v>
      </c>
      <c r="C98" s="507">
        <v>2392</v>
      </c>
      <c r="D98" s="508">
        <v>483</v>
      </c>
      <c r="E98" s="508">
        <v>1814</v>
      </c>
      <c r="F98" s="508">
        <v>51</v>
      </c>
      <c r="G98" s="508">
        <v>104</v>
      </c>
      <c r="H98" s="508">
        <v>14</v>
      </c>
      <c r="I98" s="507">
        <v>4858</v>
      </c>
      <c r="J98" s="507">
        <v>74</v>
      </c>
      <c r="K98" s="508">
        <v>930</v>
      </c>
      <c r="L98" s="508">
        <v>147</v>
      </c>
      <c r="M98" s="508">
        <v>24</v>
      </c>
      <c r="N98" s="508">
        <v>0</v>
      </c>
      <c r="O98" s="507">
        <v>1175</v>
      </c>
      <c r="P98" s="507">
        <v>0</v>
      </c>
      <c r="Q98" s="508">
        <v>0</v>
      </c>
      <c r="R98" s="507">
        <v>0</v>
      </c>
      <c r="S98" s="496">
        <v>0</v>
      </c>
      <c r="T98">
        <v>0</v>
      </c>
      <c r="U98">
        <v>6033</v>
      </c>
      <c r="V98"/>
    </row>
    <row r="99" spans="1:22" x14ac:dyDescent="0.25">
      <c r="A99" s="502"/>
      <c r="B99" s="507" t="s">
        <v>61</v>
      </c>
      <c r="C99" s="507">
        <v>1947</v>
      </c>
      <c r="D99" s="508">
        <v>390</v>
      </c>
      <c r="E99" s="508">
        <v>2060</v>
      </c>
      <c r="F99" s="508">
        <v>70</v>
      </c>
      <c r="G99" s="508">
        <v>86</v>
      </c>
      <c r="H99" s="508">
        <v>15</v>
      </c>
      <c r="I99" s="507">
        <v>4568</v>
      </c>
      <c r="J99" s="507">
        <v>80</v>
      </c>
      <c r="K99" s="508">
        <v>768</v>
      </c>
      <c r="L99" s="508">
        <v>150</v>
      </c>
      <c r="M99" s="508">
        <v>39</v>
      </c>
      <c r="N99" s="508">
        <v>0</v>
      </c>
      <c r="O99" s="507">
        <v>1037</v>
      </c>
      <c r="P99" s="507">
        <v>0</v>
      </c>
      <c r="Q99" s="508">
        <v>0</v>
      </c>
      <c r="R99" s="507">
        <v>0</v>
      </c>
      <c r="S99" s="496">
        <v>0</v>
      </c>
      <c r="T99">
        <v>0</v>
      </c>
      <c r="U99">
        <v>5605</v>
      </c>
      <c r="V99"/>
    </row>
    <row r="100" spans="1:22" x14ac:dyDescent="0.25">
      <c r="A100" s="502"/>
      <c r="B100" s="507" t="s">
        <v>63</v>
      </c>
      <c r="C100" s="507">
        <v>306</v>
      </c>
      <c r="D100" s="508">
        <v>11</v>
      </c>
      <c r="E100" s="508">
        <v>434</v>
      </c>
      <c r="F100" s="508">
        <v>9</v>
      </c>
      <c r="G100" s="508">
        <v>3</v>
      </c>
      <c r="H100" s="508">
        <v>0</v>
      </c>
      <c r="I100" s="507">
        <v>763</v>
      </c>
      <c r="J100" s="507">
        <v>498</v>
      </c>
      <c r="K100" s="508">
        <v>2421</v>
      </c>
      <c r="L100" s="508">
        <v>1086</v>
      </c>
      <c r="M100" s="508">
        <v>361</v>
      </c>
      <c r="N100" s="508">
        <v>0</v>
      </c>
      <c r="O100" s="507">
        <v>4366</v>
      </c>
      <c r="P100" s="507">
        <v>0</v>
      </c>
      <c r="Q100" s="508">
        <v>0</v>
      </c>
      <c r="R100" s="507">
        <v>0</v>
      </c>
      <c r="S100" s="496">
        <v>0</v>
      </c>
      <c r="T100">
        <v>0</v>
      </c>
      <c r="U100">
        <v>5129</v>
      </c>
      <c r="V100"/>
    </row>
    <row r="101" spans="1:22" x14ac:dyDescent="0.25">
      <c r="A101" s="502"/>
      <c r="B101" s="507" t="s">
        <v>65</v>
      </c>
      <c r="C101" s="507">
        <v>1804</v>
      </c>
      <c r="D101" s="508">
        <v>683</v>
      </c>
      <c r="E101" s="508">
        <v>1241</v>
      </c>
      <c r="F101" s="508">
        <v>15</v>
      </c>
      <c r="G101" s="508">
        <v>60</v>
      </c>
      <c r="H101" s="508">
        <v>45</v>
      </c>
      <c r="I101" s="507">
        <v>3848</v>
      </c>
      <c r="J101" s="507">
        <v>0</v>
      </c>
      <c r="K101" s="508">
        <v>75</v>
      </c>
      <c r="L101" s="508">
        <v>0</v>
      </c>
      <c r="M101" s="508">
        <v>0</v>
      </c>
      <c r="N101" s="508">
        <v>0</v>
      </c>
      <c r="O101" s="507">
        <v>75</v>
      </c>
      <c r="P101" s="507">
        <v>0</v>
      </c>
      <c r="Q101" s="508">
        <v>0</v>
      </c>
      <c r="R101" s="507">
        <v>0</v>
      </c>
      <c r="S101" s="496">
        <v>0</v>
      </c>
      <c r="T101">
        <v>0</v>
      </c>
      <c r="U101">
        <v>3923</v>
      </c>
      <c r="V101"/>
    </row>
    <row r="102" spans="1:22" x14ac:dyDescent="0.25">
      <c r="A102" s="502"/>
      <c r="B102" s="507" t="s">
        <v>67</v>
      </c>
      <c r="C102" s="507">
        <v>0</v>
      </c>
      <c r="D102" s="508">
        <v>0</v>
      </c>
      <c r="E102" s="508">
        <v>0</v>
      </c>
      <c r="F102" s="508">
        <v>0</v>
      </c>
      <c r="G102" s="508">
        <v>0</v>
      </c>
      <c r="H102" s="508">
        <v>0</v>
      </c>
      <c r="I102" s="507">
        <v>0</v>
      </c>
      <c r="J102" s="507">
        <v>10</v>
      </c>
      <c r="K102" s="508">
        <v>2466</v>
      </c>
      <c r="L102" s="508">
        <v>677</v>
      </c>
      <c r="M102" s="508">
        <v>15</v>
      </c>
      <c r="N102" s="508">
        <v>0</v>
      </c>
      <c r="O102" s="507">
        <v>3168</v>
      </c>
      <c r="P102" s="507">
        <v>0</v>
      </c>
      <c r="Q102" s="508">
        <v>0</v>
      </c>
      <c r="R102" s="507">
        <v>0</v>
      </c>
      <c r="S102" s="496">
        <v>0</v>
      </c>
      <c r="T102">
        <v>0</v>
      </c>
      <c r="U102">
        <v>3168</v>
      </c>
      <c r="V102"/>
    </row>
    <row r="103" spans="1:22" x14ac:dyDescent="0.25">
      <c r="A103" s="502"/>
      <c r="B103" s="507" t="s">
        <v>69</v>
      </c>
      <c r="C103" s="507">
        <v>9649</v>
      </c>
      <c r="D103" s="508">
        <v>1955</v>
      </c>
      <c r="E103" s="508">
        <v>7151</v>
      </c>
      <c r="F103" s="508">
        <v>193</v>
      </c>
      <c r="G103" s="508">
        <v>309</v>
      </c>
      <c r="H103" s="508">
        <v>101</v>
      </c>
      <c r="I103" s="507">
        <v>19358</v>
      </c>
      <c r="J103" s="507">
        <v>724</v>
      </c>
      <c r="K103" s="508">
        <v>8340</v>
      </c>
      <c r="L103" s="508">
        <v>2460</v>
      </c>
      <c r="M103" s="508">
        <v>497</v>
      </c>
      <c r="N103" s="508">
        <v>0</v>
      </c>
      <c r="O103" s="507">
        <v>12021</v>
      </c>
      <c r="P103" s="507">
        <v>0</v>
      </c>
      <c r="Q103" s="508">
        <v>0</v>
      </c>
      <c r="R103" s="507">
        <v>0</v>
      </c>
      <c r="S103" s="496">
        <v>0</v>
      </c>
      <c r="T103">
        <v>0</v>
      </c>
      <c r="U103">
        <v>31379</v>
      </c>
      <c r="V103"/>
    </row>
    <row r="104" spans="1:22" x14ac:dyDescent="0.25">
      <c r="A104" s="498" t="s">
        <v>111</v>
      </c>
      <c r="B104" s="504" t="s">
        <v>58</v>
      </c>
      <c r="C104" s="504">
        <v>1539</v>
      </c>
      <c r="D104" s="501">
        <v>432</v>
      </c>
      <c r="E104" s="501">
        <v>350</v>
      </c>
      <c r="F104" s="501">
        <v>172</v>
      </c>
      <c r="G104" s="501">
        <v>160</v>
      </c>
      <c r="H104" s="501">
        <v>15</v>
      </c>
      <c r="I104" s="504">
        <v>2668</v>
      </c>
      <c r="J104" s="504">
        <v>0</v>
      </c>
      <c r="K104" s="501">
        <v>0</v>
      </c>
      <c r="L104" s="501">
        <v>0</v>
      </c>
      <c r="M104" s="501">
        <v>11</v>
      </c>
      <c r="N104" s="501">
        <v>443</v>
      </c>
      <c r="O104" s="504">
        <v>454</v>
      </c>
      <c r="P104" s="504">
        <v>0</v>
      </c>
      <c r="Q104" s="501">
        <v>0</v>
      </c>
      <c r="R104" s="504">
        <v>0</v>
      </c>
      <c r="S104" s="495">
        <v>0</v>
      </c>
      <c r="T104">
        <v>0</v>
      </c>
      <c r="U104">
        <v>3122</v>
      </c>
      <c r="V104"/>
    </row>
    <row r="105" spans="1:22" x14ac:dyDescent="0.25">
      <c r="A105" s="502"/>
      <c r="B105" s="507" t="s">
        <v>13</v>
      </c>
      <c r="C105" s="507">
        <v>1334</v>
      </c>
      <c r="D105" s="508">
        <v>510</v>
      </c>
      <c r="E105" s="508">
        <v>295</v>
      </c>
      <c r="F105" s="508">
        <v>210</v>
      </c>
      <c r="G105" s="508">
        <v>240</v>
      </c>
      <c r="H105" s="508">
        <v>31</v>
      </c>
      <c r="I105" s="507">
        <v>2620</v>
      </c>
      <c r="J105" s="507">
        <v>0</v>
      </c>
      <c r="K105" s="508">
        <v>0</v>
      </c>
      <c r="L105" s="508">
        <v>0</v>
      </c>
      <c r="M105" s="508">
        <v>13</v>
      </c>
      <c r="N105" s="508">
        <v>699</v>
      </c>
      <c r="O105" s="507">
        <v>712</v>
      </c>
      <c r="P105" s="507">
        <v>0</v>
      </c>
      <c r="Q105" s="508">
        <v>0</v>
      </c>
      <c r="R105" s="507">
        <v>0</v>
      </c>
      <c r="S105" s="496">
        <v>0</v>
      </c>
      <c r="T105">
        <v>0</v>
      </c>
      <c r="U105">
        <v>3332</v>
      </c>
      <c r="V105"/>
    </row>
    <row r="106" spans="1:22" x14ac:dyDescent="0.25">
      <c r="A106" s="502"/>
      <c r="B106" s="507" t="s">
        <v>61</v>
      </c>
      <c r="C106" s="507">
        <v>1019</v>
      </c>
      <c r="D106" s="508">
        <v>540</v>
      </c>
      <c r="E106" s="508">
        <v>360</v>
      </c>
      <c r="F106" s="508">
        <v>203</v>
      </c>
      <c r="G106" s="508">
        <v>189</v>
      </c>
      <c r="H106" s="508">
        <v>15</v>
      </c>
      <c r="I106" s="507">
        <v>2326</v>
      </c>
      <c r="J106" s="507">
        <v>0</v>
      </c>
      <c r="K106" s="508">
        <v>0</v>
      </c>
      <c r="L106" s="508">
        <v>0</v>
      </c>
      <c r="M106" s="508">
        <v>10</v>
      </c>
      <c r="N106" s="508">
        <v>678</v>
      </c>
      <c r="O106" s="507">
        <v>688</v>
      </c>
      <c r="P106" s="507">
        <v>0</v>
      </c>
      <c r="Q106" s="508">
        <v>0</v>
      </c>
      <c r="R106" s="507">
        <v>0</v>
      </c>
      <c r="S106" s="496">
        <v>0</v>
      </c>
      <c r="T106">
        <v>0</v>
      </c>
      <c r="U106">
        <v>3014</v>
      </c>
      <c r="V106"/>
    </row>
    <row r="107" spans="1:22" x14ac:dyDescent="0.25">
      <c r="A107" s="502"/>
      <c r="B107" s="507" t="s">
        <v>63</v>
      </c>
      <c r="C107" s="507">
        <v>302</v>
      </c>
      <c r="D107" s="508">
        <v>245</v>
      </c>
      <c r="E107" s="508">
        <v>181</v>
      </c>
      <c r="F107" s="508">
        <v>83</v>
      </c>
      <c r="G107" s="508">
        <v>39</v>
      </c>
      <c r="H107" s="508">
        <v>25</v>
      </c>
      <c r="I107" s="507">
        <v>875</v>
      </c>
      <c r="J107" s="507">
        <v>0</v>
      </c>
      <c r="K107" s="508">
        <v>0</v>
      </c>
      <c r="L107" s="508">
        <v>0</v>
      </c>
      <c r="M107" s="508">
        <v>0</v>
      </c>
      <c r="N107" s="508">
        <v>520</v>
      </c>
      <c r="O107" s="507">
        <v>520</v>
      </c>
      <c r="P107" s="507">
        <v>0</v>
      </c>
      <c r="Q107" s="508">
        <v>0</v>
      </c>
      <c r="R107" s="507">
        <v>0</v>
      </c>
      <c r="S107" s="496">
        <v>0</v>
      </c>
      <c r="T107">
        <v>0</v>
      </c>
      <c r="U107">
        <v>1395</v>
      </c>
      <c r="V107"/>
    </row>
    <row r="108" spans="1:22" x14ac:dyDescent="0.25">
      <c r="A108" s="502"/>
      <c r="B108" s="507" t="s">
        <v>65</v>
      </c>
      <c r="C108" s="507">
        <v>238</v>
      </c>
      <c r="D108" s="508">
        <v>10</v>
      </c>
      <c r="E108" s="508">
        <v>0</v>
      </c>
      <c r="F108" s="508">
        <v>2</v>
      </c>
      <c r="G108" s="508">
        <v>56</v>
      </c>
      <c r="H108" s="508">
        <v>1</v>
      </c>
      <c r="I108" s="507">
        <v>307</v>
      </c>
      <c r="J108" s="507">
        <v>0</v>
      </c>
      <c r="K108" s="508">
        <v>0</v>
      </c>
      <c r="L108" s="508">
        <v>0</v>
      </c>
      <c r="M108" s="508">
        <v>0</v>
      </c>
      <c r="N108" s="508">
        <v>2</v>
      </c>
      <c r="O108" s="507">
        <v>2</v>
      </c>
      <c r="P108" s="507">
        <v>0</v>
      </c>
      <c r="Q108" s="508">
        <v>0</v>
      </c>
      <c r="R108" s="507">
        <v>0</v>
      </c>
      <c r="S108" s="496">
        <v>0</v>
      </c>
      <c r="T108">
        <v>0</v>
      </c>
      <c r="U108">
        <v>309</v>
      </c>
      <c r="V108"/>
    </row>
    <row r="109" spans="1:22" x14ac:dyDescent="0.25">
      <c r="A109" s="502"/>
      <c r="B109" s="507" t="s">
        <v>67</v>
      </c>
      <c r="C109" s="507">
        <v>0</v>
      </c>
      <c r="D109" s="508">
        <v>0</v>
      </c>
      <c r="E109" s="508">
        <v>0</v>
      </c>
      <c r="F109" s="508">
        <v>0</v>
      </c>
      <c r="G109" s="508">
        <v>0</v>
      </c>
      <c r="H109" s="508">
        <v>0</v>
      </c>
      <c r="I109" s="507">
        <v>0</v>
      </c>
      <c r="J109" s="507">
        <v>0</v>
      </c>
      <c r="K109" s="508">
        <v>0</v>
      </c>
      <c r="L109" s="508">
        <v>0</v>
      </c>
      <c r="M109" s="508">
        <v>0</v>
      </c>
      <c r="N109" s="508">
        <v>0</v>
      </c>
      <c r="O109" s="507">
        <v>0</v>
      </c>
      <c r="P109" s="507">
        <v>0</v>
      </c>
      <c r="Q109" s="508">
        <v>0</v>
      </c>
      <c r="R109" s="507">
        <v>0</v>
      </c>
      <c r="S109" s="496">
        <v>0</v>
      </c>
      <c r="T109">
        <v>0</v>
      </c>
      <c r="U109">
        <v>0</v>
      </c>
      <c r="V109"/>
    </row>
    <row r="110" spans="1:22" x14ac:dyDescent="0.25">
      <c r="A110" s="502"/>
      <c r="B110" s="507" t="s">
        <v>69</v>
      </c>
      <c r="C110" s="507">
        <v>4432</v>
      </c>
      <c r="D110" s="508">
        <v>1737</v>
      </c>
      <c r="E110" s="508">
        <v>1186</v>
      </c>
      <c r="F110" s="508">
        <v>670</v>
      </c>
      <c r="G110" s="508">
        <v>684</v>
      </c>
      <c r="H110" s="508">
        <v>87</v>
      </c>
      <c r="I110" s="507">
        <v>8796</v>
      </c>
      <c r="J110" s="507">
        <v>0</v>
      </c>
      <c r="K110" s="508">
        <v>0</v>
      </c>
      <c r="L110" s="508">
        <v>0</v>
      </c>
      <c r="M110" s="508">
        <v>34</v>
      </c>
      <c r="N110" s="508">
        <v>2342</v>
      </c>
      <c r="O110" s="507">
        <v>2376</v>
      </c>
      <c r="P110" s="507">
        <v>0</v>
      </c>
      <c r="Q110" s="508">
        <v>0</v>
      </c>
      <c r="R110" s="507">
        <v>0</v>
      </c>
      <c r="S110" s="496">
        <v>0</v>
      </c>
      <c r="T110">
        <v>0</v>
      </c>
      <c r="U110">
        <v>11172</v>
      </c>
      <c r="V110"/>
    </row>
    <row r="111" spans="1:22" x14ac:dyDescent="0.25">
      <c r="A111" s="498" t="s">
        <v>110</v>
      </c>
      <c r="B111" s="504" t="s">
        <v>58</v>
      </c>
      <c r="C111" s="504">
        <v>292</v>
      </c>
      <c r="D111" s="501">
        <v>0</v>
      </c>
      <c r="E111" s="501">
        <v>203</v>
      </c>
      <c r="F111" s="501">
        <v>0</v>
      </c>
      <c r="G111" s="501">
        <v>86</v>
      </c>
      <c r="H111" s="501">
        <v>133</v>
      </c>
      <c r="I111" s="504">
        <v>714</v>
      </c>
      <c r="J111" s="504">
        <v>41</v>
      </c>
      <c r="K111" s="501">
        <v>0</v>
      </c>
      <c r="L111" s="501">
        <v>22</v>
      </c>
      <c r="M111" s="501">
        <v>54</v>
      </c>
      <c r="N111" s="501">
        <v>0</v>
      </c>
      <c r="O111" s="504">
        <v>117</v>
      </c>
      <c r="P111" s="504">
        <v>0</v>
      </c>
      <c r="Q111" s="501">
        <v>0</v>
      </c>
      <c r="R111" s="504">
        <v>0</v>
      </c>
      <c r="S111" s="495">
        <v>0</v>
      </c>
      <c r="T111">
        <v>0</v>
      </c>
      <c r="U111">
        <v>831</v>
      </c>
      <c r="V111"/>
    </row>
    <row r="112" spans="1:22" x14ac:dyDescent="0.25">
      <c r="A112" s="502"/>
      <c r="B112" s="507" t="s">
        <v>13</v>
      </c>
      <c r="C112" s="507">
        <v>262</v>
      </c>
      <c r="D112" s="508">
        <v>0</v>
      </c>
      <c r="E112" s="508">
        <v>118</v>
      </c>
      <c r="F112" s="508">
        <v>0</v>
      </c>
      <c r="G112" s="508">
        <v>77</v>
      </c>
      <c r="H112" s="508">
        <v>149</v>
      </c>
      <c r="I112" s="507">
        <v>606</v>
      </c>
      <c r="J112" s="507">
        <v>11</v>
      </c>
      <c r="K112" s="508">
        <v>0</v>
      </c>
      <c r="L112" s="508">
        <v>9</v>
      </c>
      <c r="M112" s="508">
        <v>48</v>
      </c>
      <c r="N112" s="508">
        <v>0</v>
      </c>
      <c r="O112" s="507">
        <v>68</v>
      </c>
      <c r="P112" s="507">
        <v>0</v>
      </c>
      <c r="Q112" s="508">
        <v>0</v>
      </c>
      <c r="R112" s="507">
        <v>0</v>
      </c>
      <c r="S112" s="496">
        <v>0</v>
      </c>
      <c r="T112">
        <v>0</v>
      </c>
      <c r="U112">
        <v>674</v>
      </c>
      <c r="V112"/>
    </row>
    <row r="113" spans="1:22" x14ac:dyDescent="0.25">
      <c r="A113" s="502"/>
      <c r="B113" s="507" t="s">
        <v>61</v>
      </c>
      <c r="C113" s="507">
        <v>360</v>
      </c>
      <c r="D113" s="508">
        <v>0</v>
      </c>
      <c r="E113" s="508">
        <v>117</v>
      </c>
      <c r="F113" s="508">
        <v>0</v>
      </c>
      <c r="G113" s="508">
        <v>109</v>
      </c>
      <c r="H113" s="508">
        <v>213</v>
      </c>
      <c r="I113" s="507">
        <v>799</v>
      </c>
      <c r="J113" s="507">
        <v>31</v>
      </c>
      <c r="K113" s="508">
        <v>0</v>
      </c>
      <c r="L113" s="508">
        <v>7</v>
      </c>
      <c r="M113" s="508">
        <v>117</v>
      </c>
      <c r="N113" s="508">
        <v>0</v>
      </c>
      <c r="O113" s="507">
        <v>155</v>
      </c>
      <c r="P113" s="507">
        <v>0</v>
      </c>
      <c r="Q113" s="508">
        <v>0</v>
      </c>
      <c r="R113" s="507">
        <v>0</v>
      </c>
      <c r="S113" s="496">
        <v>0</v>
      </c>
      <c r="T113">
        <v>0</v>
      </c>
      <c r="U113">
        <v>954</v>
      </c>
      <c r="V113"/>
    </row>
    <row r="114" spans="1:22" x14ac:dyDescent="0.25">
      <c r="A114" s="502"/>
      <c r="B114" s="507" t="s">
        <v>63</v>
      </c>
      <c r="C114" s="507">
        <v>51</v>
      </c>
      <c r="D114" s="508">
        <v>0</v>
      </c>
      <c r="E114" s="508">
        <v>62</v>
      </c>
      <c r="F114" s="508">
        <v>0</v>
      </c>
      <c r="G114" s="508">
        <v>15</v>
      </c>
      <c r="H114" s="508">
        <v>79</v>
      </c>
      <c r="I114" s="507">
        <v>207</v>
      </c>
      <c r="J114" s="507">
        <v>37</v>
      </c>
      <c r="K114" s="508">
        <v>0</v>
      </c>
      <c r="L114" s="508">
        <v>24</v>
      </c>
      <c r="M114" s="508">
        <v>125</v>
      </c>
      <c r="N114" s="508">
        <v>0</v>
      </c>
      <c r="O114" s="507">
        <v>186</v>
      </c>
      <c r="P114" s="507">
        <v>0</v>
      </c>
      <c r="Q114" s="508">
        <v>0</v>
      </c>
      <c r="R114" s="507">
        <v>0</v>
      </c>
      <c r="S114" s="496">
        <v>0</v>
      </c>
      <c r="T114">
        <v>0</v>
      </c>
      <c r="U114">
        <v>393</v>
      </c>
      <c r="V114"/>
    </row>
    <row r="115" spans="1:22" x14ac:dyDescent="0.25">
      <c r="A115" s="502"/>
      <c r="B115" s="507" t="s">
        <v>65</v>
      </c>
      <c r="C115" s="507">
        <v>25</v>
      </c>
      <c r="D115" s="508">
        <v>0</v>
      </c>
      <c r="E115" s="508">
        <v>0</v>
      </c>
      <c r="F115" s="508">
        <v>0</v>
      </c>
      <c r="G115" s="508">
        <v>16</v>
      </c>
      <c r="H115" s="508">
        <v>20</v>
      </c>
      <c r="I115" s="507">
        <v>61</v>
      </c>
      <c r="J115" s="507">
        <v>12</v>
      </c>
      <c r="K115" s="508">
        <v>0</v>
      </c>
      <c r="L115" s="508">
        <v>0</v>
      </c>
      <c r="M115" s="508">
        <v>35</v>
      </c>
      <c r="N115" s="508">
        <v>0</v>
      </c>
      <c r="O115" s="507">
        <v>47</v>
      </c>
      <c r="P115" s="507">
        <v>0</v>
      </c>
      <c r="Q115" s="508">
        <v>0</v>
      </c>
      <c r="R115" s="507">
        <v>0</v>
      </c>
      <c r="S115" s="496">
        <v>0</v>
      </c>
      <c r="T115">
        <v>0</v>
      </c>
      <c r="U115">
        <v>108</v>
      </c>
      <c r="V115"/>
    </row>
    <row r="116" spans="1:22" x14ac:dyDescent="0.25">
      <c r="A116" s="502"/>
      <c r="B116" s="507" t="s">
        <v>67</v>
      </c>
      <c r="C116" s="507">
        <v>0</v>
      </c>
      <c r="D116" s="508">
        <v>0</v>
      </c>
      <c r="E116" s="508">
        <v>0</v>
      </c>
      <c r="F116" s="508">
        <v>0</v>
      </c>
      <c r="G116" s="508">
        <v>0</v>
      </c>
      <c r="H116" s="508">
        <v>0</v>
      </c>
      <c r="I116" s="507">
        <v>0</v>
      </c>
      <c r="J116" s="507">
        <v>0</v>
      </c>
      <c r="K116" s="508">
        <v>0</v>
      </c>
      <c r="L116" s="508">
        <v>0</v>
      </c>
      <c r="M116" s="508">
        <v>0</v>
      </c>
      <c r="N116" s="508">
        <v>0</v>
      </c>
      <c r="O116" s="507">
        <v>0</v>
      </c>
      <c r="P116" s="507">
        <v>0</v>
      </c>
      <c r="Q116" s="508">
        <v>0</v>
      </c>
      <c r="R116" s="507">
        <v>0</v>
      </c>
      <c r="S116" s="496">
        <v>0</v>
      </c>
      <c r="T116">
        <v>0</v>
      </c>
      <c r="U116">
        <v>0</v>
      </c>
      <c r="V116"/>
    </row>
    <row r="117" spans="1:22" x14ac:dyDescent="0.25">
      <c r="A117" s="502"/>
      <c r="B117" s="507" t="s">
        <v>69</v>
      </c>
      <c r="C117" s="507">
        <v>990</v>
      </c>
      <c r="D117" s="508">
        <v>0</v>
      </c>
      <c r="E117" s="508">
        <v>500</v>
      </c>
      <c r="F117" s="508">
        <v>0</v>
      </c>
      <c r="G117" s="508">
        <v>303</v>
      </c>
      <c r="H117" s="508">
        <v>594</v>
      </c>
      <c r="I117" s="507">
        <v>2387</v>
      </c>
      <c r="J117" s="507">
        <v>132</v>
      </c>
      <c r="K117" s="508">
        <v>0</v>
      </c>
      <c r="L117" s="508">
        <v>62</v>
      </c>
      <c r="M117" s="508">
        <v>379</v>
      </c>
      <c r="N117" s="508">
        <v>0</v>
      </c>
      <c r="O117" s="507">
        <v>573</v>
      </c>
      <c r="P117" s="507">
        <v>0</v>
      </c>
      <c r="Q117" s="508">
        <v>0</v>
      </c>
      <c r="R117" s="507">
        <v>0</v>
      </c>
      <c r="S117" s="496">
        <v>0</v>
      </c>
      <c r="T117">
        <v>0</v>
      </c>
      <c r="U117">
        <v>2960</v>
      </c>
      <c r="V117"/>
    </row>
    <row r="118" spans="1:22" x14ac:dyDescent="0.25">
      <c r="A118" s="504" t="s">
        <v>59</v>
      </c>
      <c r="B118" s="500"/>
      <c r="C118" s="504">
        <v>15488</v>
      </c>
      <c r="D118" s="501">
        <v>2614</v>
      </c>
      <c r="E118" s="501">
        <v>6630</v>
      </c>
      <c r="F118" s="501">
        <v>1845</v>
      </c>
      <c r="G118" s="501">
        <v>1149</v>
      </c>
      <c r="H118" s="501">
        <v>590</v>
      </c>
      <c r="I118" s="504">
        <v>28316</v>
      </c>
      <c r="J118" s="504">
        <v>185</v>
      </c>
      <c r="K118" s="501">
        <v>2710</v>
      </c>
      <c r="L118" s="501">
        <v>1115</v>
      </c>
      <c r="M118" s="501">
        <v>290</v>
      </c>
      <c r="N118" s="501">
        <v>443</v>
      </c>
      <c r="O118" s="504">
        <v>4743</v>
      </c>
      <c r="P118" s="504">
        <v>97</v>
      </c>
      <c r="Q118" s="501">
        <v>0</v>
      </c>
      <c r="R118" s="504">
        <v>97</v>
      </c>
      <c r="S118" s="495">
        <v>0</v>
      </c>
      <c r="T118">
        <v>0</v>
      </c>
      <c r="U118">
        <v>33156</v>
      </c>
      <c r="V118"/>
    </row>
    <row r="119" spans="1:22" x14ac:dyDescent="0.25">
      <c r="A119" s="504" t="s">
        <v>60</v>
      </c>
      <c r="B119" s="500"/>
      <c r="C119" s="504">
        <v>12799</v>
      </c>
      <c r="D119" s="501">
        <v>2929</v>
      </c>
      <c r="E119" s="501">
        <v>7144</v>
      </c>
      <c r="F119" s="501">
        <v>2267</v>
      </c>
      <c r="G119" s="501">
        <v>1480</v>
      </c>
      <c r="H119" s="501">
        <v>810</v>
      </c>
      <c r="I119" s="504">
        <v>27429</v>
      </c>
      <c r="J119" s="504">
        <v>218</v>
      </c>
      <c r="K119" s="501">
        <v>2291</v>
      </c>
      <c r="L119" s="501">
        <v>1185</v>
      </c>
      <c r="M119" s="501">
        <v>245</v>
      </c>
      <c r="N119" s="501">
        <v>699</v>
      </c>
      <c r="O119" s="504">
        <v>4638</v>
      </c>
      <c r="P119" s="504">
        <v>60</v>
      </c>
      <c r="Q119" s="501">
        <v>0</v>
      </c>
      <c r="R119" s="504">
        <v>60</v>
      </c>
      <c r="S119" s="495">
        <v>0</v>
      </c>
      <c r="T119">
        <v>0</v>
      </c>
      <c r="U119">
        <v>32127</v>
      </c>
      <c r="V119"/>
    </row>
    <row r="120" spans="1:22" x14ac:dyDescent="0.25">
      <c r="A120" s="504" t="s">
        <v>62</v>
      </c>
      <c r="B120" s="500"/>
      <c r="C120" s="504">
        <v>11043</v>
      </c>
      <c r="D120" s="501">
        <v>2588</v>
      </c>
      <c r="E120" s="501">
        <v>7838</v>
      </c>
      <c r="F120" s="501">
        <v>3010</v>
      </c>
      <c r="G120" s="501">
        <v>1764</v>
      </c>
      <c r="H120" s="501">
        <v>1154</v>
      </c>
      <c r="I120" s="504">
        <v>27397</v>
      </c>
      <c r="J120" s="504">
        <v>295</v>
      </c>
      <c r="K120" s="501">
        <v>1742</v>
      </c>
      <c r="L120" s="501">
        <v>1133</v>
      </c>
      <c r="M120" s="501">
        <v>392</v>
      </c>
      <c r="N120" s="501">
        <v>678</v>
      </c>
      <c r="O120" s="504">
        <v>4240</v>
      </c>
      <c r="P120" s="504">
        <v>76</v>
      </c>
      <c r="Q120" s="501">
        <v>0</v>
      </c>
      <c r="R120" s="504">
        <v>76</v>
      </c>
      <c r="S120" s="495">
        <v>0</v>
      </c>
      <c r="T120">
        <v>0</v>
      </c>
      <c r="U120">
        <v>31713</v>
      </c>
      <c r="V120"/>
    </row>
    <row r="121" spans="1:22" x14ac:dyDescent="0.25">
      <c r="A121" s="504" t="s">
        <v>64</v>
      </c>
      <c r="B121" s="500"/>
      <c r="C121" s="504">
        <v>3423</v>
      </c>
      <c r="D121" s="501">
        <v>1028</v>
      </c>
      <c r="E121" s="501">
        <v>2894</v>
      </c>
      <c r="F121" s="501">
        <v>959</v>
      </c>
      <c r="G121" s="501">
        <v>676</v>
      </c>
      <c r="H121" s="501">
        <v>477</v>
      </c>
      <c r="I121" s="504">
        <v>9457</v>
      </c>
      <c r="J121" s="504">
        <v>569</v>
      </c>
      <c r="K121" s="501">
        <v>3415</v>
      </c>
      <c r="L121" s="501">
        <v>2013</v>
      </c>
      <c r="M121" s="501">
        <v>814</v>
      </c>
      <c r="N121" s="501">
        <v>520</v>
      </c>
      <c r="O121" s="504">
        <v>7331</v>
      </c>
      <c r="P121" s="504">
        <v>536</v>
      </c>
      <c r="Q121" s="501">
        <v>0</v>
      </c>
      <c r="R121" s="504">
        <v>536</v>
      </c>
      <c r="S121" s="495">
        <v>0</v>
      </c>
      <c r="T121">
        <v>0</v>
      </c>
      <c r="U121">
        <v>17324</v>
      </c>
      <c r="V121"/>
    </row>
    <row r="122" spans="1:22" x14ac:dyDescent="0.25">
      <c r="A122" s="504" t="s">
        <v>66</v>
      </c>
      <c r="B122" s="500"/>
      <c r="C122" s="504">
        <v>4539</v>
      </c>
      <c r="D122" s="501">
        <v>1409</v>
      </c>
      <c r="E122" s="501">
        <v>2872</v>
      </c>
      <c r="F122" s="501">
        <v>689</v>
      </c>
      <c r="G122" s="501">
        <v>503</v>
      </c>
      <c r="H122" s="501">
        <v>167</v>
      </c>
      <c r="I122" s="504">
        <v>10179</v>
      </c>
      <c r="J122" s="504">
        <v>46</v>
      </c>
      <c r="K122" s="501">
        <v>1245</v>
      </c>
      <c r="L122" s="501">
        <v>725</v>
      </c>
      <c r="M122" s="501">
        <v>172</v>
      </c>
      <c r="N122" s="501">
        <v>2</v>
      </c>
      <c r="O122" s="504">
        <v>2190</v>
      </c>
      <c r="P122" s="504">
        <v>6</v>
      </c>
      <c r="Q122" s="501">
        <v>0</v>
      </c>
      <c r="R122" s="504">
        <v>6</v>
      </c>
      <c r="S122" s="495">
        <v>0</v>
      </c>
      <c r="T122">
        <v>0</v>
      </c>
      <c r="U122">
        <v>12375</v>
      </c>
      <c r="V122"/>
    </row>
    <row r="123" spans="1:22" x14ac:dyDescent="0.25">
      <c r="A123" s="504" t="s">
        <v>68</v>
      </c>
      <c r="B123" s="500"/>
      <c r="C123" s="504">
        <v>0</v>
      </c>
      <c r="D123" s="501">
        <v>0</v>
      </c>
      <c r="E123" s="501">
        <v>0</v>
      </c>
      <c r="F123" s="501">
        <v>0</v>
      </c>
      <c r="G123" s="501">
        <v>0</v>
      </c>
      <c r="H123" s="501">
        <v>0</v>
      </c>
      <c r="I123" s="504">
        <v>0</v>
      </c>
      <c r="J123" s="504">
        <v>2452</v>
      </c>
      <c r="K123" s="501">
        <v>10929.900000000001</v>
      </c>
      <c r="L123" s="501">
        <v>6058</v>
      </c>
      <c r="M123" s="501">
        <v>2851</v>
      </c>
      <c r="N123" s="501">
        <v>0</v>
      </c>
      <c r="O123" s="504">
        <v>22290.9</v>
      </c>
      <c r="P123" s="504">
        <v>2637</v>
      </c>
      <c r="Q123" s="501">
        <v>1463</v>
      </c>
      <c r="R123" s="504">
        <v>4100</v>
      </c>
      <c r="S123" s="495">
        <v>0</v>
      </c>
      <c r="T123">
        <v>0</v>
      </c>
      <c r="U123">
        <v>26390.9</v>
      </c>
      <c r="V123"/>
    </row>
    <row r="124" spans="1:22" x14ac:dyDescent="0.25">
      <c r="A124" s="509" t="s">
        <v>70</v>
      </c>
      <c r="B124" s="510"/>
      <c r="C124" s="509">
        <v>47292</v>
      </c>
      <c r="D124" s="511">
        <v>10568</v>
      </c>
      <c r="E124" s="511">
        <v>27378</v>
      </c>
      <c r="F124" s="511">
        <v>8770</v>
      </c>
      <c r="G124" s="511">
        <v>5572</v>
      </c>
      <c r="H124" s="511">
        <v>3198</v>
      </c>
      <c r="I124" s="509">
        <v>102778</v>
      </c>
      <c r="J124" s="509">
        <v>3765</v>
      </c>
      <c r="K124" s="511">
        <v>22332.9</v>
      </c>
      <c r="L124" s="511">
        <v>12229</v>
      </c>
      <c r="M124" s="511">
        <v>4764</v>
      </c>
      <c r="N124" s="511">
        <v>2342</v>
      </c>
      <c r="O124" s="509">
        <v>45432.9</v>
      </c>
      <c r="P124" s="509">
        <v>3412</v>
      </c>
      <c r="Q124" s="511">
        <v>1463</v>
      </c>
      <c r="R124" s="509">
        <v>4875</v>
      </c>
      <c r="S124" s="497">
        <v>0</v>
      </c>
      <c r="T124">
        <v>0</v>
      </c>
      <c r="U124">
        <v>153085.9</v>
      </c>
      <c r="V124"/>
    </row>
    <row r="125" spans="1:22" x14ac:dyDescent="0.25">
      <c r="A125"/>
      <c r="B125"/>
      <c r="C125"/>
      <c r="D125"/>
      <c r="E125"/>
      <c r="F125"/>
      <c r="G125"/>
      <c r="H125"/>
      <c r="I125"/>
      <c r="J125"/>
      <c r="K125"/>
      <c r="L125"/>
      <c r="M125"/>
      <c r="N125"/>
      <c r="O125"/>
      <c r="P125"/>
      <c r="Q125"/>
      <c r="R125"/>
      <c r="S125"/>
      <c r="T125"/>
      <c r="U125"/>
      <c r="V125"/>
    </row>
    <row r="126" spans="1:22" x14ac:dyDescent="0.25">
      <c r="A126"/>
      <c r="B126"/>
      <c r="C126"/>
      <c r="D126"/>
      <c r="E126"/>
      <c r="F126"/>
      <c r="G126"/>
      <c r="H126"/>
      <c r="I126"/>
      <c r="J126"/>
      <c r="K126"/>
      <c r="L126"/>
      <c r="M126"/>
      <c r="N126"/>
      <c r="O126"/>
      <c r="P126"/>
      <c r="Q126"/>
      <c r="R126"/>
      <c r="S126"/>
      <c r="T126"/>
      <c r="U126"/>
      <c r="V126"/>
    </row>
    <row r="127" spans="1:22" x14ac:dyDescent="0.25">
      <c r="A127"/>
      <c r="B127"/>
      <c r="C127"/>
      <c r="D127"/>
      <c r="E127"/>
      <c r="F127"/>
      <c r="G127"/>
      <c r="H127"/>
      <c r="I127"/>
      <c r="J127"/>
      <c r="K127"/>
      <c r="L127"/>
      <c r="M127"/>
      <c r="N127"/>
      <c r="O127"/>
      <c r="P127"/>
      <c r="Q127"/>
      <c r="R127"/>
      <c r="S127"/>
      <c r="T127"/>
      <c r="U127"/>
      <c r="V127"/>
    </row>
    <row r="128" spans="1:22" x14ac:dyDescent="0.25">
      <c r="A128"/>
      <c r="B128"/>
      <c r="C128"/>
      <c r="D128"/>
      <c r="E128"/>
      <c r="F128"/>
      <c r="G128"/>
      <c r="H128"/>
      <c r="I128"/>
      <c r="J128"/>
      <c r="K128"/>
      <c r="L128"/>
      <c r="M128"/>
      <c r="N128"/>
      <c r="O128"/>
      <c r="P128"/>
      <c r="Q128"/>
      <c r="R128"/>
      <c r="S128"/>
      <c r="T128"/>
      <c r="U128"/>
      <c r="V128"/>
    </row>
    <row r="129" spans="1:22" x14ac:dyDescent="0.25">
      <c r="A129"/>
      <c r="B129"/>
      <c r="C129"/>
      <c r="D129"/>
      <c r="E129"/>
      <c r="F129"/>
      <c r="G129"/>
      <c r="H129"/>
      <c r="I129"/>
      <c r="J129"/>
      <c r="K129"/>
      <c r="L129"/>
      <c r="M129"/>
      <c r="N129"/>
      <c r="O129"/>
      <c r="P129"/>
      <c r="Q129"/>
      <c r="R129"/>
      <c r="S129"/>
      <c r="T129"/>
      <c r="U129"/>
      <c r="V129"/>
    </row>
    <row r="130" spans="1:22" x14ac:dyDescent="0.25">
      <c r="A130"/>
      <c r="B130"/>
      <c r="C130"/>
      <c r="D130"/>
      <c r="E130"/>
      <c r="F130"/>
      <c r="G130"/>
      <c r="H130"/>
      <c r="I130"/>
      <c r="J130"/>
      <c r="K130"/>
      <c r="L130"/>
      <c r="M130"/>
      <c r="N130"/>
      <c r="O130"/>
      <c r="P130"/>
      <c r="Q130"/>
      <c r="R130"/>
      <c r="S130"/>
      <c r="T130"/>
      <c r="U130"/>
      <c r="V130"/>
    </row>
    <row r="131" spans="1:22" x14ac:dyDescent="0.25">
      <c r="A131"/>
      <c r="B131"/>
      <c r="C131"/>
      <c r="D131"/>
      <c r="E131"/>
      <c r="F131"/>
      <c r="G131"/>
      <c r="H131"/>
      <c r="I131"/>
      <c r="J131"/>
      <c r="K131"/>
      <c r="L131"/>
      <c r="M131"/>
      <c r="N131"/>
      <c r="O131"/>
      <c r="P131"/>
      <c r="Q131"/>
      <c r="R131"/>
      <c r="S131"/>
      <c r="T131"/>
      <c r="U131"/>
      <c r="V131"/>
    </row>
  </sheetData>
  <phoneticPr fontId="21" type="noConversion"/>
  <pageMargins left="0.75" right="0.75" top="1" bottom="1" header="0.5" footer="0.5"/>
  <pageSetup scale="37" orientation="landscape" r:id="rId2"/>
  <headerFooter alignWithMargins="0">
    <oddHeader>&amp;LSREB-State Data Exchange&amp;CPreliminary Tables&amp;RSalaries</oddHeader>
    <oddFooter>&amp;LFor Agency Review Only&amp;RSeptember 2007</oddFooter>
  </headerFooter>
  <rowBreaks count="6" manualBreakCount="6">
    <brk id="80" max="16383" man="1"/>
    <brk id="82" max="16383" man="1"/>
    <brk id="89" max="16383" man="1"/>
    <brk id="96" max="16383" man="1"/>
    <brk id="103" max="16383" man="1"/>
    <brk id="110"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66"/>
  </sheetPr>
  <dimension ref="A1:V131"/>
  <sheetViews>
    <sheetView showZeros="0" zoomScale="90" zoomScaleNormal="90" workbookViewId="0">
      <pane xSplit="2" ySplit="5" topLeftCell="C51" activePane="bottomRight" state="frozen"/>
      <selection pane="topRight" activeCell="C1" sqref="C1"/>
      <selection pane="bottomLeft" activeCell="A6" sqref="A6"/>
      <selection pane="bottomRight" sqref="A1:XFD1048576"/>
    </sheetView>
  </sheetViews>
  <sheetFormatPr defaultRowHeight="15.75" x14ac:dyDescent="0.25"/>
  <cols>
    <col min="1" max="1" width="7.125" style="210" customWidth="1"/>
    <col min="2" max="2" width="18.375" style="47" customWidth="1"/>
    <col min="3" max="8" width="12.125" style="47" customWidth="1"/>
    <col min="9" max="9" width="8.875" style="47" customWidth="1"/>
    <col min="10" max="14" width="9.5" style="47" customWidth="1"/>
    <col min="15" max="15" width="8.875" style="47" customWidth="1"/>
    <col min="16" max="17" width="18.875" style="47" customWidth="1"/>
    <col min="18" max="18" width="8.875" style="47" customWidth="1"/>
    <col min="19" max="19" width="11" style="47" customWidth="1"/>
    <col min="20" max="20" width="8.875" style="47" customWidth="1"/>
    <col min="21" max="21" width="11" style="47" customWidth="1"/>
    <col min="22" max="22" width="8.875" style="47" customWidth="1"/>
    <col min="23" max="23" width="11" bestFit="1" customWidth="1"/>
  </cols>
  <sheetData>
    <row r="1" spans="1:22" x14ac:dyDescent="0.25">
      <c r="A1" s="209" t="s">
        <v>0</v>
      </c>
    </row>
    <row r="3" spans="1:22" x14ac:dyDescent="0.25">
      <c r="A3" s="498"/>
      <c r="B3" s="499"/>
      <c r="C3" s="504" t="s">
        <v>56</v>
      </c>
      <c r="D3" s="500" t="s">
        <v>95</v>
      </c>
      <c r="E3" s="500"/>
      <c r="F3" s="500"/>
      <c r="G3" s="500"/>
      <c r="H3" s="500"/>
      <c r="I3" s="500"/>
      <c r="J3" s="500"/>
      <c r="K3" s="500"/>
      <c r="L3" s="500"/>
      <c r="M3" s="500"/>
      <c r="N3" s="500"/>
      <c r="O3" s="500"/>
      <c r="P3" s="500"/>
      <c r="Q3" s="500"/>
      <c r="R3" s="500"/>
      <c r="S3" s="528"/>
      <c r="T3"/>
      <c r="U3"/>
      <c r="V3"/>
    </row>
    <row r="4" spans="1:22" x14ac:dyDescent="0.25">
      <c r="A4" s="502"/>
      <c r="B4" s="503"/>
      <c r="C4" s="504" t="s">
        <v>86</v>
      </c>
      <c r="D4" s="500"/>
      <c r="E4" s="500"/>
      <c r="F4" s="500"/>
      <c r="G4" s="500"/>
      <c r="H4" s="500"/>
      <c r="I4" s="504" t="s">
        <v>7</v>
      </c>
      <c r="J4" s="504" t="s">
        <v>322</v>
      </c>
      <c r="K4" s="500"/>
      <c r="L4" s="500"/>
      <c r="M4" s="500"/>
      <c r="N4" s="500"/>
      <c r="O4" s="504" t="s">
        <v>7</v>
      </c>
      <c r="P4" s="504" t="s">
        <v>57</v>
      </c>
      <c r="Q4" s="500"/>
      <c r="R4" s="504" t="s">
        <v>7</v>
      </c>
      <c r="S4" s="495" t="s">
        <v>11</v>
      </c>
      <c r="T4"/>
      <c r="U4"/>
      <c r="V4"/>
    </row>
    <row r="5" spans="1:22" x14ac:dyDescent="0.25">
      <c r="A5" s="498" t="s">
        <v>98</v>
      </c>
      <c r="B5" s="504" t="s">
        <v>12</v>
      </c>
      <c r="C5" s="504">
        <v>1</v>
      </c>
      <c r="D5" s="501">
        <v>2</v>
      </c>
      <c r="E5" s="501">
        <v>3</v>
      </c>
      <c r="F5" s="501">
        <v>4</v>
      </c>
      <c r="G5" s="501">
        <v>5</v>
      </c>
      <c r="H5" s="501">
        <v>6</v>
      </c>
      <c r="I5" s="505"/>
      <c r="J5" s="504">
        <v>7</v>
      </c>
      <c r="K5" s="501">
        <v>8</v>
      </c>
      <c r="L5" s="501">
        <v>9</v>
      </c>
      <c r="M5" s="501">
        <v>10</v>
      </c>
      <c r="N5" s="501">
        <v>11</v>
      </c>
      <c r="O5" s="505"/>
      <c r="P5" s="504">
        <v>12</v>
      </c>
      <c r="Q5" s="501">
        <v>13</v>
      </c>
      <c r="R5" s="505"/>
      <c r="S5" s="506"/>
      <c r="T5"/>
      <c r="U5"/>
      <c r="V5"/>
    </row>
    <row r="6" spans="1:22" x14ac:dyDescent="0.25">
      <c r="A6" s="498" t="s">
        <v>97</v>
      </c>
      <c r="B6" s="504" t="s">
        <v>278</v>
      </c>
      <c r="C6" s="504">
        <v>1003</v>
      </c>
      <c r="D6" s="501">
        <v>76</v>
      </c>
      <c r="E6" s="501">
        <v>339</v>
      </c>
      <c r="F6" s="501">
        <v>185</v>
      </c>
      <c r="G6" s="501">
        <v>61</v>
      </c>
      <c r="H6" s="501">
        <v>21</v>
      </c>
      <c r="I6" s="504">
        <v>1685</v>
      </c>
      <c r="J6" s="504">
        <v>0</v>
      </c>
      <c r="K6" s="501">
        <v>0</v>
      </c>
      <c r="L6" s="501">
        <v>0</v>
      </c>
      <c r="M6" s="501">
        <v>0</v>
      </c>
      <c r="N6" s="501">
        <v>0</v>
      </c>
      <c r="O6" s="504">
        <v>0</v>
      </c>
      <c r="P6" s="504">
        <v>0</v>
      </c>
      <c r="Q6" s="501">
        <v>0</v>
      </c>
      <c r="R6" s="504">
        <v>0</v>
      </c>
      <c r="S6" s="495">
        <v>1685</v>
      </c>
      <c r="T6"/>
      <c r="U6"/>
      <c r="V6"/>
    </row>
    <row r="7" spans="1:22" x14ac:dyDescent="0.25">
      <c r="A7" s="502"/>
      <c r="B7" s="507" t="s">
        <v>280</v>
      </c>
      <c r="C7" s="507">
        <v>916</v>
      </c>
      <c r="D7" s="508">
        <v>89</v>
      </c>
      <c r="E7" s="508">
        <v>352</v>
      </c>
      <c r="F7" s="508">
        <v>171</v>
      </c>
      <c r="G7" s="508">
        <v>66</v>
      </c>
      <c r="H7" s="508">
        <v>20</v>
      </c>
      <c r="I7" s="507">
        <v>1614</v>
      </c>
      <c r="J7" s="507">
        <v>0</v>
      </c>
      <c r="K7" s="508">
        <v>0</v>
      </c>
      <c r="L7" s="508">
        <v>0</v>
      </c>
      <c r="M7" s="508">
        <v>0</v>
      </c>
      <c r="N7" s="508">
        <v>0</v>
      </c>
      <c r="O7" s="507">
        <v>0</v>
      </c>
      <c r="P7" s="507">
        <v>0</v>
      </c>
      <c r="Q7" s="508">
        <v>0</v>
      </c>
      <c r="R7" s="507">
        <v>0</v>
      </c>
      <c r="S7" s="496">
        <v>1614</v>
      </c>
      <c r="T7"/>
      <c r="U7"/>
      <c r="V7"/>
    </row>
    <row r="8" spans="1:22" x14ac:dyDescent="0.25">
      <c r="A8" s="502"/>
      <c r="B8" s="507" t="s">
        <v>282</v>
      </c>
      <c r="C8" s="507">
        <v>905</v>
      </c>
      <c r="D8" s="508">
        <v>85</v>
      </c>
      <c r="E8" s="508">
        <v>512</v>
      </c>
      <c r="F8" s="508">
        <v>222</v>
      </c>
      <c r="G8" s="508">
        <v>97</v>
      </c>
      <c r="H8" s="508">
        <v>42</v>
      </c>
      <c r="I8" s="507">
        <v>1863</v>
      </c>
      <c r="J8" s="507">
        <v>0</v>
      </c>
      <c r="K8" s="508">
        <v>0</v>
      </c>
      <c r="L8" s="508">
        <v>0</v>
      </c>
      <c r="M8" s="508">
        <v>0</v>
      </c>
      <c r="N8" s="508">
        <v>0</v>
      </c>
      <c r="O8" s="507">
        <v>0</v>
      </c>
      <c r="P8" s="507">
        <v>0</v>
      </c>
      <c r="Q8" s="508">
        <v>0</v>
      </c>
      <c r="R8" s="507">
        <v>0</v>
      </c>
      <c r="S8" s="496">
        <v>1863</v>
      </c>
      <c r="T8"/>
      <c r="U8"/>
      <c r="V8"/>
    </row>
    <row r="9" spans="1:22" x14ac:dyDescent="0.25">
      <c r="A9" s="502"/>
      <c r="B9" s="507" t="s">
        <v>284</v>
      </c>
      <c r="C9" s="507">
        <v>382</v>
      </c>
      <c r="D9" s="508">
        <v>13</v>
      </c>
      <c r="E9" s="508">
        <v>276</v>
      </c>
      <c r="F9" s="508">
        <v>91</v>
      </c>
      <c r="G9" s="508">
        <v>12</v>
      </c>
      <c r="H9" s="508">
        <v>3</v>
      </c>
      <c r="I9" s="507">
        <v>777</v>
      </c>
      <c r="J9" s="507">
        <v>0</v>
      </c>
      <c r="K9" s="508">
        <v>0</v>
      </c>
      <c r="L9" s="508">
        <v>0</v>
      </c>
      <c r="M9" s="508">
        <v>0</v>
      </c>
      <c r="N9" s="508">
        <v>0</v>
      </c>
      <c r="O9" s="507">
        <v>0</v>
      </c>
      <c r="P9" s="507">
        <v>0</v>
      </c>
      <c r="Q9" s="508">
        <v>0</v>
      </c>
      <c r="R9" s="507">
        <v>0</v>
      </c>
      <c r="S9" s="496">
        <v>777</v>
      </c>
      <c r="T9"/>
      <c r="U9"/>
      <c r="V9"/>
    </row>
    <row r="10" spans="1:22" x14ac:dyDescent="0.25">
      <c r="A10" s="502"/>
      <c r="B10" s="507" t="s">
        <v>286</v>
      </c>
      <c r="C10" s="507">
        <v>26</v>
      </c>
      <c r="D10" s="508">
        <v>40</v>
      </c>
      <c r="E10" s="508">
        <v>70</v>
      </c>
      <c r="F10" s="508">
        <v>2</v>
      </c>
      <c r="G10" s="508">
        <v>8</v>
      </c>
      <c r="H10" s="508">
        <v>0</v>
      </c>
      <c r="I10" s="507">
        <v>146</v>
      </c>
      <c r="J10" s="507">
        <v>0</v>
      </c>
      <c r="K10" s="508">
        <v>0</v>
      </c>
      <c r="L10" s="508">
        <v>0</v>
      </c>
      <c r="M10" s="508">
        <v>0</v>
      </c>
      <c r="N10" s="508">
        <v>0</v>
      </c>
      <c r="O10" s="507">
        <v>0</v>
      </c>
      <c r="P10" s="507">
        <v>0</v>
      </c>
      <c r="Q10" s="508">
        <v>0</v>
      </c>
      <c r="R10" s="507">
        <v>0</v>
      </c>
      <c r="S10" s="496">
        <v>146</v>
      </c>
      <c r="T10"/>
      <c r="U10"/>
      <c r="V10"/>
    </row>
    <row r="11" spans="1:22" x14ac:dyDescent="0.25">
      <c r="A11" s="502"/>
      <c r="B11" s="507" t="s">
        <v>288</v>
      </c>
      <c r="C11" s="507">
        <v>0</v>
      </c>
      <c r="D11" s="508">
        <v>0</v>
      </c>
      <c r="E11" s="508">
        <v>0</v>
      </c>
      <c r="F11" s="508">
        <v>0</v>
      </c>
      <c r="G11" s="508">
        <v>0</v>
      </c>
      <c r="H11" s="508">
        <v>0</v>
      </c>
      <c r="I11" s="507">
        <v>0</v>
      </c>
      <c r="J11" s="507">
        <v>0</v>
      </c>
      <c r="K11" s="508">
        <v>561</v>
      </c>
      <c r="L11" s="508">
        <v>941</v>
      </c>
      <c r="M11" s="508">
        <v>271</v>
      </c>
      <c r="N11" s="508">
        <v>0</v>
      </c>
      <c r="O11" s="507">
        <v>1773</v>
      </c>
      <c r="P11" s="507">
        <v>76</v>
      </c>
      <c r="Q11" s="508">
        <v>85</v>
      </c>
      <c r="R11" s="507">
        <v>161</v>
      </c>
      <c r="S11" s="496">
        <v>1934</v>
      </c>
      <c r="T11"/>
      <c r="U11"/>
      <c r="V11"/>
    </row>
    <row r="12" spans="1:22" x14ac:dyDescent="0.25">
      <c r="A12" s="502"/>
      <c r="B12" s="507" t="s">
        <v>290</v>
      </c>
      <c r="C12" s="507">
        <v>3232</v>
      </c>
      <c r="D12" s="508">
        <v>303</v>
      </c>
      <c r="E12" s="508">
        <v>1549</v>
      </c>
      <c r="F12" s="508">
        <v>671</v>
      </c>
      <c r="G12" s="508">
        <v>244</v>
      </c>
      <c r="H12" s="508">
        <v>86</v>
      </c>
      <c r="I12" s="507">
        <v>6085</v>
      </c>
      <c r="J12" s="507">
        <v>0</v>
      </c>
      <c r="K12" s="508">
        <v>561</v>
      </c>
      <c r="L12" s="508">
        <v>941</v>
      </c>
      <c r="M12" s="508">
        <v>271</v>
      </c>
      <c r="N12" s="508">
        <v>0</v>
      </c>
      <c r="O12" s="507">
        <v>1773</v>
      </c>
      <c r="P12" s="507">
        <v>76</v>
      </c>
      <c r="Q12" s="508">
        <v>85</v>
      </c>
      <c r="R12" s="507">
        <v>161</v>
      </c>
      <c r="S12" s="496">
        <v>8019</v>
      </c>
      <c r="T12"/>
      <c r="U12"/>
      <c r="V12"/>
    </row>
    <row r="13" spans="1:22" x14ac:dyDescent="0.25">
      <c r="A13" s="498" t="s">
        <v>105</v>
      </c>
      <c r="B13" s="504" t="s">
        <v>278</v>
      </c>
      <c r="C13" s="504">
        <v>359</v>
      </c>
      <c r="D13" s="501">
        <v>0</v>
      </c>
      <c r="E13" s="501">
        <v>345</v>
      </c>
      <c r="F13" s="501">
        <v>131</v>
      </c>
      <c r="G13" s="501">
        <v>20</v>
      </c>
      <c r="H13" s="501">
        <v>41</v>
      </c>
      <c r="I13" s="504">
        <v>896</v>
      </c>
      <c r="J13" s="504">
        <v>0</v>
      </c>
      <c r="K13" s="501">
        <v>0</v>
      </c>
      <c r="L13" s="501">
        <v>5</v>
      </c>
      <c r="M13" s="501">
        <v>0</v>
      </c>
      <c r="N13" s="501">
        <v>0</v>
      </c>
      <c r="O13" s="504">
        <v>5</v>
      </c>
      <c r="P13" s="504">
        <v>0</v>
      </c>
      <c r="Q13" s="501">
        <v>0</v>
      </c>
      <c r="R13" s="504">
        <v>0</v>
      </c>
      <c r="S13" s="495">
        <v>901</v>
      </c>
      <c r="T13"/>
      <c r="U13"/>
      <c r="V13"/>
    </row>
    <row r="14" spans="1:22" x14ac:dyDescent="0.25">
      <c r="A14" s="502"/>
      <c r="B14" s="507" t="s">
        <v>280</v>
      </c>
      <c r="C14" s="507">
        <v>218</v>
      </c>
      <c r="D14" s="508">
        <v>0</v>
      </c>
      <c r="E14" s="508">
        <v>368</v>
      </c>
      <c r="F14" s="508">
        <v>146</v>
      </c>
      <c r="G14" s="508">
        <v>30</v>
      </c>
      <c r="H14" s="508">
        <v>82</v>
      </c>
      <c r="I14" s="507">
        <v>844</v>
      </c>
      <c r="J14" s="507">
        <v>0</v>
      </c>
      <c r="K14" s="508">
        <v>0</v>
      </c>
      <c r="L14" s="508">
        <v>9</v>
      </c>
      <c r="M14" s="508">
        <v>0</v>
      </c>
      <c r="N14" s="508">
        <v>0</v>
      </c>
      <c r="O14" s="507">
        <v>9</v>
      </c>
      <c r="P14" s="507">
        <v>0</v>
      </c>
      <c r="Q14" s="508">
        <v>0</v>
      </c>
      <c r="R14" s="507">
        <v>0</v>
      </c>
      <c r="S14" s="496">
        <v>853</v>
      </c>
      <c r="T14"/>
      <c r="U14"/>
      <c r="V14"/>
    </row>
    <row r="15" spans="1:22" x14ac:dyDescent="0.25">
      <c r="A15" s="502"/>
      <c r="B15" s="507" t="s">
        <v>282</v>
      </c>
      <c r="C15" s="507">
        <v>170</v>
      </c>
      <c r="D15" s="508">
        <v>0</v>
      </c>
      <c r="E15" s="508">
        <v>429</v>
      </c>
      <c r="F15" s="508">
        <v>208</v>
      </c>
      <c r="G15" s="508">
        <v>36</v>
      </c>
      <c r="H15" s="508">
        <v>151</v>
      </c>
      <c r="I15" s="507">
        <v>994</v>
      </c>
      <c r="J15" s="507">
        <v>0</v>
      </c>
      <c r="K15" s="508">
        <v>0</v>
      </c>
      <c r="L15" s="508">
        <v>34</v>
      </c>
      <c r="M15" s="508">
        <v>32</v>
      </c>
      <c r="N15" s="508">
        <v>0</v>
      </c>
      <c r="O15" s="507">
        <v>66</v>
      </c>
      <c r="P15" s="507">
        <v>0</v>
      </c>
      <c r="Q15" s="508">
        <v>0</v>
      </c>
      <c r="R15" s="507">
        <v>0</v>
      </c>
      <c r="S15" s="496">
        <v>1060</v>
      </c>
      <c r="T15"/>
      <c r="U15"/>
      <c r="V15"/>
    </row>
    <row r="16" spans="1:22" x14ac:dyDescent="0.25">
      <c r="A16" s="502"/>
      <c r="B16" s="507" t="s">
        <v>284</v>
      </c>
      <c r="C16" s="507">
        <v>129</v>
      </c>
      <c r="D16" s="508">
        <v>0</v>
      </c>
      <c r="E16" s="508">
        <v>296</v>
      </c>
      <c r="F16" s="508">
        <v>96</v>
      </c>
      <c r="G16" s="508">
        <v>24</v>
      </c>
      <c r="H16" s="508">
        <v>115</v>
      </c>
      <c r="I16" s="507">
        <v>660</v>
      </c>
      <c r="J16" s="507">
        <v>0</v>
      </c>
      <c r="K16" s="508">
        <v>0</v>
      </c>
      <c r="L16" s="508">
        <v>73</v>
      </c>
      <c r="M16" s="508">
        <v>78</v>
      </c>
      <c r="N16" s="508">
        <v>0</v>
      </c>
      <c r="O16" s="507">
        <v>151</v>
      </c>
      <c r="P16" s="507">
        <v>0</v>
      </c>
      <c r="Q16" s="508">
        <v>0</v>
      </c>
      <c r="R16" s="507">
        <v>0</v>
      </c>
      <c r="S16" s="496">
        <v>811</v>
      </c>
      <c r="T16"/>
      <c r="U16"/>
      <c r="V16"/>
    </row>
    <row r="17" spans="1:22" x14ac:dyDescent="0.25">
      <c r="A17" s="502"/>
      <c r="B17" s="507" t="s">
        <v>286</v>
      </c>
      <c r="C17" s="507">
        <v>76</v>
      </c>
      <c r="D17" s="508">
        <v>0</v>
      </c>
      <c r="E17" s="508">
        <v>66</v>
      </c>
      <c r="F17" s="508">
        <v>36</v>
      </c>
      <c r="G17" s="508">
        <v>41</v>
      </c>
      <c r="H17" s="508">
        <v>7</v>
      </c>
      <c r="I17" s="507">
        <v>226</v>
      </c>
      <c r="J17" s="507">
        <v>0</v>
      </c>
      <c r="K17" s="508">
        <v>0</v>
      </c>
      <c r="L17" s="508">
        <v>0</v>
      </c>
      <c r="M17" s="508">
        <v>0</v>
      </c>
      <c r="N17" s="508">
        <v>0</v>
      </c>
      <c r="O17" s="507">
        <v>0</v>
      </c>
      <c r="P17" s="507">
        <v>0</v>
      </c>
      <c r="Q17" s="508">
        <v>0</v>
      </c>
      <c r="R17" s="507">
        <v>0</v>
      </c>
      <c r="S17" s="496">
        <v>226</v>
      </c>
      <c r="T17"/>
      <c r="U17"/>
      <c r="V17"/>
    </row>
    <row r="18" spans="1:22" x14ac:dyDescent="0.25">
      <c r="A18" s="502"/>
      <c r="B18" s="507" t="s">
        <v>288</v>
      </c>
      <c r="C18" s="507">
        <v>0</v>
      </c>
      <c r="D18" s="508">
        <v>0</v>
      </c>
      <c r="E18" s="508">
        <v>0</v>
      </c>
      <c r="F18" s="508">
        <v>0</v>
      </c>
      <c r="G18" s="508">
        <v>0</v>
      </c>
      <c r="H18" s="508">
        <v>0</v>
      </c>
      <c r="I18" s="507">
        <v>0</v>
      </c>
      <c r="J18" s="507">
        <v>0</v>
      </c>
      <c r="K18" s="508">
        <v>314</v>
      </c>
      <c r="L18" s="508">
        <v>91</v>
      </c>
      <c r="M18" s="508">
        <v>790</v>
      </c>
      <c r="N18" s="508">
        <v>0</v>
      </c>
      <c r="O18" s="507">
        <v>1195</v>
      </c>
      <c r="P18" s="507">
        <v>0</v>
      </c>
      <c r="Q18" s="508">
        <v>0</v>
      </c>
      <c r="R18" s="507">
        <v>0</v>
      </c>
      <c r="S18" s="496">
        <v>1195</v>
      </c>
      <c r="T18"/>
      <c r="U18"/>
      <c r="V18"/>
    </row>
    <row r="19" spans="1:22" x14ac:dyDescent="0.25">
      <c r="A19" s="502"/>
      <c r="B19" s="507" t="s">
        <v>290</v>
      </c>
      <c r="C19" s="507">
        <v>952</v>
      </c>
      <c r="D19" s="508">
        <v>0</v>
      </c>
      <c r="E19" s="508">
        <v>1504</v>
      </c>
      <c r="F19" s="508">
        <v>617</v>
      </c>
      <c r="G19" s="508">
        <v>151</v>
      </c>
      <c r="H19" s="508">
        <v>396</v>
      </c>
      <c r="I19" s="507">
        <v>3620</v>
      </c>
      <c r="J19" s="507">
        <v>0</v>
      </c>
      <c r="K19" s="508">
        <v>314</v>
      </c>
      <c r="L19" s="508">
        <v>212</v>
      </c>
      <c r="M19" s="508">
        <v>900</v>
      </c>
      <c r="N19" s="508">
        <v>0</v>
      </c>
      <c r="O19" s="507">
        <v>1426</v>
      </c>
      <c r="P19" s="507">
        <v>0</v>
      </c>
      <c r="Q19" s="508">
        <v>0</v>
      </c>
      <c r="R19" s="507">
        <v>0</v>
      </c>
      <c r="S19" s="496">
        <v>5046</v>
      </c>
      <c r="T19"/>
      <c r="U19"/>
      <c r="V19"/>
    </row>
    <row r="20" spans="1:22" x14ac:dyDescent="0.25">
      <c r="A20" s="498" t="s">
        <v>106</v>
      </c>
      <c r="B20" s="504" t="s">
        <v>278</v>
      </c>
      <c r="C20" s="504">
        <v>379</v>
      </c>
      <c r="D20" s="501">
        <v>0</v>
      </c>
      <c r="E20" s="501">
        <v>0</v>
      </c>
      <c r="F20" s="501">
        <v>36</v>
      </c>
      <c r="G20" s="501">
        <v>0</v>
      </c>
      <c r="H20" s="501">
        <v>0</v>
      </c>
      <c r="I20" s="504">
        <v>415</v>
      </c>
      <c r="J20" s="504">
        <v>0</v>
      </c>
      <c r="K20" s="501">
        <v>0</v>
      </c>
      <c r="L20" s="501">
        <v>0</v>
      </c>
      <c r="M20" s="501">
        <v>0</v>
      </c>
      <c r="N20" s="501">
        <v>0</v>
      </c>
      <c r="O20" s="504">
        <v>0</v>
      </c>
      <c r="P20" s="504">
        <v>0</v>
      </c>
      <c r="Q20" s="501">
        <v>0</v>
      </c>
      <c r="R20" s="504">
        <v>0</v>
      </c>
      <c r="S20" s="495">
        <v>415</v>
      </c>
      <c r="T20"/>
      <c r="U20"/>
      <c r="V20"/>
    </row>
    <row r="21" spans="1:22" x14ac:dyDescent="0.25">
      <c r="A21" s="502"/>
      <c r="B21" s="507" t="s">
        <v>280</v>
      </c>
      <c r="C21" s="507">
        <v>350</v>
      </c>
      <c r="D21" s="508">
        <v>0</v>
      </c>
      <c r="E21" s="508">
        <v>0</v>
      </c>
      <c r="F21" s="508">
        <v>86</v>
      </c>
      <c r="G21" s="508">
        <v>0</v>
      </c>
      <c r="H21" s="508">
        <v>0</v>
      </c>
      <c r="I21" s="507">
        <v>436</v>
      </c>
      <c r="J21" s="507">
        <v>0</v>
      </c>
      <c r="K21" s="508">
        <v>0</v>
      </c>
      <c r="L21" s="508">
        <v>0</v>
      </c>
      <c r="M21" s="508">
        <v>0</v>
      </c>
      <c r="N21" s="508">
        <v>0</v>
      </c>
      <c r="O21" s="507">
        <v>0</v>
      </c>
      <c r="P21" s="507">
        <v>0</v>
      </c>
      <c r="Q21" s="508">
        <v>0</v>
      </c>
      <c r="R21" s="507">
        <v>0</v>
      </c>
      <c r="S21" s="496">
        <v>436</v>
      </c>
      <c r="T21"/>
      <c r="U21"/>
      <c r="V21"/>
    </row>
    <row r="22" spans="1:22" x14ac:dyDescent="0.25">
      <c r="A22" s="502"/>
      <c r="B22" s="507" t="s">
        <v>282</v>
      </c>
      <c r="C22" s="507">
        <v>290</v>
      </c>
      <c r="D22" s="508">
        <v>0</v>
      </c>
      <c r="E22" s="508">
        <v>0</v>
      </c>
      <c r="F22" s="508">
        <v>63</v>
      </c>
      <c r="G22" s="508">
        <v>0</v>
      </c>
      <c r="H22" s="508">
        <v>0</v>
      </c>
      <c r="I22" s="507">
        <v>353</v>
      </c>
      <c r="J22" s="507">
        <v>0</v>
      </c>
      <c r="K22" s="508">
        <v>0</v>
      </c>
      <c r="L22" s="508">
        <v>0</v>
      </c>
      <c r="M22" s="508">
        <v>0</v>
      </c>
      <c r="N22" s="508">
        <v>0</v>
      </c>
      <c r="O22" s="507">
        <v>0</v>
      </c>
      <c r="P22" s="507">
        <v>0</v>
      </c>
      <c r="Q22" s="508">
        <v>0</v>
      </c>
      <c r="R22" s="507">
        <v>0</v>
      </c>
      <c r="S22" s="496">
        <v>353</v>
      </c>
      <c r="T22"/>
      <c r="U22"/>
      <c r="V22"/>
    </row>
    <row r="23" spans="1:22" x14ac:dyDescent="0.25">
      <c r="A23" s="502"/>
      <c r="B23" s="507" t="s">
        <v>284</v>
      </c>
      <c r="C23" s="507">
        <v>107</v>
      </c>
      <c r="D23" s="508">
        <v>0</v>
      </c>
      <c r="E23" s="508">
        <v>0</v>
      </c>
      <c r="F23" s="508">
        <v>11</v>
      </c>
      <c r="G23" s="508">
        <v>0</v>
      </c>
      <c r="H23" s="508">
        <v>0</v>
      </c>
      <c r="I23" s="507">
        <v>118</v>
      </c>
      <c r="J23" s="507">
        <v>0</v>
      </c>
      <c r="K23" s="508">
        <v>0</v>
      </c>
      <c r="L23" s="508">
        <v>0</v>
      </c>
      <c r="M23" s="508">
        <v>0</v>
      </c>
      <c r="N23" s="508">
        <v>0</v>
      </c>
      <c r="O23" s="507">
        <v>0</v>
      </c>
      <c r="P23" s="507">
        <v>0</v>
      </c>
      <c r="Q23" s="508">
        <v>0</v>
      </c>
      <c r="R23" s="507">
        <v>0</v>
      </c>
      <c r="S23" s="496">
        <v>118</v>
      </c>
      <c r="T23"/>
      <c r="U23"/>
      <c r="V23"/>
    </row>
    <row r="24" spans="1:22" x14ac:dyDescent="0.25">
      <c r="A24" s="502"/>
      <c r="B24" s="507" t="s">
        <v>286</v>
      </c>
      <c r="C24" s="507">
        <v>0</v>
      </c>
      <c r="D24" s="508">
        <v>0</v>
      </c>
      <c r="E24" s="508">
        <v>0</v>
      </c>
      <c r="F24" s="508">
        <v>2</v>
      </c>
      <c r="G24" s="508">
        <v>0</v>
      </c>
      <c r="H24" s="508">
        <v>0</v>
      </c>
      <c r="I24" s="507">
        <v>2</v>
      </c>
      <c r="J24" s="507">
        <v>0</v>
      </c>
      <c r="K24" s="508">
        <v>0</v>
      </c>
      <c r="L24" s="508">
        <v>0</v>
      </c>
      <c r="M24" s="508">
        <v>0</v>
      </c>
      <c r="N24" s="508">
        <v>0</v>
      </c>
      <c r="O24" s="507">
        <v>0</v>
      </c>
      <c r="P24" s="507">
        <v>0</v>
      </c>
      <c r="Q24" s="508">
        <v>0</v>
      </c>
      <c r="R24" s="507">
        <v>0</v>
      </c>
      <c r="S24" s="496">
        <v>2</v>
      </c>
      <c r="T24"/>
      <c r="U24"/>
      <c r="V24"/>
    </row>
    <row r="25" spans="1:22" x14ac:dyDescent="0.25">
      <c r="A25" s="502"/>
      <c r="B25" s="507" t="s">
        <v>288</v>
      </c>
      <c r="C25" s="507">
        <v>0</v>
      </c>
      <c r="D25" s="508">
        <v>0</v>
      </c>
      <c r="E25" s="508">
        <v>0</v>
      </c>
      <c r="F25" s="508">
        <v>0</v>
      </c>
      <c r="G25" s="508">
        <v>0</v>
      </c>
      <c r="H25" s="508">
        <v>0</v>
      </c>
      <c r="I25" s="507">
        <v>0</v>
      </c>
      <c r="J25" s="507">
        <v>0</v>
      </c>
      <c r="K25" s="508">
        <v>179</v>
      </c>
      <c r="L25" s="508">
        <v>121</v>
      </c>
      <c r="M25" s="508">
        <v>84</v>
      </c>
      <c r="N25" s="508">
        <v>0</v>
      </c>
      <c r="O25" s="507">
        <v>384</v>
      </c>
      <c r="P25" s="507">
        <v>0</v>
      </c>
      <c r="Q25" s="508">
        <v>0</v>
      </c>
      <c r="R25" s="507">
        <v>0</v>
      </c>
      <c r="S25" s="496">
        <v>384</v>
      </c>
      <c r="T25"/>
      <c r="U25"/>
      <c r="V25"/>
    </row>
    <row r="26" spans="1:22" x14ac:dyDescent="0.25">
      <c r="A26" s="502"/>
      <c r="B26" s="507" t="s">
        <v>290</v>
      </c>
      <c r="C26" s="507">
        <v>1126</v>
      </c>
      <c r="D26" s="508">
        <v>0</v>
      </c>
      <c r="E26" s="508">
        <v>0</v>
      </c>
      <c r="F26" s="508">
        <v>198</v>
      </c>
      <c r="G26" s="508">
        <v>0</v>
      </c>
      <c r="H26" s="508">
        <v>0</v>
      </c>
      <c r="I26" s="507">
        <v>1324</v>
      </c>
      <c r="J26" s="507">
        <v>0</v>
      </c>
      <c r="K26" s="508">
        <v>179</v>
      </c>
      <c r="L26" s="508">
        <v>121</v>
      </c>
      <c r="M26" s="508">
        <v>84</v>
      </c>
      <c r="N26" s="508">
        <v>0</v>
      </c>
      <c r="O26" s="507">
        <v>384</v>
      </c>
      <c r="P26" s="507">
        <v>0</v>
      </c>
      <c r="Q26" s="508">
        <v>0</v>
      </c>
      <c r="R26" s="507">
        <v>0</v>
      </c>
      <c r="S26" s="496">
        <v>1708</v>
      </c>
      <c r="T26"/>
      <c r="U26"/>
      <c r="V26"/>
    </row>
    <row r="27" spans="1:22" x14ac:dyDescent="0.25">
      <c r="A27" s="498" t="s">
        <v>114</v>
      </c>
      <c r="B27" s="504" t="s">
        <v>278</v>
      </c>
      <c r="C27" s="504">
        <v>1944</v>
      </c>
      <c r="D27" s="501">
        <v>193</v>
      </c>
      <c r="E27" s="501">
        <v>304</v>
      </c>
      <c r="F27" s="501">
        <v>64</v>
      </c>
      <c r="G27" s="501">
        <v>0</v>
      </c>
      <c r="H27" s="501">
        <v>24</v>
      </c>
      <c r="I27" s="504">
        <v>2529</v>
      </c>
      <c r="J27" s="504">
        <v>0</v>
      </c>
      <c r="K27" s="501">
        <v>0</v>
      </c>
      <c r="L27" s="501">
        <v>0</v>
      </c>
      <c r="M27" s="501">
        <v>0</v>
      </c>
      <c r="N27" s="501">
        <v>0</v>
      </c>
      <c r="O27" s="504">
        <v>0</v>
      </c>
      <c r="P27" s="504">
        <v>0</v>
      </c>
      <c r="Q27" s="501">
        <v>0</v>
      </c>
      <c r="R27" s="504">
        <v>0</v>
      </c>
      <c r="S27" s="495">
        <v>2529</v>
      </c>
      <c r="T27"/>
      <c r="U27"/>
      <c r="V27"/>
    </row>
    <row r="28" spans="1:22" x14ac:dyDescent="0.25">
      <c r="A28" s="502"/>
      <c r="B28" s="507" t="s">
        <v>280</v>
      </c>
      <c r="C28" s="507">
        <v>1876</v>
      </c>
      <c r="D28" s="508">
        <v>230</v>
      </c>
      <c r="E28" s="508">
        <v>403</v>
      </c>
      <c r="F28" s="508">
        <v>95</v>
      </c>
      <c r="G28" s="508">
        <v>0</v>
      </c>
      <c r="H28" s="508">
        <v>24</v>
      </c>
      <c r="I28" s="507">
        <v>2628</v>
      </c>
      <c r="J28" s="507">
        <v>0</v>
      </c>
      <c r="K28" s="508">
        <v>0</v>
      </c>
      <c r="L28" s="508">
        <v>0</v>
      </c>
      <c r="M28" s="508">
        <v>0</v>
      </c>
      <c r="N28" s="508">
        <v>0</v>
      </c>
      <c r="O28" s="507">
        <v>0</v>
      </c>
      <c r="P28" s="507">
        <v>0</v>
      </c>
      <c r="Q28" s="508">
        <v>0</v>
      </c>
      <c r="R28" s="507">
        <v>0</v>
      </c>
      <c r="S28" s="496">
        <v>2628</v>
      </c>
      <c r="T28"/>
      <c r="U28"/>
      <c r="V28"/>
    </row>
    <row r="29" spans="1:22" x14ac:dyDescent="0.25">
      <c r="A29" s="502"/>
      <c r="B29" s="507" t="s">
        <v>282</v>
      </c>
      <c r="C29" s="507">
        <v>1546</v>
      </c>
      <c r="D29" s="508">
        <v>166</v>
      </c>
      <c r="E29" s="508">
        <v>388</v>
      </c>
      <c r="F29" s="508">
        <v>124</v>
      </c>
      <c r="G29" s="508">
        <v>0</v>
      </c>
      <c r="H29" s="508">
        <v>22</v>
      </c>
      <c r="I29" s="507">
        <v>2246</v>
      </c>
      <c r="J29" s="507">
        <v>0</v>
      </c>
      <c r="K29" s="508">
        <v>0</v>
      </c>
      <c r="L29" s="508">
        <v>0</v>
      </c>
      <c r="M29" s="508">
        <v>0</v>
      </c>
      <c r="N29" s="508">
        <v>0</v>
      </c>
      <c r="O29" s="507">
        <v>0</v>
      </c>
      <c r="P29" s="507">
        <v>0</v>
      </c>
      <c r="Q29" s="508">
        <v>0</v>
      </c>
      <c r="R29" s="507">
        <v>0</v>
      </c>
      <c r="S29" s="496">
        <v>2246</v>
      </c>
      <c r="T29"/>
      <c r="U29"/>
      <c r="V29"/>
    </row>
    <row r="30" spans="1:22" x14ac:dyDescent="0.25">
      <c r="A30" s="502"/>
      <c r="B30" s="507" t="s">
        <v>284</v>
      </c>
      <c r="C30" s="507">
        <v>659</v>
      </c>
      <c r="D30" s="508">
        <v>182</v>
      </c>
      <c r="E30" s="508">
        <v>186</v>
      </c>
      <c r="F30" s="508">
        <v>90</v>
      </c>
      <c r="G30" s="508">
        <v>0</v>
      </c>
      <c r="H30" s="508">
        <v>1</v>
      </c>
      <c r="I30" s="507">
        <v>1118</v>
      </c>
      <c r="J30" s="507">
        <v>0</v>
      </c>
      <c r="K30" s="508">
        <v>0</v>
      </c>
      <c r="L30" s="508">
        <v>0</v>
      </c>
      <c r="M30" s="508">
        <v>0</v>
      </c>
      <c r="N30" s="508">
        <v>0</v>
      </c>
      <c r="O30" s="507">
        <v>0</v>
      </c>
      <c r="P30" s="507">
        <v>0</v>
      </c>
      <c r="Q30" s="508">
        <v>0</v>
      </c>
      <c r="R30" s="507">
        <v>0</v>
      </c>
      <c r="S30" s="496">
        <v>1118</v>
      </c>
      <c r="T30"/>
      <c r="U30"/>
      <c r="V30"/>
    </row>
    <row r="31" spans="1:22" x14ac:dyDescent="0.25">
      <c r="A31" s="502"/>
      <c r="B31" s="507" t="s">
        <v>286</v>
      </c>
      <c r="C31" s="507">
        <v>537</v>
      </c>
      <c r="D31" s="508">
        <v>3</v>
      </c>
      <c r="E31" s="508">
        <v>45</v>
      </c>
      <c r="F31" s="508">
        <v>0</v>
      </c>
      <c r="G31" s="508">
        <v>0</v>
      </c>
      <c r="H31" s="508">
        <v>0</v>
      </c>
      <c r="I31" s="507">
        <v>585</v>
      </c>
      <c r="J31" s="507">
        <v>0</v>
      </c>
      <c r="K31" s="508">
        <v>0</v>
      </c>
      <c r="L31" s="508">
        <v>0</v>
      </c>
      <c r="M31" s="508">
        <v>0</v>
      </c>
      <c r="N31" s="508">
        <v>0</v>
      </c>
      <c r="O31" s="507">
        <v>0</v>
      </c>
      <c r="P31" s="507">
        <v>0</v>
      </c>
      <c r="Q31" s="508">
        <v>0</v>
      </c>
      <c r="R31" s="507">
        <v>0</v>
      </c>
      <c r="S31" s="496">
        <v>585</v>
      </c>
      <c r="T31"/>
      <c r="U31"/>
      <c r="V31"/>
    </row>
    <row r="32" spans="1:22" x14ac:dyDescent="0.25">
      <c r="A32" s="502"/>
      <c r="B32" s="507" t="s">
        <v>288</v>
      </c>
      <c r="C32" s="507">
        <v>0</v>
      </c>
      <c r="D32" s="508">
        <v>0</v>
      </c>
      <c r="E32" s="508">
        <v>0</v>
      </c>
      <c r="F32" s="508">
        <v>0</v>
      </c>
      <c r="G32" s="508">
        <v>0</v>
      </c>
      <c r="H32" s="508">
        <v>0</v>
      </c>
      <c r="I32" s="507">
        <v>0</v>
      </c>
      <c r="J32" s="507">
        <v>2147</v>
      </c>
      <c r="K32" s="508">
        <v>2856</v>
      </c>
      <c r="L32" s="508">
        <v>433</v>
      </c>
      <c r="M32" s="508">
        <v>57</v>
      </c>
      <c r="N32" s="508">
        <v>0</v>
      </c>
      <c r="O32" s="507">
        <v>5493</v>
      </c>
      <c r="P32" s="507">
        <v>0</v>
      </c>
      <c r="Q32" s="508">
        <v>0</v>
      </c>
      <c r="R32" s="507">
        <v>0</v>
      </c>
      <c r="S32" s="496">
        <v>5493</v>
      </c>
      <c r="T32"/>
      <c r="U32"/>
      <c r="V32"/>
    </row>
    <row r="33" spans="1:22" x14ac:dyDescent="0.25">
      <c r="A33" s="502"/>
      <c r="B33" s="507" t="s">
        <v>290</v>
      </c>
      <c r="C33" s="507">
        <v>6562</v>
      </c>
      <c r="D33" s="508">
        <v>774</v>
      </c>
      <c r="E33" s="508">
        <v>1326</v>
      </c>
      <c r="F33" s="508">
        <v>373</v>
      </c>
      <c r="G33" s="508">
        <v>0</v>
      </c>
      <c r="H33" s="508">
        <v>71</v>
      </c>
      <c r="I33" s="507">
        <v>9106</v>
      </c>
      <c r="J33" s="507">
        <v>2147</v>
      </c>
      <c r="K33" s="508">
        <v>2856</v>
      </c>
      <c r="L33" s="508">
        <v>433</v>
      </c>
      <c r="M33" s="508">
        <v>57</v>
      </c>
      <c r="N33" s="508">
        <v>0</v>
      </c>
      <c r="O33" s="507">
        <v>5493</v>
      </c>
      <c r="P33" s="507">
        <v>0</v>
      </c>
      <c r="Q33" s="508">
        <v>0</v>
      </c>
      <c r="R33" s="507">
        <v>0</v>
      </c>
      <c r="S33" s="496">
        <v>14599</v>
      </c>
      <c r="T33"/>
      <c r="U33"/>
      <c r="V33"/>
    </row>
    <row r="34" spans="1:22" x14ac:dyDescent="0.25">
      <c r="A34" s="498" t="s">
        <v>112</v>
      </c>
      <c r="B34" s="504" t="s">
        <v>278</v>
      </c>
      <c r="C34" s="504">
        <v>887</v>
      </c>
      <c r="D34" s="501">
        <v>411</v>
      </c>
      <c r="E34" s="501">
        <v>399</v>
      </c>
      <c r="F34" s="501">
        <v>350</v>
      </c>
      <c r="G34" s="501">
        <v>235</v>
      </c>
      <c r="H34" s="501">
        <v>27</v>
      </c>
      <c r="I34" s="504">
        <v>2309</v>
      </c>
      <c r="J34" s="504">
        <v>78</v>
      </c>
      <c r="K34" s="501">
        <v>46</v>
      </c>
      <c r="L34" s="501">
        <v>62</v>
      </c>
      <c r="M34" s="501">
        <v>5</v>
      </c>
      <c r="N34" s="501">
        <v>0</v>
      </c>
      <c r="O34" s="504">
        <v>191</v>
      </c>
      <c r="P34" s="504">
        <v>0</v>
      </c>
      <c r="Q34" s="501">
        <v>0</v>
      </c>
      <c r="R34" s="504">
        <v>0</v>
      </c>
      <c r="S34" s="495">
        <v>2500</v>
      </c>
      <c r="T34"/>
      <c r="U34"/>
      <c r="V34"/>
    </row>
    <row r="35" spans="1:22" x14ac:dyDescent="0.25">
      <c r="A35" s="502"/>
      <c r="B35" s="507" t="s">
        <v>280</v>
      </c>
      <c r="C35" s="507">
        <v>788</v>
      </c>
      <c r="D35" s="508">
        <v>241</v>
      </c>
      <c r="E35" s="508">
        <v>400</v>
      </c>
      <c r="F35" s="508">
        <v>403</v>
      </c>
      <c r="G35" s="508">
        <v>276</v>
      </c>
      <c r="H35" s="508">
        <v>79</v>
      </c>
      <c r="I35" s="507">
        <v>2187</v>
      </c>
      <c r="J35" s="507">
        <v>126</v>
      </c>
      <c r="K35" s="508">
        <v>162</v>
      </c>
      <c r="L35" s="508">
        <v>138</v>
      </c>
      <c r="M35" s="508">
        <v>13</v>
      </c>
      <c r="N35" s="508">
        <v>0</v>
      </c>
      <c r="O35" s="507">
        <v>439</v>
      </c>
      <c r="P35" s="507">
        <v>0</v>
      </c>
      <c r="Q35" s="508">
        <v>0</v>
      </c>
      <c r="R35" s="507">
        <v>0</v>
      </c>
      <c r="S35" s="496">
        <v>2626</v>
      </c>
      <c r="T35"/>
      <c r="U35"/>
      <c r="V35"/>
    </row>
    <row r="36" spans="1:22" x14ac:dyDescent="0.25">
      <c r="A36" s="502"/>
      <c r="B36" s="507" t="s">
        <v>282</v>
      </c>
      <c r="C36" s="507">
        <v>767</v>
      </c>
      <c r="D36" s="508">
        <v>223</v>
      </c>
      <c r="E36" s="508">
        <v>552</v>
      </c>
      <c r="F36" s="508">
        <v>660</v>
      </c>
      <c r="G36" s="508">
        <v>398</v>
      </c>
      <c r="H36" s="508">
        <v>237</v>
      </c>
      <c r="I36" s="507">
        <v>2837</v>
      </c>
      <c r="J36" s="507">
        <v>189</v>
      </c>
      <c r="K36" s="508">
        <v>116</v>
      </c>
      <c r="L36" s="508">
        <v>290</v>
      </c>
      <c r="M36" s="508">
        <v>28</v>
      </c>
      <c r="N36" s="508">
        <v>0</v>
      </c>
      <c r="O36" s="507">
        <v>623</v>
      </c>
      <c r="P36" s="507">
        <v>0</v>
      </c>
      <c r="Q36" s="508">
        <v>0</v>
      </c>
      <c r="R36" s="507">
        <v>0</v>
      </c>
      <c r="S36" s="496">
        <v>3460</v>
      </c>
      <c r="T36"/>
      <c r="U36"/>
      <c r="V36"/>
    </row>
    <row r="37" spans="1:22" x14ac:dyDescent="0.25">
      <c r="A37" s="502"/>
      <c r="B37" s="507" t="s">
        <v>284</v>
      </c>
      <c r="C37" s="507">
        <v>106</v>
      </c>
      <c r="D37" s="508">
        <v>26</v>
      </c>
      <c r="E37" s="508">
        <v>221</v>
      </c>
      <c r="F37" s="508">
        <v>158</v>
      </c>
      <c r="G37" s="508">
        <v>121</v>
      </c>
      <c r="H37" s="508">
        <v>13</v>
      </c>
      <c r="I37" s="507">
        <v>645</v>
      </c>
      <c r="J37" s="507">
        <v>38</v>
      </c>
      <c r="K37" s="508">
        <v>113</v>
      </c>
      <c r="L37" s="508">
        <v>207</v>
      </c>
      <c r="M37" s="508">
        <v>21</v>
      </c>
      <c r="N37" s="508">
        <v>0</v>
      </c>
      <c r="O37" s="507">
        <v>379</v>
      </c>
      <c r="P37" s="507">
        <v>0</v>
      </c>
      <c r="Q37" s="508">
        <v>0</v>
      </c>
      <c r="R37" s="507">
        <v>0</v>
      </c>
      <c r="S37" s="496">
        <v>1024</v>
      </c>
      <c r="T37"/>
      <c r="U37"/>
      <c r="V37"/>
    </row>
    <row r="38" spans="1:22" x14ac:dyDescent="0.25">
      <c r="A38" s="502"/>
      <c r="B38" s="507" t="s">
        <v>286</v>
      </c>
      <c r="C38" s="507">
        <v>260</v>
      </c>
      <c r="D38" s="508">
        <v>74</v>
      </c>
      <c r="E38" s="508">
        <v>65</v>
      </c>
      <c r="F38" s="508">
        <v>141</v>
      </c>
      <c r="G38" s="508">
        <v>72</v>
      </c>
      <c r="H38" s="508">
        <v>14</v>
      </c>
      <c r="I38" s="507">
        <v>626</v>
      </c>
      <c r="J38" s="507">
        <v>30</v>
      </c>
      <c r="K38" s="508">
        <v>15</v>
      </c>
      <c r="L38" s="508">
        <v>43</v>
      </c>
      <c r="M38" s="508">
        <v>3</v>
      </c>
      <c r="N38" s="508">
        <v>0</v>
      </c>
      <c r="O38" s="507">
        <v>91</v>
      </c>
      <c r="P38" s="507">
        <v>0</v>
      </c>
      <c r="Q38" s="508">
        <v>0</v>
      </c>
      <c r="R38" s="507">
        <v>0</v>
      </c>
      <c r="S38" s="496">
        <v>717</v>
      </c>
      <c r="T38"/>
      <c r="U38"/>
      <c r="V38"/>
    </row>
    <row r="39" spans="1:22" x14ac:dyDescent="0.25">
      <c r="A39" s="502"/>
      <c r="B39" s="507" t="s">
        <v>288</v>
      </c>
      <c r="C39" s="507">
        <v>0</v>
      </c>
      <c r="D39" s="508">
        <v>0</v>
      </c>
      <c r="E39" s="508">
        <v>0</v>
      </c>
      <c r="F39" s="508">
        <v>0</v>
      </c>
      <c r="G39" s="508">
        <v>0</v>
      </c>
      <c r="H39" s="508">
        <v>0</v>
      </c>
      <c r="I39" s="507">
        <v>0</v>
      </c>
      <c r="J39" s="507">
        <v>0</v>
      </c>
      <c r="K39" s="508">
        <v>0</v>
      </c>
      <c r="L39" s="508">
        <v>0</v>
      </c>
      <c r="M39" s="508">
        <v>0</v>
      </c>
      <c r="N39" s="508">
        <v>0</v>
      </c>
      <c r="O39" s="507">
        <v>0</v>
      </c>
      <c r="P39" s="507">
        <v>2278</v>
      </c>
      <c r="Q39" s="508">
        <v>0</v>
      </c>
      <c r="R39" s="507">
        <v>2278</v>
      </c>
      <c r="S39" s="496">
        <v>2278</v>
      </c>
      <c r="T39"/>
      <c r="U39"/>
      <c r="V39"/>
    </row>
    <row r="40" spans="1:22" x14ac:dyDescent="0.25">
      <c r="A40" s="502"/>
      <c r="B40" s="507" t="s">
        <v>290</v>
      </c>
      <c r="C40" s="507">
        <v>2808</v>
      </c>
      <c r="D40" s="508">
        <v>975</v>
      </c>
      <c r="E40" s="508">
        <v>1637</v>
      </c>
      <c r="F40" s="508">
        <v>1712</v>
      </c>
      <c r="G40" s="508">
        <v>1102</v>
      </c>
      <c r="H40" s="508">
        <v>370</v>
      </c>
      <c r="I40" s="507">
        <v>8604</v>
      </c>
      <c r="J40" s="507">
        <v>461</v>
      </c>
      <c r="K40" s="508">
        <v>452</v>
      </c>
      <c r="L40" s="508">
        <v>740</v>
      </c>
      <c r="M40" s="508">
        <v>70</v>
      </c>
      <c r="N40" s="508">
        <v>0</v>
      </c>
      <c r="O40" s="507">
        <v>1723</v>
      </c>
      <c r="P40" s="507">
        <v>2278</v>
      </c>
      <c r="Q40" s="508">
        <v>0</v>
      </c>
      <c r="R40" s="507">
        <v>2278</v>
      </c>
      <c r="S40" s="496">
        <v>12605</v>
      </c>
      <c r="T40"/>
      <c r="U40"/>
      <c r="V40"/>
    </row>
    <row r="41" spans="1:22" x14ac:dyDescent="0.25">
      <c r="A41" s="498" t="s">
        <v>115</v>
      </c>
      <c r="B41" s="504" t="s">
        <v>278</v>
      </c>
      <c r="C41" s="504">
        <v>758</v>
      </c>
      <c r="D41" s="501">
        <v>0</v>
      </c>
      <c r="E41" s="501">
        <v>435</v>
      </c>
      <c r="F41" s="501">
        <v>111</v>
      </c>
      <c r="G41" s="501">
        <v>0</v>
      </c>
      <c r="H41" s="501">
        <v>0</v>
      </c>
      <c r="I41" s="504">
        <v>1304</v>
      </c>
      <c r="J41" s="504">
        <v>0</v>
      </c>
      <c r="K41" s="501">
        <v>154</v>
      </c>
      <c r="L41" s="501">
        <v>373</v>
      </c>
      <c r="M41" s="501">
        <v>79</v>
      </c>
      <c r="N41" s="501">
        <v>0</v>
      </c>
      <c r="O41" s="504">
        <v>606</v>
      </c>
      <c r="P41" s="504">
        <v>10</v>
      </c>
      <c r="Q41" s="501">
        <v>0</v>
      </c>
      <c r="R41" s="504">
        <v>10</v>
      </c>
      <c r="S41" s="495">
        <v>1920</v>
      </c>
      <c r="T41"/>
      <c r="U41"/>
      <c r="V41"/>
    </row>
    <row r="42" spans="1:22" x14ac:dyDescent="0.25">
      <c r="A42" s="502"/>
      <c r="B42" s="507" t="s">
        <v>280</v>
      </c>
      <c r="C42" s="507">
        <v>618</v>
      </c>
      <c r="D42" s="508">
        <v>0</v>
      </c>
      <c r="E42" s="508">
        <v>562</v>
      </c>
      <c r="F42" s="508">
        <v>192</v>
      </c>
      <c r="G42" s="508">
        <v>0</v>
      </c>
      <c r="H42" s="508">
        <v>0</v>
      </c>
      <c r="I42" s="507">
        <v>1372</v>
      </c>
      <c r="J42" s="507">
        <v>0</v>
      </c>
      <c r="K42" s="508">
        <v>218</v>
      </c>
      <c r="L42" s="508">
        <v>341</v>
      </c>
      <c r="M42" s="508">
        <v>37</v>
      </c>
      <c r="N42" s="508">
        <v>0</v>
      </c>
      <c r="O42" s="507">
        <v>596</v>
      </c>
      <c r="P42" s="507">
        <v>40</v>
      </c>
      <c r="Q42" s="508">
        <v>0</v>
      </c>
      <c r="R42" s="507">
        <v>40</v>
      </c>
      <c r="S42" s="496">
        <v>2008</v>
      </c>
      <c r="T42"/>
      <c r="U42"/>
      <c r="V42"/>
    </row>
    <row r="43" spans="1:22" x14ac:dyDescent="0.25">
      <c r="A43" s="502"/>
      <c r="B43" s="507" t="s">
        <v>282</v>
      </c>
      <c r="C43" s="507">
        <v>585</v>
      </c>
      <c r="D43" s="508">
        <v>0</v>
      </c>
      <c r="E43" s="508">
        <v>613</v>
      </c>
      <c r="F43" s="508">
        <v>190</v>
      </c>
      <c r="G43" s="508">
        <v>0</v>
      </c>
      <c r="H43" s="508">
        <v>0</v>
      </c>
      <c r="I43" s="507">
        <v>1388</v>
      </c>
      <c r="J43" s="507">
        <v>0</v>
      </c>
      <c r="K43" s="508">
        <v>74</v>
      </c>
      <c r="L43" s="508">
        <v>149</v>
      </c>
      <c r="M43" s="508">
        <v>16</v>
      </c>
      <c r="N43" s="508">
        <v>0</v>
      </c>
      <c r="O43" s="507">
        <v>239</v>
      </c>
      <c r="P43" s="507">
        <v>37</v>
      </c>
      <c r="Q43" s="508">
        <v>0</v>
      </c>
      <c r="R43" s="507">
        <v>37</v>
      </c>
      <c r="S43" s="496">
        <v>1664</v>
      </c>
      <c r="T43"/>
      <c r="U43"/>
      <c r="V43"/>
    </row>
    <row r="44" spans="1:22" x14ac:dyDescent="0.25">
      <c r="A44" s="502"/>
      <c r="B44" s="507" t="s">
        <v>284</v>
      </c>
      <c r="C44" s="507">
        <v>94</v>
      </c>
      <c r="D44" s="508">
        <v>0</v>
      </c>
      <c r="E44" s="508">
        <v>267</v>
      </c>
      <c r="F44" s="508">
        <v>18</v>
      </c>
      <c r="G44" s="508">
        <v>0</v>
      </c>
      <c r="H44" s="508">
        <v>0</v>
      </c>
      <c r="I44" s="507">
        <v>379</v>
      </c>
      <c r="J44" s="507">
        <v>0</v>
      </c>
      <c r="K44" s="508">
        <v>66</v>
      </c>
      <c r="L44" s="508">
        <v>243</v>
      </c>
      <c r="M44" s="508">
        <v>25</v>
      </c>
      <c r="N44" s="508">
        <v>0</v>
      </c>
      <c r="O44" s="507">
        <v>334</v>
      </c>
      <c r="P44" s="507">
        <v>71</v>
      </c>
      <c r="Q44" s="508">
        <v>0</v>
      </c>
      <c r="R44" s="507">
        <v>71</v>
      </c>
      <c r="S44" s="496">
        <v>784</v>
      </c>
      <c r="T44"/>
      <c r="U44"/>
      <c r="V44"/>
    </row>
    <row r="45" spans="1:22" x14ac:dyDescent="0.25">
      <c r="A45" s="502"/>
      <c r="B45" s="507" t="s">
        <v>286</v>
      </c>
      <c r="C45" s="507">
        <v>152</v>
      </c>
      <c r="D45" s="508">
        <v>0</v>
      </c>
      <c r="E45" s="508">
        <v>282</v>
      </c>
      <c r="F45" s="508">
        <v>143</v>
      </c>
      <c r="G45" s="508">
        <v>0</v>
      </c>
      <c r="H45" s="508">
        <v>0</v>
      </c>
      <c r="I45" s="507">
        <v>577</v>
      </c>
      <c r="J45" s="507">
        <v>0</v>
      </c>
      <c r="K45" s="508">
        <v>0</v>
      </c>
      <c r="L45" s="508">
        <v>0</v>
      </c>
      <c r="M45" s="508">
        <v>0</v>
      </c>
      <c r="N45" s="508">
        <v>0</v>
      </c>
      <c r="O45" s="507">
        <v>0</v>
      </c>
      <c r="P45" s="507">
        <v>0</v>
      </c>
      <c r="Q45" s="508">
        <v>0</v>
      </c>
      <c r="R45" s="507">
        <v>0</v>
      </c>
      <c r="S45" s="496">
        <v>577</v>
      </c>
      <c r="T45"/>
      <c r="U45"/>
      <c r="V45"/>
    </row>
    <row r="46" spans="1:22" x14ac:dyDescent="0.25">
      <c r="A46" s="502"/>
      <c r="B46" s="507" t="s">
        <v>288</v>
      </c>
      <c r="C46" s="507">
        <v>0</v>
      </c>
      <c r="D46" s="508">
        <v>0</v>
      </c>
      <c r="E46" s="508">
        <v>0</v>
      </c>
      <c r="F46" s="508">
        <v>0</v>
      </c>
      <c r="G46" s="508">
        <v>0</v>
      </c>
      <c r="H46" s="508">
        <v>0</v>
      </c>
      <c r="I46" s="507">
        <v>0</v>
      </c>
      <c r="J46" s="507">
        <v>0</v>
      </c>
      <c r="K46" s="508">
        <v>0</v>
      </c>
      <c r="L46" s="508">
        <v>0</v>
      </c>
      <c r="M46" s="508">
        <v>0</v>
      </c>
      <c r="N46" s="508">
        <v>0</v>
      </c>
      <c r="O46" s="507">
        <v>0</v>
      </c>
      <c r="P46" s="507">
        <v>0</v>
      </c>
      <c r="Q46" s="508">
        <v>0</v>
      </c>
      <c r="R46" s="507">
        <v>0</v>
      </c>
      <c r="S46" s="496">
        <v>0</v>
      </c>
      <c r="T46"/>
      <c r="U46"/>
      <c r="V46"/>
    </row>
    <row r="47" spans="1:22" x14ac:dyDescent="0.25">
      <c r="A47" s="502"/>
      <c r="B47" s="507" t="s">
        <v>290</v>
      </c>
      <c r="C47" s="507">
        <v>2207</v>
      </c>
      <c r="D47" s="508">
        <v>0</v>
      </c>
      <c r="E47" s="508">
        <v>2159</v>
      </c>
      <c r="F47" s="508">
        <v>654</v>
      </c>
      <c r="G47" s="508">
        <v>0</v>
      </c>
      <c r="H47" s="508">
        <v>0</v>
      </c>
      <c r="I47" s="507">
        <v>5020</v>
      </c>
      <c r="J47" s="507">
        <v>0</v>
      </c>
      <c r="K47" s="508">
        <v>512</v>
      </c>
      <c r="L47" s="508">
        <v>1106</v>
      </c>
      <c r="M47" s="508">
        <v>157</v>
      </c>
      <c r="N47" s="508">
        <v>0</v>
      </c>
      <c r="O47" s="507">
        <v>1775</v>
      </c>
      <c r="P47" s="507">
        <v>158</v>
      </c>
      <c r="Q47" s="508">
        <v>0</v>
      </c>
      <c r="R47" s="507">
        <v>158</v>
      </c>
      <c r="S47" s="496">
        <v>6953</v>
      </c>
      <c r="T47"/>
      <c r="U47"/>
      <c r="V47"/>
    </row>
    <row r="48" spans="1:22" x14ac:dyDescent="0.25">
      <c r="A48" s="498" t="s">
        <v>76</v>
      </c>
      <c r="B48" s="504" t="s">
        <v>278</v>
      </c>
      <c r="C48" s="504">
        <v>429</v>
      </c>
      <c r="D48" s="501">
        <v>356</v>
      </c>
      <c r="E48" s="501">
        <v>295</v>
      </c>
      <c r="F48" s="501">
        <v>248</v>
      </c>
      <c r="G48" s="501">
        <v>0</v>
      </c>
      <c r="H48" s="501">
        <v>20</v>
      </c>
      <c r="I48" s="504">
        <v>1348</v>
      </c>
      <c r="J48" s="504">
        <v>0</v>
      </c>
      <c r="K48" s="501">
        <v>76</v>
      </c>
      <c r="L48" s="501">
        <v>34</v>
      </c>
      <c r="M48" s="501">
        <v>13</v>
      </c>
      <c r="N48" s="501">
        <v>0</v>
      </c>
      <c r="O48" s="504">
        <v>123</v>
      </c>
      <c r="P48" s="504">
        <v>0</v>
      </c>
      <c r="Q48" s="501">
        <v>0</v>
      </c>
      <c r="R48" s="504">
        <v>0</v>
      </c>
      <c r="S48" s="495">
        <v>1471</v>
      </c>
      <c r="T48"/>
      <c r="U48"/>
      <c r="V48"/>
    </row>
    <row r="49" spans="1:22" x14ac:dyDescent="0.25">
      <c r="A49" s="502"/>
      <c r="B49" s="507" t="s">
        <v>280</v>
      </c>
      <c r="C49" s="507">
        <v>297</v>
      </c>
      <c r="D49" s="508">
        <v>342</v>
      </c>
      <c r="E49" s="508">
        <v>286</v>
      </c>
      <c r="F49" s="508">
        <v>287</v>
      </c>
      <c r="G49" s="508">
        <v>0</v>
      </c>
      <c r="H49" s="508">
        <v>28</v>
      </c>
      <c r="I49" s="507">
        <v>1240</v>
      </c>
      <c r="J49" s="507">
        <v>0</v>
      </c>
      <c r="K49" s="508">
        <v>95</v>
      </c>
      <c r="L49" s="508">
        <v>36</v>
      </c>
      <c r="M49" s="508">
        <v>43</v>
      </c>
      <c r="N49" s="508">
        <v>0</v>
      </c>
      <c r="O49" s="507">
        <v>174</v>
      </c>
      <c r="P49" s="507">
        <v>0</v>
      </c>
      <c r="Q49" s="508">
        <v>0</v>
      </c>
      <c r="R49" s="507">
        <v>0</v>
      </c>
      <c r="S49" s="496">
        <v>1414</v>
      </c>
      <c r="T49"/>
      <c r="U49"/>
      <c r="V49"/>
    </row>
    <row r="50" spans="1:22" x14ac:dyDescent="0.25">
      <c r="A50" s="502"/>
      <c r="B50" s="507" t="s">
        <v>282</v>
      </c>
      <c r="C50" s="507">
        <v>278</v>
      </c>
      <c r="D50" s="508">
        <v>367</v>
      </c>
      <c r="E50" s="508">
        <v>337</v>
      </c>
      <c r="F50" s="508">
        <v>529</v>
      </c>
      <c r="G50" s="508">
        <v>0</v>
      </c>
      <c r="H50" s="508">
        <v>36</v>
      </c>
      <c r="I50" s="507">
        <v>1547</v>
      </c>
      <c r="J50" s="507">
        <v>0</v>
      </c>
      <c r="K50" s="508">
        <v>142</v>
      </c>
      <c r="L50" s="508">
        <v>44</v>
      </c>
      <c r="M50" s="508">
        <v>67</v>
      </c>
      <c r="N50" s="508">
        <v>0</v>
      </c>
      <c r="O50" s="507">
        <v>253</v>
      </c>
      <c r="P50" s="507">
        <v>1</v>
      </c>
      <c r="Q50" s="508">
        <v>0</v>
      </c>
      <c r="R50" s="507">
        <v>1</v>
      </c>
      <c r="S50" s="496">
        <v>1801</v>
      </c>
      <c r="T50"/>
      <c r="U50"/>
      <c r="V50"/>
    </row>
    <row r="51" spans="1:22" x14ac:dyDescent="0.25">
      <c r="A51" s="502"/>
      <c r="B51" s="507" t="s">
        <v>284</v>
      </c>
      <c r="C51" s="507">
        <v>213</v>
      </c>
      <c r="D51" s="508">
        <v>300</v>
      </c>
      <c r="E51" s="508">
        <v>308</v>
      </c>
      <c r="F51" s="508">
        <v>224</v>
      </c>
      <c r="G51" s="508">
        <v>0</v>
      </c>
      <c r="H51" s="508">
        <v>13</v>
      </c>
      <c r="I51" s="507">
        <v>1058</v>
      </c>
      <c r="J51" s="507">
        <v>0</v>
      </c>
      <c r="K51" s="508">
        <v>186</v>
      </c>
      <c r="L51" s="508">
        <v>114</v>
      </c>
      <c r="M51" s="508">
        <v>87</v>
      </c>
      <c r="N51" s="508">
        <v>0</v>
      </c>
      <c r="O51" s="507">
        <v>387</v>
      </c>
      <c r="P51" s="507">
        <v>47</v>
      </c>
      <c r="Q51" s="508">
        <v>0</v>
      </c>
      <c r="R51" s="507">
        <v>47</v>
      </c>
      <c r="S51" s="496">
        <v>1492</v>
      </c>
      <c r="T51"/>
      <c r="U51"/>
      <c r="V51"/>
    </row>
    <row r="52" spans="1:22" x14ac:dyDescent="0.25">
      <c r="A52" s="502"/>
      <c r="B52" s="507" t="s">
        <v>286</v>
      </c>
      <c r="C52" s="507">
        <v>21</v>
      </c>
      <c r="D52" s="508">
        <v>16</v>
      </c>
      <c r="E52" s="508">
        <v>10</v>
      </c>
      <c r="F52" s="508">
        <v>27</v>
      </c>
      <c r="G52" s="508">
        <v>0</v>
      </c>
      <c r="H52" s="508">
        <v>0</v>
      </c>
      <c r="I52" s="507">
        <v>74</v>
      </c>
      <c r="J52" s="507">
        <v>0</v>
      </c>
      <c r="K52" s="508">
        <v>125</v>
      </c>
      <c r="L52" s="508">
        <v>0</v>
      </c>
      <c r="M52" s="508">
        <v>0</v>
      </c>
      <c r="N52" s="508">
        <v>0</v>
      </c>
      <c r="O52" s="507">
        <v>125</v>
      </c>
      <c r="P52" s="507">
        <v>5</v>
      </c>
      <c r="Q52" s="508">
        <v>0</v>
      </c>
      <c r="R52" s="507">
        <v>5</v>
      </c>
      <c r="S52" s="496">
        <v>204</v>
      </c>
      <c r="T52"/>
      <c r="U52"/>
      <c r="V52"/>
    </row>
    <row r="53" spans="1:22" x14ac:dyDescent="0.25">
      <c r="A53" s="502"/>
      <c r="B53" s="507" t="s">
        <v>288</v>
      </c>
      <c r="C53" s="507">
        <v>0</v>
      </c>
      <c r="D53" s="508">
        <v>0</v>
      </c>
      <c r="E53" s="508">
        <v>0</v>
      </c>
      <c r="F53" s="508">
        <v>0</v>
      </c>
      <c r="G53" s="508">
        <v>0</v>
      </c>
      <c r="H53" s="508">
        <v>0</v>
      </c>
      <c r="I53" s="507">
        <v>0</v>
      </c>
      <c r="J53" s="507">
        <v>0</v>
      </c>
      <c r="K53" s="508">
        <v>8</v>
      </c>
      <c r="L53" s="508">
        <v>0</v>
      </c>
      <c r="M53" s="508">
        <v>0</v>
      </c>
      <c r="N53" s="508">
        <v>0</v>
      </c>
      <c r="O53" s="507">
        <v>8</v>
      </c>
      <c r="P53" s="507">
        <v>66</v>
      </c>
      <c r="Q53" s="508">
        <v>0</v>
      </c>
      <c r="R53" s="507">
        <v>66</v>
      </c>
      <c r="S53" s="496">
        <v>74</v>
      </c>
      <c r="T53"/>
      <c r="U53"/>
      <c r="V53"/>
    </row>
    <row r="54" spans="1:22" x14ac:dyDescent="0.25">
      <c r="A54" s="502"/>
      <c r="B54" s="507" t="s">
        <v>290</v>
      </c>
      <c r="C54" s="507">
        <v>1238</v>
      </c>
      <c r="D54" s="508">
        <v>1381</v>
      </c>
      <c r="E54" s="508">
        <v>1236</v>
      </c>
      <c r="F54" s="508">
        <v>1315</v>
      </c>
      <c r="G54" s="508">
        <v>0</v>
      </c>
      <c r="H54" s="508">
        <v>97</v>
      </c>
      <c r="I54" s="507">
        <v>5267</v>
      </c>
      <c r="J54" s="507">
        <v>0</v>
      </c>
      <c r="K54" s="508">
        <v>632</v>
      </c>
      <c r="L54" s="508">
        <v>228</v>
      </c>
      <c r="M54" s="508">
        <v>210</v>
      </c>
      <c r="N54" s="508">
        <v>0</v>
      </c>
      <c r="O54" s="507">
        <v>1070</v>
      </c>
      <c r="P54" s="507">
        <v>119</v>
      </c>
      <c r="Q54" s="508">
        <v>0</v>
      </c>
      <c r="R54" s="507">
        <v>119</v>
      </c>
      <c r="S54" s="496">
        <v>6456</v>
      </c>
      <c r="T54"/>
      <c r="U54"/>
      <c r="V54"/>
    </row>
    <row r="55" spans="1:22" x14ac:dyDescent="0.25">
      <c r="A55" s="498" t="s">
        <v>107</v>
      </c>
      <c r="B55" s="504" t="s">
        <v>278</v>
      </c>
      <c r="C55" s="504">
        <v>653</v>
      </c>
      <c r="D55" s="501">
        <v>194</v>
      </c>
      <c r="E55" s="501">
        <v>189</v>
      </c>
      <c r="F55" s="501">
        <v>306</v>
      </c>
      <c r="G55" s="501">
        <v>0</v>
      </c>
      <c r="H55" s="501">
        <v>43</v>
      </c>
      <c r="I55" s="504">
        <v>1385</v>
      </c>
      <c r="J55" s="504">
        <v>0</v>
      </c>
      <c r="K55" s="501">
        <v>663</v>
      </c>
      <c r="L55" s="501">
        <v>134</v>
      </c>
      <c r="M55" s="501">
        <v>39</v>
      </c>
      <c r="N55" s="501">
        <v>0</v>
      </c>
      <c r="O55" s="504">
        <v>836</v>
      </c>
      <c r="P55" s="504">
        <v>0</v>
      </c>
      <c r="Q55" s="501">
        <v>0</v>
      </c>
      <c r="R55" s="504">
        <v>0</v>
      </c>
      <c r="S55" s="495">
        <v>2221</v>
      </c>
      <c r="T55"/>
      <c r="U55"/>
      <c r="V55"/>
    </row>
    <row r="56" spans="1:22" x14ac:dyDescent="0.25">
      <c r="A56" s="502"/>
      <c r="B56" s="507" t="s">
        <v>280</v>
      </c>
      <c r="C56" s="507">
        <v>404</v>
      </c>
      <c r="D56" s="508">
        <v>273</v>
      </c>
      <c r="E56" s="508">
        <v>160</v>
      </c>
      <c r="F56" s="508">
        <v>330</v>
      </c>
      <c r="G56" s="508">
        <v>0</v>
      </c>
      <c r="H56" s="508">
        <v>48</v>
      </c>
      <c r="I56" s="507">
        <v>1215</v>
      </c>
      <c r="J56" s="507">
        <v>0</v>
      </c>
      <c r="K56" s="508">
        <v>498</v>
      </c>
      <c r="L56" s="508">
        <v>141</v>
      </c>
      <c r="M56" s="508">
        <v>36</v>
      </c>
      <c r="N56" s="508">
        <v>0</v>
      </c>
      <c r="O56" s="507">
        <v>675</v>
      </c>
      <c r="P56" s="507">
        <v>0</v>
      </c>
      <c r="Q56" s="508">
        <v>0</v>
      </c>
      <c r="R56" s="507">
        <v>0</v>
      </c>
      <c r="S56" s="496">
        <v>1890</v>
      </c>
      <c r="T56"/>
      <c r="U56"/>
      <c r="V56"/>
    </row>
    <row r="57" spans="1:22" x14ac:dyDescent="0.25">
      <c r="A57" s="502"/>
      <c r="B57" s="507" t="s">
        <v>282</v>
      </c>
      <c r="C57" s="507">
        <v>300</v>
      </c>
      <c r="D57" s="508">
        <v>203</v>
      </c>
      <c r="E57" s="508">
        <v>293</v>
      </c>
      <c r="F57" s="508">
        <v>456</v>
      </c>
      <c r="G57" s="508">
        <v>0</v>
      </c>
      <c r="H57" s="508">
        <v>51</v>
      </c>
      <c r="I57" s="507">
        <v>1303</v>
      </c>
      <c r="J57" s="507">
        <v>0</v>
      </c>
      <c r="K57" s="508">
        <v>460</v>
      </c>
      <c r="L57" s="508">
        <v>265</v>
      </c>
      <c r="M57" s="508">
        <v>42</v>
      </c>
      <c r="N57" s="508">
        <v>0</v>
      </c>
      <c r="O57" s="507">
        <v>767</v>
      </c>
      <c r="P57" s="507">
        <v>0</v>
      </c>
      <c r="Q57" s="508">
        <v>0</v>
      </c>
      <c r="R57" s="507">
        <v>0</v>
      </c>
      <c r="S57" s="496">
        <v>2070</v>
      </c>
      <c r="T57"/>
      <c r="U57"/>
      <c r="V57"/>
    </row>
    <row r="58" spans="1:22" x14ac:dyDescent="0.25">
      <c r="A58" s="502"/>
      <c r="B58" s="507" t="s">
        <v>284</v>
      </c>
      <c r="C58" s="507">
        <v>18</v>
      </c>
      <c r="D58" s="508">
        <v>18</v>
      </c>
      <c r="E58" s="508">
        <v>21</v>
      </c>
      <c r="F58" s="508">
        <v>39</v>
      </c>
      <c r="G58" s="508">
        <v>0</v>
      </c>
      <c r="H58" s="508">
        <v>2</v>
      </c>
      <c r="I58" s="507">
        <v>98</v>
      </c>
      <c r="J58" s="507">
        <v>0</v>
      </c>
      <c r="K58" s="508">
        <v>95</v>
      </c>
      <c r="L58" s="508">
        <v>75</v>
      </c>
      <c r="M58" s="508">
        <v>9</v>
      </c>
      <c r="N58" s="508">
        <v>0</v>
      </c>
      <c r="O58" s="507">
        <v>179</v>
      </c>
      <c r="P58" s="507">
        <v>0</v>
      </c>
      <c r="Q58" s="508">
        <v>0</v>
      </c>
      <c r="R58" s="507">
        <v>0</v>
      </c>
      <c r="S58" s="496">
        <v>277</v>
      </c>
      <c r="T58"/>
      <c r="U58"/>
      <c r="V58"/>
    </row>
    <row r="59" spans="1:22" x14ac:dyDescent="0.25">
      <c r="A59" s="502"/>
      <c r="B59" s="507" t="s">
        <v>286</v>
      </c>
      <c r="C59" s="507">
        <v>238</v>
      </c>
      <c r="D59" s="508">
        <v>257</v>
      </c>
      <c r="E59" s="508">
        <v>167</v>
      </c>
      <c r="F59" s="508">
        <v>234</v>
      </c>
      <c r="G59" s="508">
        <v>0</v>
      </c>
      <c r="H59" s="508">
        <v>0</v>
      </c>
      <c r="I59" s="507">
        <v>896</v>
      </c>
      <c r="J59" s="507">
        <v>0</v>
      </c>
      <c r="K59" s="508">
        <v>1</v>
      </c>
      <c r="L59" s="508">
        <v>37</v>
      </c>
      <c r="M59" s="508">
        <v>0</v>
      </c>
      <c r="N59" s="508">
        <v>0</v>
      </c>
      <c r="O59" s="507">
        <v>38</v>
      </c>
      <c r="P59" s="507">
        <v>0</v>
      </c>
      <c r="Q59" s="508">
        <v>0</v>
      </c>
      <c r="R59" s="507">
        <v>0</v>
      </c>
      <c r="S59" s="496">
        <v>934</v>
      </c>
      <c r="T59"/>
      <c r="U59"/>
      <c r="V59"/>
    </row>
    <row r="60" spans="1:22" x14ac:dyDescent="0.25">
      <c r="A60" s="502"/>
      <c r="B60" s="507" t="s">
        <v>288</v>
      </c>
      <c r="C60" s="507">
        <v>0</v>
      </c>
      <c r="D60" s="508">
        <v>0</v>
      </c>
      <c r="E60" s="508">
        <v>0</v>
      </c>
      <c r="F60" s="508">
        <v>0</v>
      </c>
      <c r="G60" s="508">
        <v>0</v>
      </c>
      <c r="H60" s="508">
        <v>0</v>
      </c>
      <c r="I60" s="507">
        <v>0</v>
      </c>
      <c r="J60" s="507">
        <v>0</v>
      </c>
      <c r="K60" s="508">
        <v>0</v>
      </c>
      <c r="L60" s="508">
        <v>0</v>
      </c>
      <c r="M60" s="508">
        <v>0</v>
      </c>
      <c r="N60" s="508">
        <v>0</v>
      </c>
      <c r="O60" s="507">
        <v>0</v>
      </c>
      <c r="P60" s="507">
        <v>0</v>
      </c>
      <c r="Q60" s="508">
        <v>0</v>
      </c>
      <c r="R60" s="507">
        <v>0</v>
      </c>
      <c r="S60" s="496">
        <v>0</v>
      </c>
      <c r="T60"/>
      <c r="U60"/>
      <c r="V60"/>
    </row>
    <row r="61" spans="1:22" x14ac:dyDescent="0.25">
      <c r="A61" s="502"/>
      <c r="B61" s="507" t="s">
        <v>290</v>
      </c>
      <c r="C61" s="507">
        <v>1613</v>
      </c>
      <c r="D61" s="508">
        <v>945</v>
      </c>
      <c r="E61" s="508">
        <v>830</v>
      </c>
      <c r="F61" s="508">
        <v>1365</v>
      </c>
      <c r="G61" s="508">
        <v>0</v>
      </c>
      <c r="H61" s="508">
        <v>144</v>
      </c>
      <c r="I61" s="507">
        <v>4897</v>
      </c>
      <c r="J61" s="507">
        <v>0</v>
      </c>
      <c r="K61" s="508">
        <v>1717</v>
      </c>
      <c r="L61" s="508">
        <v>652</v>
      </c>
      <c r="M61" s="508">
        <v>126</v>
      </c>
      <c r="N61" s="508">
        <v>0</v>
      </c>
      <c r="O61" s="507">
        <v>2495</v>
      </c>
      <c r="P61" s="507">
        <v>0</v>
      </c>
      <c r="Q61" s="508">
        <v>0</v>
      </c>
      <c r="R61" s="507">
        <v>0</v>
      </c>
      <c r="S61" s="496">
        <v>7392</v>
      </c>
      <c r="T61"/>
      <c r="U61"/>
      <c r="V61"/>
    </row>
    <row r="62" spans="1:22" x14ac:dyDescent="0.25">
      <c r="A62" s="498" t="s">
        <v>108</v>
      </c>
      <c r="B62" s="504" t="s">
        <v>278</v>
      </c>
      <c r="C62" s="504">
        <v>357</v>
      </c>
      <c r="D62" s="501">
        <v>242</v>
      </c>
      <c r="E62" s="501">
        <v>0</v>
      </c>
      <c r="F62" s="501">
        <v>82</v>
      </c>
      <c r="G62" s="501">
        <v>27</v>
      </c>
      <c r="H62" s="501">
        <v>0</v>
      </c>
      <c r="I62" s="504">
        <v>708</v>
      </c>
      <c r="J62" s="504">
        <v>0</v>
      </c>
      <c r="K62" s="501">
        <v>0</v>
      </c>
      <c r="L62" s="501">
        <v>0</v>
      </c>
      <c r="M62" s="501">
        <v>0</v>
      </c>
      <c r="N62" s="501">
        <v>0</v>
      </c>
      <c r="O62" s="504">
        <v>0</v>
      </c>
      <c r="P62" s="504">
        <v>0</v>
      </c>
      <c r="Q62" s="501">
        <v>0</v>
      </c>
      <c r="R62" s="504">
        <v>0</v>
      </c>
      <c r="S62" s="495">
        <v>708</v>
      </c>
      <c r="T62"/>
      <c r="U62"/>
      <c r="V62"/>
    </row>
    <row r="63" spans="1:22" x14ac:dyDescent="0.25">
      <c r="A63" s="502"/>
      <c r="B63" s="507" t="s">
        <v>280</v>
      </c>
      <c r="C63" s="507">
        <v>380</v>
      </c>
      <c r="D63" s="508">
        <v>308</v>
      </c>
      <c r="E63" s="508">
        <v>0</v>
      </c>
      <c r="F63" s="508">
        <v>114</v>
      </c>
      <c r="G63" s="508">
        <v>20</v>
      </c>
      <c r="H63" s="508">
        <v>0</v>
      </c>
      <c r="I63" s="507">
        <v>822</v>
      </c>
      <c r="J63" s="507">
        <v>0</v>
      </c>
      <c r="K63" s="508">
        <v>0</v>
      </c>
      <c r="L63" s="508">
        <v>0</v>
      </c>
      <c r="M63" s="508">
        <v>0</v>
      </c>
      <c r="N63" s="508">
        <v>0</v>
      </c>
      <c r="O63" s="507">
        <v>0</v>
      </c>
      <c r="P63" s="507">
        <v>0</v>
      </c>
      <c r="Q63" s="508">
        <v>0</v>
      </c>
      <c r="R63" s="507">
        <v>0</v>
      </c>
      <c r="S63" s="496">
        <v>822</v>
      </c>
      <c r="T63"/>
      <c r="U63"/>
      <c r="V63"/>
    </row>
    <row r="64" spans="1:22" x14ac:dyDescent="0.25">
      <c r="A64" s="502"/>
      <c r="B64" s="507" t="s">
        <v>282</v>
      </c>
      <c r="C64" s="507">
        <v>488</v>
      </c>
      <c r="D64" s="508">
        <v>337</v>
      </c>
      <c r="E64" s="508">
        <v>0</v>
      </c>
      <c r="F64" s="508">
        <v>167</v>
      </c>
      <c r="G64" s="508">
        <v>34</v>
      </c>
      <c r="H64" s="508">
        <v>0</v>
      </c>
      <c r="I64" s="507">
        <v>1026</v>
      </c>
      <c r="J64" s="507">
        <v>0</v>
      </c>
      <c r="K64" s="508">
        <v>0</v>
      </c>
      <c r="L64" s="508">
        <v>0</v>
      </c>
      <c r="M64" s="508">
        <v>0</v>
      </c>
      <c r="N64" s="508">
        <v>0</v>
      </c>
      <c r="O64" s="507">
        <v>0</v>
      </c>
      <c r="P64" s="507">
        <v>0</v>
      </c>
      <c r="Q64" s="508">
        <v>0</v>
      </c>
      <c r="R64" s="507">
        <v>0</v>
      </c>
      <c r="S64" s="496">
        <v>1026</v>
      </c>
      <c r="T64"/>
      <c r="U64"/>
      <c r="V64"/>
    </row>
    <row r="65" spans="1:22" x14ac:dyDescent="0.25">
      <c r="A65" s="502"/>
      <c r="B65" s="507" t="s">
        <v>284</v>
      </c>
      <c r="C65" s="507">
        <v>272</v>
      </c>
      <c r="D65" s="508">
        <v>197</v>
      </c>
      <c r="E65" s="508">
        <v>0</v>
      </c>
      <c r="F65" s="508">
        <v>126</v>
      </c>
      <c r="G65" s="508">
        <v>49</v>
      </c>
      <c r="H65" s="508">
        <v>0</v>
      </c>
      <c r="I65" s="507">
        <v>644</v>
      </c>
      <c r="J65" s="507">
        <v>0</v>
      </c>
      <c r="K65" s="508">
        <v>0</v>
      </c>
      <c r="L65" s="508">
        <v>0</v>
      </c>
      <c r="M65" s="508">
        <v>0</v>
      </c>
      <c r="N65" s="508">
        <v>0</v>
      </c>
      <c r="O65" s="507">
        <v>0</v>
      </c>
      <c r="P65" s="507">
        <v>0</v>
      </c>
      <c r="Q65" s="508">
        <v>0</v>
      </c>
      <c r="R65" s="507">
        <v>0</v>
      </c>
      <c r="S65" s="496">
        <v>644</v>
      </c>
      <c r="T65"/>
      <c r="U65"/>
      <c r="V65"/>
    </row>
    <row r="66" spans="1:22" x14ac:dyDescent="0.25">
      <c r="A66" s="502"/>
      <c r="B66" s="507" t="s">
        <v>286</v>
      </c>
      <c r="C66" s="507">
        <v>53</v>
      </c>
      <c r="D66" s="508">
        <v>19</v>
      </c>
      <c r="E66" s="508">
        <v>0</v>
      </c>
      <c r="F66" s="508">
        <v>0</v>
      </c>
      <c r="G66" s="508">
        <v>0</v>
      </c>
      <c r="H66" s="508">
        <v>0</v>
      </c>
      <c r="I66" s="507">
        <v>72</v>
      </c>
      <c r="J66" s="507">
        <v>0</v>
      </c>
      <c r="K66" s="508">
        <v>0</v>
      </c>
      <c r="L66" s="508">
        <v>0</v>
      </c>
      <c r="M66" s="508">
        <v>0</v>
      </c>
      <c r="N66" s="508">
        <v>0</v>
      </c>
      <c r="O66" s="507">
        <v>0</v>
      </c>
      <c r="P66" s="507">
        <v>0</v>
      </c>
      <c r="Q66" s="508">
        <v>0</v>
      </c>
      <c r="R66" s="507">
        <v>0</v>
      </c>
      <c r="S66" s="496">
        <v>72</v>
      </c>
      <c r="T66"/>
      <c r="U66"/>
      <c r="V66"/>
    </row>
    <row r="67" spans="1:22" x14ac:dyDescent="0.25">
      <c r="A67" s="502"/>
      <c r="B67" s="507" t="s">
        <v>288</v>
      </c>
      <c r="C67" s="507">
        <v>0</v>
      </c>
      <c r="D67" s="508">
        <v>0</v>
      </c>
      <c r="E67" s="508">
        <v>0</v>
      </c>
      <c r="F67" s="508">
        <v>0</v>
      </c>
      <c r="G67" s="508">
        <v>0</v>
      </c>
      <c r="H67" s="508">
        <v>0</v>
      </c>
      <c r="I67" s="507">
        <v>0</v>
      </c>
      <c r="J67" s="507">
        <v>0</v>
      </c>
      <c r="K67" s="508">
        <v>1168.3</v>
      </c>
      <c r="L67" s="508">
        <v>1192</v>
      </c>
      <c r="M67" s="508">
        <v>145</v>
      </c>
      <c r="N67" s="508">
        <v>0</v>
      </c>
      <c r="O67" s="507">
        <v>2505.3000000000002</v>
      </c>
      <c r="P67" s="507">
        <v>0</v>
      </c>
      <c r="Q67" s="508">
        <v>0</v>
      </c>
      <c r="R67" s="507">
        <v>0</v>
      </c>
      <c r="S67" s="496">
        <v>2505.3000000000002</v>
      </c>
      <c r="T67"/>
      <c r="U67"/>
      <c r="V67"/>
    </row>
    <row r="68" spans="1:22" x14ac:dyDescent="0.25">
      <c r="A68" s="502"/>
      <c r="B68" s="507" t="s">
        <v>290</v>
      </c>
      <c r="C68" s="507">
        <v>1550</v>
      </c>
      <c r="D68" s="508">
        <v>1103</v>
      </c>
      <c r="E68" s="508">
        <v>0</v>
      </c>
      <c r="F68" s="508">
        <v>489</v>
      </c>
      <c r="G68" s="508">
        <v>130</v>
      </c>
      <c r="H68" s="508">
        <v>0</v>
      </c>
      <c r="I68" s="507">
        <v>3272</v>
      </c>
      <c r="J68" s="507">
        <v>0</v>
      </c>
      <c r="K68" s="508">
        <v>1168.3</v>
      </c>
      <c r="L68" s="508">
        <v>1192</v>
      </c>
      <c r="M68" s="508">
        <v>145</v>
      </c>
      <c r="N68" s="508">
        <v>0</v>
      </c>
      <c r="O68" s="507">
        <v>2505.3000000000002</v>
      </c>
      <c r="P68" s="507">
        <v>0</v>
      </c>
      <c r="Q68" s="508">
        <v>0</v>
      </c>
      <c r="R68" s="507">
        <v>0</v>
      </c>
      <c r="S68" s="496">
        <v>5777.3</v>
      </c>
      <c r="T68"/>
      <c r="U68"/>
      <c r="V68"/>
    </row>
    <row r="69" spans="1:22" x14ac:dyDescent="0.25">
      <c r="A69" s="498" t="s">
        <v>109</v>
      </c>
      <c r="B69" s="504" t="s">
        <v>278</v>
      </c>
      <c r="C69" s="504">
        <v>1503</v>
      </c>
      <c r="D69" s="501">
        <v>204</v>
      </c>
      <c r="E69" s="501">
        <v>916</v>
      </c>
      <c r="F69" s="501">
        <v>44</v>
      </c>
      <c r="G69" s="501">
        <v>100</v>
      </c>
      <c r="H69" s="501">
        <v>115</v>
      </c>
      <c r="I69" s="504">
        <v>2882</v>
      </c>
      <c r="J69" s="504">
        <v>0</v>
      </c>
      <c r="K69" s="501">
        <v>0</v>
      </c>
      <c r="L69" s="501">
        <v>0</v>
      </c>
      <c r="M69" s="501">
        <v>0</v>
      </c>
      <c r="N69" s="501">
        <v>0</v>
      </c>
      <c r="O69" s="504">
        <v>0</v>
      </c>
      <c r="P69" s="504">
        <v>0</v>
      </c>
      <c r="Q69" s="501">
        <v>0</v>
      </c>
      <c r="R69" s="504">
        <v>0</v>
      </c>
      <c r="S69" s="495">
        <v>2882</v>
      </c>
      <c r="T69"/>
      <c r="U69"/>
      <c r="V69"/>
    </row>
    <row r="70" spans="1:22" x14ac:dyDescent="0.25">
      <c r="A70" s="502"/>
      <c r="B70" s="507" t="s">
        <v>280</v>
      </c>
      <c r="C70" s="507">
        <v>1023</v>
      </c>
      <c r="D70" s="508">
        <v>295</v>
      </c>
      <c r="E70" s="508">
        <v>1178</v>
      </c>
      <c r="F70" s="508">
        <v>82</v>
      </c>
      <c r="G70" s="508">
        <v>173</v>
      </c>
      <c r="H70" s="508">
        <v>100</v>
      </c>
      <c r="I70" s="507">
        <v>2851</v>
      </c>
      <c r="J70" s="507">
        <v>0</v>
      </c>
      <c r="K70" s="508">
        <v>0</v>
      </c>
      <c r="L70" s="508">
        <v>0</v>
      </c>
      <c r="M70" s="508">
        <v>0</v>
      </c>
      <c r="N70" s="508">
        <v>0</v>
      </c>
      <c r="O70" s="507">
        <v>0</v>
      </c>
      <c r="P70" s="507">
        <v>0</v>
      </c>
      <c r="Q70" s="508">
        <v>0</v>
      </c>
      <c r="R70" s="507">
        <v>0</v>
      </c>
      <c r="S70" s="496">
        <v>2851</v>
      </c>
      <c r="T70"/>
      <c r="U70"/>
      <c r="V70"/>
    </row>
    <row r="71" spans="1:22" x14ac:dyDescent="0.25">
      <c r="A71" s="502"/>
      <c r="B71" s="507" t="s">
        <v>282</v>
      </c>
      <c r="C71" s="507">
        <v>823</v>
      </c>
      <c r="D71" s="508">
        <v>232</v>
      </c>
      <c r="E71" s="508">
        <v>1055</v>
      </c>
      <c r="F71" s="508">
        <v>109</v>
      </c>
      <c r="G71" s="508">
        <v>246</v>
      </c>
      <c r="H71" s="508">
        <v>87</v>
      </c>
      <c r="I71" s="507">
        <v>2552</v>
      </c>
      <c r="J71" s="507">
        <v>0</v>
      </c>
      <c r="K71" s="508">
        <v>0</v>
      </c>
      <c r="L71" s="508">
        <v>0</v>
      </c>
      <c r="M71" s="508">
        <v>0</v>
      </c>
      <c r="N71" s="508">
        <v>0</v>
      </c>
      <c r="O71" s="507">
        <v>0</v>
      </c>
      <c r="P71" s="507">
        <v>0</v>
      </c>
      <c r="Q71" s="508">
        <v>0</v>
      </c>
      <c r="R71" s="507">
        <v>0</v>
      </c>
      <c r="S71" s="496">
        <v>2552</v>
      </c>
      <c r="T71"/>
      <c r="U71"/>
      <c r="V71"/>
    </row>
    <row r="72" spans="1:22" x14ac:dyDescent="0.25">
      <c r="A72" s="502"/>
      <c r="B72" s="507" t="s">
        <v>284</v>
      </c>
      <c r="C72" s="507">
        <v>76</v>
      </c>
      <c r="D72" s="508">
        <v>0</v>
      </c>
      <c r="E72" s="508">
        <v>35</v>
      </c>
      <c r="F72" s="508">
        <v>9</v>
      </c>
      <c r="G72" s="508">
        <v>48</v>
      </c>
      <c r="H72" s="508">
        <v>3</v>
      </c>
      <c r="I72" s="507">
        <v>171</v>
      </c>
      <c r="J72" s="507">
        <v>0</v>
      </c>
      <c r="K72" s="508">
        <v>0</v>
      </c>
      <c r="L72" s="508">
        <v>0</v>
      </c>
      <c r="M72" s="508">
        <v>0</v>
      </c>
      <c r="N72" s="508">
        <v>0</v>
      </c>
      <c r="O72" s="507">
        <v>0</v>
      </c>
      <c r="P72" s="507">
        <v>0</v>
      </c>
      <c r="Q72" s="508">
        <v>0</v>
      </c>
      <c r="R72" s="507">
        <v>0</v>
      </c>
      <c r="S72" s="496">
        <v>171</v>
      </c>
      <c r="T72"/>
      <c r="U72"/>
      <c r="V72"/>
    </row>
    <row r="73" spans="1:22" x14ac:dyDescent="0.25">
      <c r="A73" s="502"/>
      <c r="B73" s="507" t="s">
        <v>286</v>
      </c>
      <c r="C73" s="507">
        <v>840</v>
      </c>
      <c r="D73" s="508">
        <v>218</v>
      </c>
      <c r="E73" s="508">
        <v>923</v>
      </c>
      <c r="F73" s="508">
        <v>33</v>
      </c>
      <c r="G73" s="508">
        <v>105</v>
      </c>
      <c r="H73" s="508">
        <v>82</v>
      </c>
      <c r="I73" s="507">
        <v>2201</v>
      </c>
      <c r="J73" s="507">
        <v>0</v>
      </c>
      <c r="K73" s="508">
        <v>0</v>
      </c>
      <c r="L73" s="508">
        <v>0</v>
      </c>
      <c r="M73" s="508">
        <v>0</v>
      </c>
      <c r="N73" s="508">
        <v>0</v>
      </c>
      <c r="O73" s="507">
        <v>0</v>
      </c>
      <c r="P73" s="507">
        <v>0</v>
      </c>
      <c r="Q73" s="508">
        <v>0</v>
      </c>
      <c r="R73" s="507">
        <v>0</v>
      </c>
      <c r="S73" s="496">
        <v>2201</v>
      </c>
      <c r="T73"/>
      <c r="U73"/>
      <c r="V73"/>
    </row>
    <row r="74" spans="1:22" x14ac:dyDescent="0.25">
      <c r="A74" s="502"/>
      <c r="B74" s="507" t="s">
        <v>288</v>
      </c>
      <c r="C74" s="507">
        <v>0</v>
      </c>
      <c r="D74" s="508">
        <v>0</v>
      </c>
      <c r="E74" s="508">
        <v>0</v>
      </c>
      <c r="F74" s="508">
        <v>0</v>
      </c>
      <c r="G74" s="508">
        <v>0</v>
      </c>
      <c r="H74" s="508">
        <v>0</v>
      </c>
      <c r="I74" s="507">
        <v>0</v>
      </c>
      <c r="J74" s="507">
        <v>0</v>
      </c>
      <c r="K74" s="508">
        <v>2690</v>
      </c>
      <c r="L74" s="508">
        <v>2770</v>
      </c>
      <c r="M74" s="508">
        <v>1347</v>
      </c>
      <c r="N74" s="508">
        <v>0</v>
      </c>
      <c r="O74" s="507">
        <v>6807</v>
      </c>
      <c r="P74" s="507">
        <v>0</v>
      </c>
      <c r="Q74" s="508">
        <v>0</v>
      </c>
      <c r="R74" s="507">
        <v>0</v>
      </c>
      <c r="S74" s="496">
        <v>6807</v>
      </c>
      <c r="T74"/>
      <c r="U74"/>
      <c r="V74"/>
    </row>
    <row r="75" spans="1:22" x14ac:dyDescent="0.25">
      <c r="A75" s="502"/>
      <c r="B75" s="507" t="s">
        <v>290</v>
      </c>
      <c r="C75" s="507">
        <v>4265</v>
      </c>
      <c r="D75" s="508">
        <v>949</v>
      </c>
      <c r="E75" s="508">
        <v>4107</v>
      </c>
      <c r="F75" s="508">
        <v>277</v>
      </c>
      <c r="G75" s="508">
        <v>672</v>
      </c>
      <c r="H75" s="508">
        <v>387</v>
      </c>
      <c r="I75" s="507">
        <v>10657</v>
      </c>
      <c r="J75" s="507">
        <v>0</v>
      </c>
      <c r="K75" s="508">
        <v>2690</v>
      </c>
      <c r="L75" s="508">
        <v>2770</v>
      </c>
      <c r="M75" s="508">
        <v>1347</v>
      </c>
      <c r="N75" s="508">
        <v>0</v>
      </c>
      <c r="O75" s="507">
        <v>6807</v>
      </c>
      <c r="P75" s="507">
        <v>0</v>
      </c>
      <c r="Q75" s="508">
        <v>0</v>
      </c>
      <c r="R75" s="507">
        <v>0</v>
      </c>
      <c r="S75" s="496">
        <v>17464</v>
      </c>
      <c r="T75"/>
      <c r="U75"/>
      <c r="V75"/>
    </row>
    <row r="76" spans="1:22" x14ac:dyDescent="0.25">
      <c r="A76" s="498" t="s">
        <v>79</v>
      </c>
      <c r="B76" s="504" t="s">
        <v>278</v>
      </c>
      <c r="C76" s="504">
        <v>697</v>
      </c>
      <c r="D76" s="501">
        <v>0</v>
      </c>
      <c r="E76" s="501">
        <v>232</v>
      </c>
      <c r="F76" s="501">
        <v>0</v>
      </c>
      <c r="G76" s="501">
        <v>197</v>
      </c>
      <c r="H76" s="501">
        <v>32</v>
      </c>
      <c r="I76" s="504">
        <v>1158</v>
      </c>
      <c r="J76" s="504">
        <v>0</v>
      </c>
      <c r="K76" s="501">
        <v>0</v>
      </c>
      <c r="L76" s="501">
        <v>0</v>
      </c>
      <c r="M76" s="501">
        <v>0</v>
      </c>
      <c r="N76" s="501">
        <v>0</v>
      </c>
      <c r="O76" s="504">
        <v>0</v>
      </c>
      <c r="P76" s="504">
        <v>0</v>
      </c>
      <c r="Q76" s="501">
        <v>0</v>
      </c>
      <c r="R76" s="504">
        <v>0</v>
      </c>
      <c r="S76" s="495">
        <v>1158</v>
      </c>
      <c r="T76"/>
      <c r="U76"/>
      <c r="V76"/>
    </row>
    <row r="77" spans="1:22" x14ac:dyDescent="0.25">
      <c r="A77" s="502"/>
      <c r="B77" s="507" t="s">
        <v>280</v>
      </c>
      <c r="C77" s="507">
        <v>557</v>
      </c>
      <c r="D77" s="508">
        <v>0</v>
      </c>
      <c r="E77" s="508">
        <v>152</v>
      </c>
      <c r="F77" s="508">
        <v>0</v>
      </c>
      <c r="G77" s="508">
        <v>189</v>
      </c>
      <c r="H77" s="508">
        <v>56</v>
      </c>
      <c r="I77" s="507">
        <v>954</v>
      </c>
      <c r="J77" s="507">
        <v>0</v>
      </c>
      <c r="K77" s="508">
        <v>0</v>
      </c>
      <c r="L77" s="508">
        <v>0</v>
      </c>
      <c r="M77" s="508">
        <v>0</v>
      </c>
      <c r="N77" s="508">
        <v>0</v>
      </c>
      <c r="O77" s="507">
        <v>0</v>
      </c>
      <c r="P77" s="507">
        <v>0</v>
      </c>
      <c r="Q77" s="508">
        <v>0</v>
      </c>
      <c r="R77" s="507">
        <v>0</v>
      </c>
      <c r="S77" s="496">
        <v>954</v>
      </c>
      <c r="T77"/>
      <c r="U77"/>
      <c r="V77"/>
    </row>
    <row r="78" spans="1:22" x14ac:dyDescent="0.25">
      <c r="A78" s="502"/>
      <c r="B78" s="507" t="s">
        <v>282</v>
      </c>
      <c r="C78" s="507">
        <v>502</v>
      </c>
      <c r="D78" s="508">
        <v>0</v>
      </c>
      <c r="E78" s="508">
        <v>215</v>
      </c>
      <c r="F78" s="508">
        <v>0</v>
      </c>
      <c r="G78" s="508">
        <v>264</v>
      </c>
      <c r="H78" s="508">
        <v>66</v>
      </c>
      <c r="I78" s="507">
        <v>1047</v>
      </c>
      <c r="J78" s="507">
        <v>0</v>
      </c>
      <c r="K78" s="508">
        <v>0</v>
      </c>
      <c r="L78" s="508">
        <v>0</v>
      </c>
      <c r="M78" s="508">
        <v>0</v>
      </c>
      <c r="N78" s="508">
        <v>0</v>
      </c>
      <c r="O78" s="507">
        <v>0</v>
      </c>
      <c r="P78" s="507">
        <v>0</v>
      </c>
      <c r="Q78" s="508">
        <v>0</v>
      </c>
      <c r="R78" s="507">
        <v>0</v>
      </c>
      <c r="S78" s="496">
        <v>1047</v>
      </c>
      <c r="T78"/>
      <c r="U78"/>
      <c r="V78"/>
    </row>
    <row r="79" spans="1:22" x14ac:dyDescent="0.25">
      <c r="A79" s="502"/>
      <c r="B79" s="507" t="s">
        <v>284</v>
      </c>
      <c r="C79" s="507">
        <v>295</v>
      </c>
      <c r="D79" s="508">
        <v>0</v>
      </c>
      <c r="E79" s="508">
        <v>182</v>
      </c>
      <c r="F79" s="508">
        <v>0</v>
      </c>
      <c r="G79" s="508">
        <v>275</v>
      </c>
      <c r="H79" s="508">
        <v>60</v>
      </c>
      <c r="I79" s="507">
        <v>812</v>
      </c>
      <c r="J79" s="507">
        <v>0</v>
      </c>
      <c r="K79" s="508">
        <v>0</v>
      </c>
      <c r="L79" s="508">
        <v>0</v>
      </c>
      <c r="M79" s="508">
        <v>0</v>
      </c>
      <c r="N79" s="508">
        <v>0</v>
      </c>
      <c r="O79" s="507">
        <v>0</v>
      </c>
      <c r="P79" s="507">
        <v>0</v>
      </c>
      <c r="Q79" s="508">
        <v>0</v>
      </c>
      <c r="R79" s="507">
        <v>0</v>
      </c>
      <c r="S79" s="496">
        <v>812</v>
      </c>
      <c r="T79"/>
      <c r="U79"/>
      <c r="V79"/>
    </row>
    <row r="80" spans="1:22" x14ac:dyDescent="0.25">
      <c r="A80" s="502"/>
      <c r="B80" s="507" t="s">
        <v>286</v>
      </c>
      <c r="C80" s="507">
        <v>0</v>
      </c>
      <c r="D80" s="508">
        <v>0</v>
      </c>
      <c r="E80" s="508">
        <v>0</v>
      </c>
      <c r="F80" s="508">
        <v>0</v>
      </c>
      <c r="G80" s="508">
        <v>0</v>
      </c>
      <c r="H80" s="508">
        <v>0</v>
      </c>
      <c r="I80" s="507">
        <v>0</v>
      </c>
      <c r="J80" s="507">
        <v>0</v>
      </c>
      <c r="K80" s="508">
        <v>0</v>
      </c>
      <c r="L80" s="508">
        <v>0</v>
      </c>
      <c r="M80" s="508">
        <v>0</v>
      </c>
      <c r="N80" s="508">
        <v>0</v>
      </c>
      <c r="O80" s="507">
        <v>0</v>
      </c>
      <c r="P80" s="507">
        <v>0</v>
      </c>
      <c r="Q80" s="508">
        <v>0</v>
      </c>
      <c r="R80" s="507">
        <v>0</v>
      </c>
      <c r="S80" s="496">
        <v>0</v>
      </c>
      <c r="T80"/>
      <c r="U80"/>
      <c r="V80"/>
    </row>
    <row r="81" spans="1:22" x14ac:dyDescent="0.25">
      <c r="A81" s="502"/>
      <c r="B81" s="507" t="s">
        <v>288</v>
      </c>
      <c r="C81" s="507">
        <v>0</v>
      </c>
      <c r="D81" s="508">
        <v>0</v>
      </c>
      <c r="E81" s="508">
        <v>0</v>
      </c>
      <c r="F81" s="508">
        <v>0</v>
      </c>
      <c r="G81" s="508">
        <v>0</v>
      </c>
      <c r="H81" s="508">
        <v>0</v>
      </c>
      <c r="I81" s="507">
        <v>0</v>
      </c>
      <c r="J81" s="507">
        <v>204</v>
      </c>
      <c r="K81" s="508">
        <v>561</v>
      </c>
      <c r="L81" s="508">
        <v>95</v>
      </c>
      <c r="M81" s="508">
        <v>376</v>
      </c>
      <c r="N81" s="508">
        <v>0</v>
      </c>
      <c r="O81" s="507">
        <v>1236</v>
      </c>
      <c r="P81" s="507">
        <v>218</v>
      </c>
      <c r="Q81" s="508">
        <v>911</v>
      </c>
      <c r="R81" s="507">
        <v>1129</v>
      </c>
      <c r="S81" s="496">
        <v>2365</v>
      </c>
      <c r="T81"/>
      <c r="U81"/>
      <c r="V81"/>
    </row>
    <row r="82" spans="1:22" x14ac:dyDescent="0.25">
      <c r="A82" s="502"/>
      <c r="B82" s="507" t="s">
        <v>290</v>
      </c>
      <c r="C82" s="507">
        <v>2051</v>
      </c>
      <c r="D82" s="508">
        <v>0</v>
      </c>
      <c r="E82" s="508">
        <v>781</v>
      </c>
      <c r="F82" s="508">
        <v>0</v>
      </c>
      <c r="G82" s="508">
        <v>925</v>
      </c>
      <c r="H82" s="508">
        <v>214</v>
      </c>
      <c r="I82" s="507">
        <v>3971</v>
      </c>
      <c r="J82" s="507">
        <v>204</v>
      </c>
      <c r="K82" s="508">
        <v>561</v>
      </c>
      <c r="L82" s="508">
        <v>95</v>
      </c>
      <c r="M82" s="508">
        <v>376</v>
      </c>
      <c r="N82" s="508">
        <v>0</v>
      </c>
      <c r="O82" s="507">
        <v>1236</v>
      </c>
      <c r="P82" s="507">
        <v>218</v>
      </c>
      <c r="Q82" s="508">
        <v>911</v>
      </c>
      <c r="R82" s="507">
        <v>1129</v>
      </c>
      <c r="S82" s="496">
        <v>6336</v>
      </c>
      <c r="T82"/>
      <c r="U82"/>
      <c r="V82"/>
    </row>
    <row r="83" spans="1:22" x14ac:dyDescent="0.25">
      <c r="A83" s="498" t="s">
        <v>113</v>
      </c>
      <c r="B83" s="504" t="s">
        <v>278</v>
      </c>
      <c r="C83" s="504">
        <v>666</v>
      </c>
      <c r="D83" s="501">
        <v>0</v>
      </c>
      <c r="E83" s="501">
        <v>198</v>
      </c>
      <c r="F83" s="501">
        <v>53</v>
      </c>
      <c r="G83" s="501">
        <v>165</v>
      </c>
      <c r="H83" s="501">
        <v>85</v>
      </c>
      <c r="I83" s="504">
        <v>1167</v>
      </c>
      <c r="J83" s="504">
        <v>0</v>
      </c>
      <c r="K83" s="501">
        <v>0</v>
      </c>
      <c r="L83" s="501">
        <v>0</v>
      </c>
      <c r="M83" s="501">
        <v>16</v>
      </c>
      <c r="N83" s="501">
        <v>0</v>
      </c>
      <c r="O83" s="504">
        <v>16</v>
      </c>
      <c r="P83" s="504">
        <v>0</v>
      </c>
      <c r="Q83" s="501">
        <v>0</v>
      </c>
      <c r="R83" s="504">
        <v>0</v>
      </c>
      <c r="S83" s="495">
        <v>1183</v>
      </c>
      <c r="T83"/>
      <c r="U83"/>
      <c r="V83"/>
    </row>
    <row r="84" spans="1:22" x14ac:dyDescent="0.25">
      <c r="A84" s="502"/>
      <c r="B84" s="507" t="s">
        <v>280</v>
      </c>
      <c r="C84" s="507">
        <v>598</v>
      </c>
      <c r="D84" s="508">
        <v>0</v>
      </c>
      <c r="E84" s="508">
        <v>249</v>
      </c>
      <c r="F84" s="508">
        <v>51</v>
      </c>
      <c r="G84" s="508">
        <v>181</v>
      </c>
      <c r="H84" s="508">
        <v>127</v>
      </c>
      <c r="I84" s="507">
        <v>1206</v>
      </c>
      <c r="J84" s="507">
        <v>0</v>
      </c>
      <c r="K84" s="508">
        <v>0</v>
      </c>
      <c r="L84" s="508">
        <v>0</v>
      </c>
      <c r="M84" s="508">
        <v>22</v>
      </c>
      <c r="N84" s="508">
        <v>0</v>
      </c>
      <c r="O84" s="507">
        <v>22</v>
      </c>
      <c r="P84" s="507">
        <v>0</v>
      </c>
      <c r="Q84" s="508">
        <v>0</v>
      </c>
      <c r="R84" s="507">
        <v>0</v>
      </c>
      <c r="S84" s="496">
        <v>1228</v>
      </c>
      <c r="T84"/>
      <c r="U84"/>
      <c r="V84"/>
    </row>
    <row r="85" spans="1:22" x14ac:dyDescent="0.25">
      <c r="A85" s="502"/>
      <c r="B85" s="507" t="s">
        <v>282</v>
      </c>
      <c r="C85" s="507">
        <v>601</v>
      </c>
      <c r="D85" s="508">
        <v>0</v>
      </c>
      <c r="E85" s="508">
        <v>258</v>
      </c>
      <c r="F85" s="508">
        <v>64</v>
      </c>
      <c r="G85" s="508">
        <v>283</v>
      </c>
      <c r="H85" s="508">
        <v>176</v>
      </c>
      <c r="I85" s="507">
        <v>1382</v>
      </c>
      <c r="J85" s="507">
        <v>0</v>
      </c>
      <c r="K85" s="508">
        <v>0</v>
      </c>
      <c r="L85" s="508">
        <v>0</v>
      </c>
      <c r="M85" s="508">
        <v>39</v>
      </c>
      <c r="N85" s="508">
        <v>0</v>
      </c>
      <c r="O85" s="507">
        <v>39</v>
      </c>
      <c r="P85" s="507">
        <v>0</v>
      </c>
      <c r="Q85" s="508">
        <v>0</v>
      </c>
      <c r="R85" s="507">
        <v>0</v>
      </c>
      <c r="S85" s="496">
        <v>1421</v>
      </c>
      <c r="T85"/>
      <c r="U85"/>
      <c r="V85"/>
    </row>
    <row r="86" spans="1:22" x14ac:dyDescent="0.25">
      <c r="A86" s="502"/>
      <c r="B86" s="507" t="s">
        <v>284</v>
      </c>
      <c r="C86" s="507">
        <v>145</v>
      </c>
      <c r="D86" s="508">
        <v>0</v>
      </c>
      <c r="E86" s="508">
        <v>91</v>
      </c>
      <c r="F86" s="508">
        <v>2</v>
      </c>
      <c r="G86" s="508">
        <v>62</v>
      </c>
      <c r="H86" s="508">
        <v>147</v>
      </c>
      <c r="I86" s="507">
        <v>447</v>
      </c>
      <c r="J86" s="507">
        <v>0</v>
      </c>
      <c r="K86" s="508">
        <v>0</v>
      </c>
      <c r="L86" s="508">
        <v>0</v>
      </c>
      <c r="M86" s="508">
        <v>48</v>
      </c>
      <c r="N86" s="508">
        <v>0</v>
      </c>
      <c r="O86" s="507">
        <v>48</v>
      </c>
      <c r="P86" s="507">
        <v>0</v>
      </c>
      <c r="Q86" s="508">
        <v>0</v>
      </c>
      <c r="R86" s="507">
        <v>0</v>
      </c>
      <c r="S86" s="496">
        <v>495</v>
      </c>
      <c r="T86"/>
      <c r="U86"/>
      <c r="V86"/>
    </row>
    <row r="87" spans="1:22" x14ac:dyDescent="0.25">
      <c r="A87" s="502"/>
      <c r="B87" s="507" t="s">
        <v>286</v>
      </c>
      <c r="C87" s="507">
        <v>211</v>
      </c>
      <c r="D87" s="508">
        <v>0</v>
      </c>
      <c r="E87" s="508">
        <v>0</v>
      </c>
      <c r="F87" s="508">
        <v>0</v>
      </c>
      <c r="G87" s="508">
        <v>73</v>
      </c>
      <c r="H87" s="508">
        <v>6</v>
      </c>
      <c r="I87" s="507">
        <v>290</v>
      </c>
      <c r="J87" s="507">
        <v>0</v>
      </c>
      <c r="K87" s="508">
        <v>1137</v>
      </c>
      <c r="L87" s="508">
        <v>680</v>
      </c>
      <c r="M87" s="508">
        <v>129</v>
      </c>
      <c r="N87" s="508">
        <v>0</v>
      </c>
      <c r="O87" s="507">
        <v>1946</v>
      </c>
      <c r="P87" s="507">
        <v>0</v>
      </c>
      <c r="Q87" s="508">
        <v>0</v>
      </c>
      <c r="R87" s="507">
        <v>0</v>
      </c>
      <c r="S87" s="496">
        <v>2236</v>
      </c>
      <c r="T87"/>
      <c r="U87"/>
      <c r="V87"/>
    </row>
    <row r="88" spans="1:22" x14ac:dyDescent="0.25">
      <c r="A88" s="502"/>
      <c r="B88" s="507" t="s">
        <v>288</v>
      </c>
      <c r="C88" s="507">
        <v>0</v>
      </c>
      <c r="D88" s="508">
        <v>0</v>
      </c>
      <c r="E88" s="508">
        <v>0</v>
      </c>
      <c r="F88" s="508">
        <v>0</v>
      </c>
      <c r="G88" s="508">
        <v>0</v>
      </c>
      <c r="H88" s="508">
        <v>0</v>
      </c>
      <c r="I88" s="507">
        <v>0</v>
      </c>
      <c r="J88" s="507">
        <v>0</v>
      </c>
      <c r="K88" s="508">
        <v>0</v>
      </c>
      <c r="L88" s="508">
        <v>0</v>
      </c>
      <c r="M88" s="508">
        <v>0</v>
      </c>
      <c r="N88" s="508">
        <v>0</v>
      </c>
      <c r="O88" s="507">
        <v>0</v>
      </c>
      <c r="P88" s="507">
        <v>0</v>
      </c>
      <c r="Q88" s="508">
        <v>0</v>
      </c>
      <c r="R88" s="507">
        <v>0</v>
      </c>
      <c r="S88" s="496">
        <v>0</v>
      </c>
      <c r="T88"/>
      <c r="U88"/>
      <c r="V88"/>
    </row>
    <row r="89" spans="1:22" x14ac:dyDescent="0.25">
      <c r="A89" s="502"/>
      <c r="B89" s="507" t="s">
        <v>290</v>
      </c>
      <c r="C89" s="507">
        <v>2221</v>
      </c>
      <c r="D89" s="508">
        <v>0</v>
      </c>
      <c r="E89" s="508">
        <v>796</v>
      </c>
      <c r="F89" s="508">
        <v>170</v>
      </c>
      <c r="G89" s="508">
        <v>764</v>
      </c>
      <c r="H89" s="508">
        <v>541</v>
      </c>
      <c r="I89" s="507">
        <v>4492</v>
      </c>
      <c r="J89" s="507">
        <v>0</v>
      </c>
      <c r="K89" s="508">
        <v>1137</v>
      </c>
      <c r="L89" s="508">
        <v>680</v>
      </c>
      <c r="M89" s="508">
        <v>254</v>
      </c>
      <c r="N89" s="508">
        <v>0</v>
      </c>
      <c r="O89" s="507">
        <v>2071</v>
      </c>
      <c r="P89" s="507">
        <v>0</v>
      </c>
      <c r="Q89" s="508">
        <v>0</v>
      </c>
      <c r="R89" s="507">
        <v>0</v>
      </c>
      <c r="S89" s="496">
        <v>6563</v>
      </c>
      <c r="T89"/>
      <c r="U89"/>
      <c r="V89"/>
    </row>
    <row r="90" spans="1:22" x14ac:dyDescent="0.25">
      <c r="A90" s="498" t="s">
        <v>78</v>
      </c>
      <c r="B90" s="504" t="s">
        <v>278</v>
      </c>
      <c r="C90" s="504">
        <v>792</v>
      </c>
      <c r="D90" s="501">
        <v>115</v>
      </c>
      <c r="E90" s="501">
        <v>844</v>
      </c>
      <c r="F90" s="501">
        <v>0</v>
      </c>
      <c r="G90" s="501">
        <v>78</v>
      </c>
      <c r="H90" s="501">
        <v>0</v>
      </c>
      <c r="I90" s="504">
        <v>1829</v>
      </c>
      <c r="J90" s="504">
        <v>0</v>
      </c>
      <c r="K90" s="501">
        <v>110</v>
      </c>
      <c r="L90" s="501">
        <v>117</v>
      </c>
      <c r="M90" s="501">
        <v>0</v>
      </c>
      <c r="N90" s="501">
        <v>0</v>
      </c>
      <c r="O90" s="504">
        <v>227</v>
      </c>
      <c r="P90" s="504">
        <v>0</v>
      </c>
      <c r="Q90" s="501">
        <v>0</v>
      </c>
      <c r="R90" s="504">
        <v>0</v>
      </c>
      <c r="S90" s="495">
        <v>2056</v>
      </c>
      <c r="T90"/>
      <c r="U90"/>
      <c r="V90"/>
    </row>
    <row r="91" spans="1:22" x14ac:dyDescent="0.25">
      <c r="A91" s="502"/>
      <c r="B91" s="507" t="s">
        <v>280</v>
      </c>
      <c r="C91" s="507">
        <v>659</v>
      </c>
      <c r="D91" s="508">
        <v>125</v>
      </c>
      <c r="E91" s="508">
        <v>647</v>
      </c>
      <c r="F91" s="508">
        <v>0</v>
      </c>
      <c r="G91" s="508">
        <v>57</v>
      </c>
      <c r="H91" s="508">
        <v>0</v>
      </c>
      <c r="I91" s="507">
        <v>1488</v>
      </c>
      <c r="J91" s="507">
        <v>0</v>
      </c>
      <c r="K91" s="508">
        <v>417</v>
      </c>
      <c r="L91" s="508">
        <v>365</v>
      </c>
      <c r="M91" s="508">
        <v>0</v>
      </c>
      <c r="N91" s="508">
        <v>0</v>
      </c>
      <c r="O91" s="507">
        <v>782</v>
      </c>
      <c r="P91" s="507">
        <v>0</v>
      </c>
      <c r="Q91" s="508">
        <v>0</v>
      </c>
      <c r="R91" s="507">
        <v>0</v>
      </c>
      <c r="S91" s="496">
        <v>2270</v>
      </c>
      <c r="T91"/>
      <c r="U91"/>
      <c r="V91"/>
    </row>
    <row r="92" spans="1:22" x14ac:dyDescent="0.25">
      <c r="A92" s="502"/>
      <c r="B92" s="507" t="s">
        <v>282</v>
      </c>
      <c r="C92" s="507">
        <v>600</v>
      </c>
      <c r="D92" s="508">
        <v>140</v>
      </c>
      <c r="E92" s="508">
        <v>683</v>
      </c>
      <c r="F92" s="508">
        <v>0</v>
      </c>
      <c r="G92" s="508">
        <v>81</v>
      </c>
      <c r="H92" s="508">
        <v>0</v>
      </c>
      <c r="I92" s="507">
        <v>1504</v>
      </c>
      <c r="J92" s="507">
        <v>0</v>
      </c>
      <c r="K92" s="508">
        <v>176</v>
      </c>
      <c r="L92" s="508">
        <v>188</v>
      </c>
      <c r="M92" s="508">
        <v>0</v>
      </c>
      <c r="N92" s="508">
        <v>0</v>
      </c>
      <c r="O92" s="507">
        <v>364</v>
      </c>
      <c r="P92" s="507">
        <v>0</v>
      </c>
      <c r="Q92" s="508">
        <v>0</v>
      </c>
      <c r="R92" s="507">
        <v>0</v>
      </c>
      <c r="S92" s="496">
        <v>1868</v>
      </c>
      <c r="T92"/>
      <c r="U92"/>
      <c r="V92"/>
    </row>
    <row r="93" spans="1:22" x14ac:dyDescent="0.25">
      <c r="A93" s="502"/>
      <c r="B93" s="507" t="s">
        <v>284</v>
      </c>
      <c r="C93" s="507">
        <v>143</v>
      </c>
      <c r="D93" s="508">
        <v>31</v>
      </c>
      <c r="E93" s="508">
        <v>242</v>
      </c>
      <c r="F93" s="508">
        <v>0</v>
      </c>
      <c r="G93" s="508">
        <v>17</v>
      </c>
      <c r="H93" s="508">
        <v>0</v>
      </c>
      <c r="I93" s="507">
        <v>433</v>
      </c>
      <c r="J93" s="507">
        <v>0</v>
      </c>
      <c r="K93" s="508">
        <v>256</v>
      </c>
      <c r="L93" s="508">
        <v>172</v>
      </c>
      <c r="M93" s="508">
        <v>0</v>
      </c>
      <c r="N93" s="508">
        <v>0</v>
      </c>
      <c r="O93" s="507">
        <v>428</v>
      </c>
      <c r="P93" s="507">
        <v>0</v>
      </c>
      <c r="Q93" s="508">
        <v>0</v>
      </c>
      <c r="R93" s="507">
        <v>0</v>
      </c>
      <c r="S93" s="496">
        <v>861</v>
      </c>
      <c r="T93"/>
      <c r="U93"/>
      <c r="V93"/>
    </row>
    <row r="94" spans="1:22" x14ac:dyDescent="0.25">
      <c r="A94" s="502"/>
      <c r="B94" s="507" t="s">
        <v>286</v>
      </c>
      <c r="C94" s="507">
        <v>277</v>
      </c>
      <c r="D94" s="508">
        <v>6</v>
      </c>
      <c r="E94" s="508">
        <v>142</v>
      </c>
      <c r="F94" s="508">
        <v>0</v>
      </c>
      <c r="G94" s="508">
        <v>45</v>
      </c>
      <c r="H94" s="508">
        <v>0</v>
      </c>
      <c r="I94" s="507">
        <v>470</v>
      </c>
      <c r="J94" s="507">
        <v>0</v>
      </c>
      <c r="K94" s="508">
        <v>0</v>
      </c>
      <c r="L94" s="508">
        <v>8</v>
      </c>
      <c r="M94" s="508">
        <v>0</v>
      </c>
      <c r="N94" s="508">
        <v>0</v>
      </c>
      <c r="O94" s="507">
        <v>8</v>
      </c>
      <c r="P94" s="507">
        <v>0</v>
      </c>
      <c r="Q94" s="508">
        <v>0</v>
      </c>
      <c r="R94" s="507">
        <v>0</v>
      </c>
      <c r="S94" s="496">
        <v>478</v>
      </c>
      <c r="T94"/>
      <c r="U94"/>
      <c r="V94"/>
    </row>
    <row r="95" spans="1:22" x14ac:dyDescent="0.25">
      <c r="A95" s="502"/>
      <c r="B95" s="507" t="s">
        <v>288</v>
      </c>
      <c r="C95" s="507">
        <v>0</v>
      </c>
      <c r="D95" s="508">
        <v>0</v>
      </c>
      <c r="E95" s="508">
        <v>0</v>
      </c>
      <c r="F95" s="508">
        <v>0</v>
      </c>
      <c r="G95" s="508">
        <v>0</v>
      </c>
      <c r="H95" s="508">
        <v>0</v>
      </c>
      <c r="I95" s="507">
        <v>0</v>
      </c>
      <c r="J95" s="507">
        <v>0</v>
      </c>
      <c r="K95" s="508">
        <v>0</v>
      </c>
      <c r="L95" s="508">
        <v>0</v>
      </c>
      <c r="M95" s="508">
        <v>0</v>
      </c>
      <c r="N95" s="508">
        <v>0</v>
      </c>
      <c r="O95" s="507">
        <v>0</v>
      </c>
      <c r="P95" s="507">
        <v>0</v>
      </c>
      <c r="Q95" s="508">
        <v>529</v>
      </c>
      <c r="R95" s="507">
        <v>529</v>
      </c>
      <c r="S95" s="496">
        <v>529</v>
      </c>
      <c r="T95"/>
      <c r="U95"/>
      <c r="V95"/>
    </row>
    <row r="96" spans="1:22" x14ac:dyDescent="0.25">
      <c r="A96" s="502"/>
      <c r="B96" s="507" t="s">
        <v>290</v>
      </c>
      <c r="C96" s="507">
        <v>2471</v>
      </c>
      <c r="D96" s="508">
        <v>417</v>
      </c>
      <c r="E96" s="508">
        <v>2558</v>
      </c>
      <c r="F96" s="508">
        <v>0</v>
      </c>
      <c r="G96" s="508">
        <v>278</v>
      </c>
      <c r="H96" s="508">
        <v>0</v>
      </c>
      <c r="I96" s="507">
        <v>5724</v>
      </c>
      <c r="J96" s="507">
        <v>0</v>
      </c>
      <c r="K96" s="508">
        <v>959</v>
      </c>
      <c r="L96" s="508">
        <v>850</v>
      </c>
      <c r="M96" s="508">
        <v>0</v>
      </c>
      <c r="N96" s="508">
        <v>0</v>
      </c>
      <c r="O96" s="507">
        <v>1809</v>
      </c>
      <c r="P96" s="507">
        <v>0</v>
      </c>
      <c r="Q96" s="508">
        <v>529</v>
      </c>
      <c r="R96" s="507">
        <v>529</v>
      </c>
      <c r="S96" s="496">
        <v>8062</v>
      </c>
      <c r="T96"/>
      <c r="U96"/>
      <c r="V96"/>
    </row>
    <row r="97" spans="1:22" x14ac:dyDescent="0.25">
      <c r="A97" s="498" t="s">
        <v>77</v>
      </c>
      <c r="B97" s="504" t="s">
        <v>278</v>
      </c>
      <c r="C97" s="504">
        <v>3080</v>
      </c>
      <c r="D97" s="501">
        <v>390</v>
      </c>
      <c r="E97" s="501">
        <v>1499</v>
      </c>
      <c r="F97" s="501">
        <v>52</v>
      </c>
      <c r="G97" s="501">
        <v>49</v>
      </c>
      <c r="H97" s="501">
        <v>24</v>
      </c>
      <c r="I97" s="504">
        <v>5094</v>
      </c>
      <c r="J97" s="504">
        <v>65</v>
      </c>
      <c r="K97" s="501">
        <v>1646</v>
      </c>
      <c r="L97" s="501">
        <v>420</v>
      </c>
      <c r="M97" s="501">
        <v>58</v>
      </c>
      <c r="N97" s="501">
        <v>0</v>
      </c>
      <c r="O97" s="504">
        <v>2189</v>
      </c>
      <c r="P97" s="504">
        <v>0</v>
      </c>
      <c r="Q97" s="501">
        <v>0</v>
      </c>
      <c r="R97" s="504">
        <v>0</v>
      </c>
      <c r="S97" s="495">
        <v>7283</v>
      </c>
      <c r="T97"/>
      <c r="U97"/>
      <c r="V97"/>
    </row>
    <row r="98" spans="1:22" x14ac:dyDescent="0.25">
      <c r="A98" s="502"/>
      <c r="B98" s="507" t="s">
        <v>280</v>
      </c>
      <c r="C98" s="507">
        <v>2254</v>
      </c>
      <c r="D98" s="508">
        <v>477</v>
      </c>
      <c r="E98" s="508">
        <v>1652</v>
      </c>
      <c r="F98" s="508">
        <v>53</v>
      </c>
      <c r="G98" s="508">
        <v>94</v>
      </c>
      <c r="H98" s="508">
        <v>14</v>
      </c>
      <c r="I98" s="507">
        <v>4544</v>
      </c>
      <c r="J98" s="507">
        <v>66</v>
      </c>
      <c r="K98" s="508">
        <v>955</v>
      </c>
      <c r="L98" s="508">
        <v>151</v>
      </c>
      <c r="M98" s="508">
        <v>24</v>
      </c>
      <c r="N98" s="508">
        <v>0</v>
      </c>
      <c r="O98" s="507">
        <v>1196</v>
      </c>
      <c r="P98" s="507">
        <v>0</v>
      </c>
      <c r="Q98" s="508">
        <v>0</v>
      </c>
      <c r="R98" s="507">
        <v>0</v>
      </c>
      <c r="S98" s="496">
        <v>5740</v>
      </c>
      <c r="T98"/>
      <c r="U98"/>
      <c r="V98"/>
    </row>
    <row r="99" spans="1:22" x14ac:dyDescent="0.25">
      <c r="A99" s="502"/>
      <c r="B99" s="507" t="s">
        <v>282</v>
      </c>
      <c r="C99" s="507">
        <v>2076</v>
      </c>
      <c r="D99" s="508">
        <v>422</v>
      </c>
      <c r="E99" s="508">
        <v>2197</v>
      </c>
      <c r="F99" s="508">
        <v>49</v>
      </c>
      <c r="G99" s="508">
        <v>97</v>
      </c>
      <c r="H99" s="508">
        <v>18</v>
      </c>
      <c r="I99" s="507">
        <v>4859</v>
      </c>
      <c r="J99" s="507">
        <v>77</v>
      </c>
      <c r="K99" s="508">
        <v>771</v>
      </c>
      <c r="L99" s="508">
        <v>140</v>
      </c>
      <c r="M99" s="508">
        <v>49</v>
      </c>
      <c r="N99" s="508">
        <v>0</v>
      </c>
      <c r="O99" s="507">
        <v>1037</v>
      </c>
      <c r="P99" s="507">
        <v>0</v>
      </c>
      <c r="Q99" s="508">
        <v>0</v>
      </c>
      <c r="R99" s="507">
        <v>0</v>
      </c>
      <c r="S99" s="496">
        <v>5896</v>
      </c>
      <c r="T99"/>
      <c r="U99"/>
      <c r="V99"/>
    </row>
    <row r="100" spans="1:22" x14ac:dyDescent="0.25">
      <c r="A100" s="502"/>
      <c r="B100" s="507" t="s">
        <v>284</v>
      </c>
      <c r="C100" s="507">
        <v>305</v>
      </c>
      <c r="D100" s="508">
        <v>11</v>
      </c>
      <c r="E100" s="508">
        <v>580</v>
      </c>
      <c r="F100" s="508">
        <v>11</v>
      </c>
      <c r="G100" s="508">
        <v>7</v>
      </c>
      <c r="H100" s="508">
        <v>0</v>
      </c>
      <c r="I100" s="507">
        <v>914</v>
      </c>
      <c r="J100" s="507">
        <v>542</v>
      </c>
      <c r="K100" s="508">
        <v>2548</v>
      </c>
      <c r="L100" s="508">
        <v>945</v>
      </c>
      <c r="M100" s="508">
        <v>387</v>
      </c>
      <c r="N100" s="508">
        <v>0</v>
      </c>
      <c r="O100" s="507">
        <v>4422</v>
      </c>
      <c r="P100" s="507">
        <v>0</v>
      </c>
      <c r="Q100" s="508">
        <v>0</v>
      </c>
      <c r="R100" s="507">
        <v>0</v>
      </c>
      <c r="S100" s="496">
        <v>5336</v>
      </c>
      <c r="T100"/>
      <c r="U100"/>
      <c r="V100"/>
    </row>
    <row r="101" spans="1:22" x14ac:dyDescent="0.25">
      <c r="A101" s="502"/>
      <c r="B101" s="507" t="s">
        <v>286</v>
      </c>
      <c r="C101" s="507">
        <v>1640</v>
      </c>
      <c r="D101" s="508">
        <v>639</v>
      </c>
      <c r="E101" s="508">
        <v>1204</v>
      </c>
      <c r="F101" s="508">
        <v>13</v>
      </c>
      <c r="G101" s="508">
        <v>44</v>
      </c>
      <c r="H101" s="508">
        <v>44</v>
      </c>
      <c r="I101" s="507">
        <v>3584</v>
      </c>
      <c r="J101" s="507">
        <v>0</v>
      </c>
      <c r="K101" s="508">
        <v>77</v>
      </c>
      <c r="L101" s="508">
        <v>0</v>
      </c>
      <c r="M101" s="508">
        <v>0</v>
      </c>
      <c r="N101" s="508">
        <v>0</v>
      </c>
      <c r="O101" s="507">
        <v>77</v>
      </c>
      <c r="P101" s="507">
        <v>0</v>
      </c>
      <c r="Q101" s="508">
        <v>0</v>
      </c>
      <c r="R101" s="507">
        <v>0</v>
      </c>
      <c r="S101" s="496">
        <v>3661</v>
      </c>
      <c r="T101"/>
      <c r="U101"/>
      <c r="V101"/>
    </row>
    <row r="102" spans="1:22" x14ac:dyDescent="0.25">
      <c r="A102" s="502"/>
      <c r="B102" s="507" t="s">
        <v>288</v>
      </c>
      <c r="C102" s="507">
        <v>0</v>
      </c>
      <c r="D102" s="508">
        <v>0</v>
      </c>
      <c r="E102" s="508">
        <v>0</v>
      </c>
      <c r="F102" s="508">
        <v>0</v>
      </c>
      <c r="G102" s="508">
        <v>0</v>
      </c>
      <c r="H102" s="508">
        <v>0</v>
      </c>
      <c r="I102" s="507">
        <v>0</v>
      </c>
      <c r="J102" s="507">
        <v>8</v>
      </c>
      <c r="K102" s="508">
        <v>2508</v>
      </c>
      <c r="L102" s="508">
        <v>863</v>
      </c>
      <c r="M102" s="508">
        <v>0</v>
      </c>
      <c r="N102" s="508">
        <v>0</v>
      </c>
      <c r="O102" s="507">
        <v>3379</v>
      </c>
      <c r="P102" s="507">
        <v>0</v>
      </c>
      <c r="Q102" s="508">
        <v>0</v>
      </c>
      <c r="R102" s="507">
        <v>0</v>
      </c>
      <c r="S102" s="496">
        <v>3379</v>
      </c>
      <c r="T102"/>
      <c r="U102"/>
      <c r="V102"/>
    </row>
    <row r="103" spans="1:22" x14ac:dyDescent="0.25">
      <c r="A103" s="502"/>
      <c r="B103" s="507" t="s">
        <v>290</v>
      </c>
      <c r="C103" s="507">
        <v>9355</v>
      </c>
      <c r="D103" s="508">
        <v>1939</v>
      </c>
      <c r="E103" s="508">
        <v>7132</v>
      </c>
      <c r="F103" s="508">
        <v>178</v>
      </c>
      <c r="G103" s="508">
        <v>291</v>
      </c>
      <c r="H103" s="508">
        <v>100</v>
      </c>
      <c r="I103" s="507">
        <v>18995</v>
      </c>
      <c r="J103" s="507">
        <v>758</v>
      </c>
      <c r="K103" s="508">
        <v>8505</v>
      </c>
      <c r="L103" s="508">
        <v>2519</v>
      </c>
      <c r="M103" s="508">
        <v>518</v>
      </c>
      <c r="N103" s="508">
        <v>0</v>
      </c>
      <c r="O103" s="507">
        <v>12300</v>
      </c>
      <c r="P103" s="507">
        <v>0</v>
      </c>
      <c r="Q103" s="508">
        <v>0</v>
      </c>
      <c r="R103" s="507">
        <v>0</v>
      </c>
      <c r="S103" s="496">
        <v>31295</v>
      </c>
      <c r="T103"/>
      <c r="U103"/>
      <c r="V103"/>
    </row>
    <row r="104" spans="1:22" x14ac:dyDescent="0.25">
      <c r="A104" s="498" t="s">
        <v>111</v>
      </c>
      <c r="B104" s="504" t="s">
        <v>278</v>
      </c>
      <c r="C104" s="504">
        <v>1502</v>
      </c>
      <c r="D104" s="501">
        <v>436</v>
      </c>
      <c r="E104" s="501">
        <v>346</v>
      </c>
      <c r="F104" s="501">
        <v>164</v>
      </c>
      <c r="G104" s="501">
        <v>161</v>
      </c>
      <c r="H104" s="501">
        <v>19</v>
      </c>
      <c r="I104" s="504">
        <v>2628</v>
      </c>
      <c r="J104" s="504">
        <v>0</v>
      </c>
      <c r="K104" s="501">
        <v>0</v>
      </c>
      <c r="L104" s="501">
        <v>0</v>
      </c>
      <c r="M104" s="501">
        <v>9</v>
      </c>
      <c r="N104" s="501">
        <v>444</v>
      </c>
      <c r="O104" s="504">
        <v>453</v>
      </c>
      <c r="P104" s="504">
        <v>0</v>
      </c>
      <c r="Q104" s="501">
        <v>0</v>
      </c>
      <c r="R104" s="504">
        <v>0</v>
      </c>
      <c r="S104" s="495">
        <v>3081</v>
      </c>
      <c r="T104"/>
      <c r="U104"/>
      <c r="V104"/>
    </row>
    <row r="105" spans="1:22" x14ac:dyDescent="0.25">
      <c r="A105" s="502"/>
      <c r="B105" s="507" t="s">
        <v>280</v>
      </c>
      <c r="C105" s="507">
        <v>1294</v>
      </c>
      <c r="D105" s="508">
        <v>490</v>
      </c>
      <c r="E105" s="508">
        <v>291</v>
      </c>
      <c r="F105" s="508">
        <v>186</v>
      </c>
      <c r="G105" s="508">
        <v>228</v>
      </c>
      <c r="H105" s="508">
        <v>29</v>
      </c>
      <c r="I105" s="507">
        <v>2518</v>
      </c>
      <c r="J105" s="507">
        <v>0</v>
      </c>
      <c r="K105" s="508">
        <v>0</v>
      </c>
      <c r="L105" s="508">
        <v>0</v>
      </c>
      <c r="M105" s="508">
        <v>13</v>
      </c>
      <c r="N105" s="508">
        <v>667</v>
      </c>
      <c r="O105" s="507">
        <v>680</v>
      </c>
      <c r="P105" s="507">
        <v>0</v>
      </c>
      <c r="Q105" s="508">
        <v>0</v>
      </c>
      <c r="R105" s="507">
        <v>0</v>
      </c>
      <c r="S105" s="496">
        <v>3198</v>
      </c>
      <c r="T105"/>
      <c r="U105"/>
      <c r="V105"/>
    </row>
    <row r="106" spans="1:22" x14ac:dyDescent="0.25">
      <c r="A106" s="502"/>
      <c r="B106" s="507" t="s">
        <v>282</v>
      </c>
      <c r="C106" s="507">
        <v>1011</v>
      </c>
      <c r="D106" s="508">
        <v>511</v>
      </c>
      <c r="E106" s="508">
        <v>363</v>
      </c>
      <c r="F106" s="508">
        <v>216</v>
      </c>
      <c r="G106" s="508">
        <v>196</v>
      </c>
      <c r="H106" s="508">
        <v>20</v>
      </c>
      <c r="I106" s="507">
        <v>2317</v>
      </c>
      <c r="J106" s="507">
        <v>0</v>
      </c>
      <c r="K106" s="508">
        <v>0</v>
      </c>
      <c r="L106" s="508">
        <v>0</v>
      </c>
      <c r="M106" s="508">
        <v>11</v>
      </c>
      <c r="N106" s="508">
        <v>683</v>
      </c>
      <c r="O106" s="507">
        <v>694</v>
      </c>
      <c r="P106" s="507">
        <v>0</v>
      </c>
      <c r="Q106" s="508">
        <v>0</v>
      </c>
      <c r="R106" s="507">
        <v>0</v>
      </c>
      <c r="S106" s="496">
        <v>3011</v>
      </c>
      <c r="T106"/>
      <c r="U106"/>
      <c r="V106"/>
    </row>
    <row r="107" spans="1:22" x14ac:dyDescent="0.25">
      <c r="A107" s="502"/>
      <c r="B107" s="507" t="s">
        <v>284</v>
      </c>
      <c r="C107" s="507">
        <v>292</v>
      </c>
      <c r="D107" s="508">
        <v>274</v>
      </c>
      <c r="E107" s="508">
        <v>175</v>
      </c>
      <c r="F107" s="508">
        <v>73</v>
      </c>
      <c r="G107" s="508">
        <v>70</v>
      </c>
      <c r="H107" s="508">
        <v>22</v>
      </c>
      <c r="I107" s="507">
        <v>906</v>
      </c>
      <c r="J107" s="507">
        <v>0</v>
      </c>
      <c r="K107" s="508">
        <v>0</v>
      </c>
      <c r="L107" s="508">
        <v>0</v>
      </c>
      <c r="M107" s="508">
        <v>0</v>
      </c>
      <c r="N107" s="508">
        <v>431</v>
      </c>
      <c r="O107" s="507">
        <v>431</v>
      </c>
      <c r="P107" s="507">
        <v>0</v>
      </c>
      <c r="Q107" s="508">
        <v>0</v>
      </c>
      <c r="R107" s="507">
        <v>0</v>
      </c>
      <c r="S107" s="496">
        <v>1337</v>
      </c>
      <c r="T107"/>
      <c r="U107"/>
      <c r="V107"/>
    </row>
    <row r="108" spans="1:22" x14ac:dyDescent="0.25">
      <c r="A108" s="502"/>
      <c r="B108" s="507" t="s">
        <v>286</v>
      </c>
      <c r="C108" s="507">
        <v>226</v>
      </c>
      <c r="D108" s="508">
        <v>9</v>
      </c>
      <c r="E108" s="508">
        <v>0</v>
      </c>
      <c r="F108" s="508">
        <v>1</v>
      </c>
      <c r="G108" s="508">
        <v>41</v>
      </c>
      <c r="H108" s="508">
        <v>1</v>
      </c>
      <c r="I108" s="507">
        <v>278</v>
      </c>
      <c r="J108" s="507">
        <v>0</v>
      </c>
      <c r="K108" s="508">
        <v>0</v>
      </c>
      <c r="L108" s="508">
        <v>0</v>
      </c>
      <c r="M108" s="508">
        <v>0</v>
      </c>
      <c r="N108" s="508">
        <v>1</v>
      </c>
      <c r="O108" s="507">
        <v>1</v>
      </c>
      <c r="P108" s="507">
        <v>0</v>
      </c>
      <c r="Q108" s="508">
        <v>0</v>
      </c>
      <c r="R108" s="507">
        <v>0</v>
      </c>
      <c r="S108" s="496">
        <v>279</v>
      </c>
      <c r="T108"/>
      <c r="U108"/>
      <c r="V108"/>
    </row>
    <row r="109" spans="1:22" x14ac:dyDescent="0.25">
      <c r="A109" s="502"/>
      <c r="B109" s="507" t="s">
        <v>288</v>
      </c>
      <c r="C109" s="507">
        <v>0</v>
      </c>
      <c r="D109" s="508">
        <v>0</v>
      </c>
      <c r="E109" s="508">
        <v>0</v>
      </c>
      <c r="F109" s="508">
        <v>0</v>
      </c>
      <c r="G109" s="508">
        <v>0</v>
      </c>
      <c r="H109" s="508">
        <v>0</v>
      </c>
      <c r="I109" s="507">
        <v>0</v>
      </c>
      <c r="J109" s="507">
        <v>0</v>
      </c>
      <c r="K109" s="508">
        <v>0</v>
      </c>
      <c r="L109" s="508">
        <v>0</v>
      </c>
      <c r="M109" s="508">
        <v>0</v>
      </c>
      <c r="N109" s="508">
        <v>0</v>
      </c>
      <c r="O109" s="507">
        <v>0</v>
      </c>
      <c r="P109" s="507">
        <v>0</v>
      </c>
      <c r="Q109" s="508">
        <v>0</v>
      </c>
      <c r="R109" s="507">
        <v>0</v>
      </c>
      <c r="S109" s="496">
        <v>0</v>
      </c>
      <c r="T109"/>
      <c r="U109"/>
      <c r="V109"/>
    </row>
    <row r="110" spans="1:22" x14ac:dyDescent="0.25">
      <c r="A110" s="502"/>
      <c r="B110" s="507" t="s">
        <v>290</v>
      </c>
      <c r="C110" s="507">
        <v>4325</v>
      </c>
      <c r="D110" s="508">
        <v>1720</v>
      </c>
      <c r="E110" s="508">
        <v>1175</v>
      </c>
      <c r="F110" s="508">
        <v>640</v>
      </c>
      <c r="G110" s="508">
        <v>696</v>
      </c>
      <c r="H110" s="508">
        <v>91</v>
      </c>
      <c r="I110" s="507">
        <v>8647</v>
      </c>
      <c r="J110" s="507">
        <v>0</v>
      </c>
      <c r="K110" s="508">
        <v>0</v>
      </c>
      <c r="L110" s="508">
        <v>0</v>
      </c>
      <c r="M110" s="508">
        <v>33</v>
      </c>
      <c r="N110" s="508">
        <v>2226</v>
      </c>
      <c r="O110" s="507">
        <v>2259</v>
      </c>
      <c r="P110" s="507">
        <v>0</v>
      </c>
      <c r="Q110" s="508">
        <v>0</v>
      </c>
      <c r="R110" s="507">
        <v>0</v>
      </c>
      <c r="S110" s="496">
        <v>10906</v>
      </c>
      <c r="T110"/>
      <c r="U110"/>
      <c r="V110"/>
    </row>
    <row r="111" spans="1:22" x14ac:dyDescent="0.25">
      <c r="A111" s="498" t="s">
        <v>110</v>
      </c>
      <c r="B111" s="504" t="s">
        <v>278</v>
      </c>
      <c r="C111" s="504">
        <v>293</v>
      </c>
      <c r="D111" s="501">
        <v>0</v>
      </c>
      <c r="E111" s="501">
        <v>199</v>
      </c>
      <c r="F111" s="501">
        <v>0</v>
      </c>
      <c r="G111" s="501">
        <v>79</v>
      </c>
      <c r="H111" s="501">
        <v>127</v>
      </c>
      <c r="I111" s="504">
        <v>698</v>
      </c>
      <c r="J111" s="504">
        <v>43</v>
      </c>
      <c r="K111" s="501">
        <v>0</v>
      </c>
      <c r="L111" s="501">
        <v>23</v>
      </c>
      <c r="M111" s="501">
        <v>55</v>
      </c>
      <c r="N111" s="501">
        <v>0</v>
      </c>
      <c r="O111" s="504">
        <v>121</v>
      </c>
      <c r="P111" s="504">
        <v>0</v>
      </c>
      <c r="Q111" s="501">
        <v>0</v>
      </c>
      <c r="R111" s="504">
        <v>0</v>
      </c>
      <c r="S111" s="495">
        <v>819</v>
      </c>
      <c r="T111"/>
      <c r="U111"/>
      <c r="V111"/>
    </row>
    <row r="112" spans="1:22" x14ac:dyDescent="0.25">
      <c r="A112" s="502"/>
      <c r="B112" s="507" t="s">
        <v>280</v>
      </c>
      <c r="C112" s="507">
        <v>247</v>
      </c>
      <c r="D112" s="508">
        <v>0</v>
      </c>
      <c r="E112" s="508">
        <v>118</v>
      </c>
      <c r="F112" s="508">
        <v>0</v>
      </c>
      <c r="G112" s="508">
        <v>77</v>
      </c>
      <c r="H112" s="508">
        <v>146</v>
      </c>
      <c r="I112" s="507">
        <v>588</v>
      </c>
      <c r="J112" s="507">
        <v>14</v>
      </c>
      <c r="K112" s="508">
        <v>0</v>
      </c>
      <c r="L112" s="508">
        <v>10</v>
      </c>
      <c r="M112" s="508">
        <v>44</v>
      </c>
      <c r="N112" s="508">
        <v>0</v>
      </c>
      <c r="O112" s="507">
        <v>68</v>
      </c>
      <c r="P112" s="507">
        <v>0</v>
      </c>
      <c r="Q112" s="508">
        <v>0</v>
      </c>
      <c r="R112" s="507">
        <v>0</v>
      </c>
      <c r="S112" s="496">
        <v>656</v>
      </c>
      <c r="T112"/>
      <c r="U112"/>
      <c r="V112"/>
    </row>
    <row r="113" spans="1:22" x14ac:dyDescent="0.25">
      <c r="A113" s="502"/>
      <c r="B113" s="507" t="s">
        <v>282</v>
      </c>
      <c r="C113" s="507">
        <v>352</v>
      </c>
      <c r="D113" s="508">
        <v>0</v>
      </c>
      <c r="E113" s="508">
        <v>119</v>
      </c>
      <c r="F113" s="508">
        <v>0</v>
      </c>
      <c r="G113" s="508">
        <v>103</v>
      </c>
      <c r="H113" s="508">
        <v>213</v>
      </c>
      <c r="I113" s="507">
        <v>787</v>
      </c>
      <c r="J113" s="507">
        <v>24</v>
      </c>
      <c r="K113" s="508">
        <v>0</v>
      </c>
      <c r="L113" s="508">
        <v>8</v>
      </c>
      <c r="M113" s="508">
        <v>106</v>
      </c>
      <c r="N113" s="508">
        <v>0</v>
      </c>
      <c r="O113" s="507">
        <v>138</v>
      </c>
      <c r="P113" s="507">
        <v>0</v>
      </c>
      <c r="Q113" s="508">
        <v>0</v>
      </c>
      <c r="R113" s="507">
        <v>0</v>
      </c>
      <c r="S113" s="496">
        <v>925</v>
      </c>
      <c r="T113"/>
      <c r="U113"/>
      <c r="V113"/>
    </row>
    <row r="114" spans="1:22" x14ac:dyDescent="0.25">
      <c r="A114" s="502"/>
      <c r="B114" s="507" t="s">
        <v>284</v>
      </c>
      <c r="C114" s="507">
        <v>51</v>
      </c>
      <c r="D114" s="508">
        <v>0</v>
      </c>
      <c r="E114" s="508">
        <v>42</v>
      </c>
      <c r="F114" s="508">
        <v>0</v>
      </c>
      <c r="G114" s="508">
        <v>15</v>
      </c>
      <c r="H114" s="508">
        <v>82</v>
      </c>
      <c r="I114" s="507">
        <v>190</v>
      </c>
      <c r="J114" s="507">
        <v>46</v>
      </c>
      <c r="K114" s="508">
        <v>0</v>
      </c>
      <c r="L114" s="508">
        <v>21</v>
      </c>
      <c r="M114" s="508">
        <v>126</v>
      </c>
      <c r="N114" s="508">
        <v>0</v>
      </c>
      <c r="O114" s="507">
        <v>193</v>
      </c>
      <c r="P114" s="507">
        <v>0</v>
      </c>
      <c r="Q114" s="508">
        <v>0</v>
      </c>
      <c r="R114" s="507">
        <v>0</v>
      </c>
      <c r="S114" s="496">
        <v>383</v>
      </c>
      <c r="T114"/>
      <c r="U114"/>
      <c r="V114"/>
    </row>
    <row r="115" spans="1:22" x14ac:dyDescent="0.25">
      <c r="A115" s="502"/>
      <c r="B115" s="507" t="s">
        <v>286</v>
      </c>
      <c r="C115" s="507">
        <v>21</v>
      </c>
      <c r="D115" s="508">
        <v>0</v>
      </c>
      <c r="E115" s="508">
        <v>0</v>
      </c>
      <c r="F115" s="508">
        <v>0</v>
      </c>
      <c r="G115" s="508">
        <v>14</v>
      </c>
      <c r="H115" s="508">
        <v>15</v>
      </c>
      <c r="I115" s="507">
        <v>50</v>
      </c>
      <c r="J115" s="507">
        <v>6</v>
      </c>
      <c r="K115" s="508">
        <v>0</v>
      </c>
      <c r="L115" s="508">
        <v>0</v>
      </c>
      <c r="M115" s="508">
        <v>29</v>
      </c>
      <c r="N115" s="508">
        <v>0</v>
      </c>
      <c r="O115" s="507">
        <v>35</v>
      </c>
      <c r="P115" s="507">
        <v>0</v>
      </c>
      <c r="Q115" s="508">
        <v>0</v>
      </c>
      <c r="R115" s="507">
        <v>0</v>
      </c>
      <c r="S115" s="496">
        <v>85</v>
      </c>
      <c r="T115"/>
      <c r="U115"/>
      <c r="V115"/>
    </row>
    <row r="116" spans="1:22" x14ac:dyDescent="0.25">
      <c r="A116" s="502"/>
      <c r="B116" s="507" t="s">
        <v>288</v>
      </c>
      <c r="C116" s="507">
        <v>0</v>
      </c>
      <c r="D116" s="508">
        <v>0</v>
      </c>
      <c r="E116" s="508">
        <v>0</v>
      </c>
      <c r="F116" s="508">
        <v>0</v>
      </c>
      <c r="G116" s="508">
        <v>0</v>
      </c>
      <c r="H116" s="508">
        <v>0</v>
      </c>
      <c r="I116" s="507">
        <v>0</v>
      </c>
      <c r="J116" s="507">
        <v>0</v>
      </c>
      <c r="K116" s="508">
        <v>0</v>
      </c>
      <c r="L116" s="508">
        <v>0</v>
      </c>
      <c r="M116" s="508">
        <v>0</v>
      </c>
      <c r="N116" s="508">
        <v>0</v>
      </c>
      <c r="O116" s="507">
        <v>0</v>
      </c>
      <c r="P116" s="507">
        <v>0</v>
      </c>
      <c r="Q116" s="508">
        <v>0</v>
      </c>
      <c r="R116" s="507">
        <v>0</v>
      </c>
      <c r="S116" s="496">
        <v>0</v>
      </c>
      <c r="T116"/>
      <c r="U116"/>
      <c r="V116"/>
    </row>
    <row r="117" spans="1:22" x14ac:dyDescent="0.25">
      <c r="A117" s="502"/>
      <c r="B117" s="507" t="s">
        <v>290</v>
      </c>
      <c r="C117" s="507">
        <v>964</v>
      </c>
      <c r="D117" s="508">
        <v>0</v>
      </c>
      <c r="E117" s="508">
        <v>478</v>
      </c>
      <c r="F117" s="508">
        <v>0</v>
      </c>
      <c r="G117" s="508">
        <v>288</v>
      </c>
      <c r="H117" s="508">
        <v>583</v>
      </c>
      <c r="I117" s="507">
        <v>2313</v>
      </c>
      <c r="J117" s="507">
        <v>133</v>
      </c>
      <c r="K117" s="508">
        <v>0</v>
      </c>
      <c r="L117" s="508">
        <v>62</v>
      </c>
      <c r="M117" s="508">
        <v>360</v>
      </c>
      <c r="N117" s="508">
        <v>0</v>
      </c>
      <c r="O117" s="507">
        <v>555</v>
      </c>
      <c r="P117" s="507">
        <v>0</v>
      </c>
      <c r="Q117" s="508">
        <v>0</v>
      </c>
      <c r="R117" s="507">
        <v>0</v>
      </c>
      <c r="S117" s="496">
        <v>2868</v>
      </c>
      <c r="T117"/>
      <c r="U117"/>
      <c r="V117"/>
    </row>
    <row r="118" spans="1:22" x14ac:dyDescent="0.25">
      <c r="A118" s="504" t="s">
        <v>279</v>
      </c>
      <c r="B118" s="500"/>
      <c r="C118" s="504">
        <v>15302</v>
      </c>
      <c r="D118" s="501">
        <v>2617</v>
      </c>
      <c r="E118" s="501">
        <v>6540</v>
      </c>
      <c r="F118" s="501">
        <v>1826</v>
      </c>
      <c r="G118" s="501">
        <v>1172</v>
      </c>
      <c r="H118" s="501">
        <v>578</v>
      </c>
      <c r="I118" s="504">
        <v>28035</v>
      </c>
      <c r="J118" s="504">
        <v>186</v>
      </c>
      <c r="K118" s="501">
        <v>2695</v>
      </c>
      <c r="L118" s="501">
        <v>1168</v>
      </c>
      <c r="M118" s="501">
        <v>274</v>
      </c>
      <c r="N118" s="501">
        <v>444</v>
      </c>
      <c r="O118" s="504">
        <v>4767</v>
      </c>
      <c r="P118" s="504">
        <v>10</v>
      </c>
      <c r="Q118" s="501">
        <v>0</v>
      </c>
      <c r="R118" s="504">
        <v>10</v>
      </c>
      <c r="S118" s="495">
        <v>32812</v>
      </c>
      <c r="T118"/>
      <c r="U118"/>
      <c r="V118"/>
    </row>
    <row r="119" spans="1:22" x14ac:dyDescent="0.25">
      <c r="A119" s="504" t="s">
        <v>281</v>
      </c>
      <c r="B119" s="500"/>
      <c r="C119" s="504">
        <v>12479</v>
      </c>
      <c r="D119" s="501">
        <v>2870</v>
      </c>
      <c r="E119" s="501">
        <v>6818</v>
      </c>
      <c r="F119" s="501">
        <v>2196</v>
      </c>
      <c r="G119" s="501">
        <v>1391</v>
      </c>
      <c r="H119" s="501">
        <v>753</v>
      </c>
      <c r="I119" s="504">
        <v>26507</v>
      </c>
      <c r="J119" s="504">
        <v>206</v>
      </c>
      <c r="K119" s="501">
        <v>2345</v>
      </c>
      <c r="L119" s="501">
        <v>1191</v>
      </c>
      <c r="M119" s="501">
        <v>232</v>
      </c>
      <c r="N119" s="501">
        <v>667</v>
      </c>
      <c r="O119" s="504">
        <v>4641</v>
      </c>
      <c r="P119" s="504">
        <v>40</v>
      </c>
      <c r="Q119" s="501">
        <v>0</v>
      </c>
      <c r="R119" s="504">
        <v>40</v>
      </c>
      <c r="S119" s="495">
        <v>31188</v>
      </c>
      <c r="T119"/>
      <c r="U119"/>
      <c r="V119"/>
    </row>
    <row r="120" spans="1:22" x14ac:dyDescent="0.25">
      <c r="A120" s="504" t="s">
        <v>283</v>
      </c>
      <c r="B120" s="500"/>
      <c r="C120" s="504">
        <v>11294</v>
      </c>
      <c r="D120" s="501">
        <v>2686</v>
      </c>
      <c r="E120" s="501">
        <v>8014</v>
      </c>
      <c r="F120" s="501">
        <v>3057</v>
      </c>
      <c r="G120" s="501">
        <v>1835</v>
      </c>
      <c r="H120" s="501">
        <v>1119</v>
      </c>
      <c r="I120" s="504">
        <v>28005</v>
      </c>
      <c r="J120" s="504">
        <v>290</v>
      </c>
      <c r="K120" s="501">
        <v>1739</v>
      </c>
      <c r="L120" s="501">
        <v>1118</v>
      </c>
      <c r="M120" s="501">
        <v>390</v>
      </c>
      <c r="N120" s="501">
        <v>683</v>
      </c>
      <c r="O120" s="504">
        <v>4220</v>
      </c>
      <c r="P120" s="504">
        <v>38</v>
      </c>
      <c r="Q120" s="501">
        <v>0</v>
      </c>
      <c r="R120" s="504">
        <v>38</v>
      </c>
      <c r="S120" s="495">
        <v>32263</v>
      </c>
      <c r="T120"/>
      <c r="U120"/>
      <c r="V120"/>
    </row>
    <row r="121" spans="1:22" x14ac:dyDescent="0.25">
      <c r="A121" s="504" t="s">
        <v>285</v>
      </c>
      <c r="B121" s="500"/>
      <c r="C121" s="504">
        <v>3287</v>
      </c>
      <c r="D121" s="501">
        <v>1052</v>
      </c>
      <c r="E121" s="501">
        <v>2922</v>
      </c>
      <c r="F121" s="501">
        <v>948</v>
      </c>
      <c r="G121" s="501">
        <v>700</v>
      </c>
      <c r="H121" s="501">
        <v>461</v>
      </c>
      <c r="I121" s="504">
        <v>9370</v>
      </c>
      <c r="J121" s="504">
        <v>626</v>
      </c>
      <c r="K121" s="501">
        <v>3264</v>
      </c>
      <c r="L121" s="501">
        <v>1850</v>
      </c>
      <c r="M121" s="501">
        <v>781</v>
      </c>
      <c r="N121" s="501">
        <v>431</v>
      </c>
      <c r="O121" s="504">
        <v>6952</v>
      </c>
      <c r="P121" s="504">
        <v>118</v>
      </c>
      <c r="Q121" s="501">
        <v>0</v>
      </c>
      <c r="R121" s="504">
        <v>118</v>
      </c>
      <c r="S121" s="495">
        <v>16440</v>
      </c>
      <c r="T121"/>
      <c r="U121"/>
      <c r="V121"/>
    </row>
    <row r="122" spans="1:22" x14ac:dyDescent="0.25">
      <c r="A122" s="504" t="s">
        <v>287</v>
      </c>
      <c r="B122" s="500"/>
      <c r="C122" s="504">
        <v>4578</v>
      </c>
      <c r="D122" s="501">
        <v>1281</v>
      </c>
      <c r="E122" s="501">
        <v>2974</v>
      </c>
      <c r="F122" s="501">
        <v>632</v>
      </c>
      <c r="G122" s="501">
        <v>443</v>
      </c>
      <c r="H122" s="501">
        <v>169</v>
      </c>
      <c r="I122" s="504">
        <v>10077</v>
      </c>
      <c r="J122" s="504">
        <v>36</v>
      </c>
      <c r="K122" s="501">
        <v>1355</v>
      </c>
      <c r="L122" s="501">
        <v>768</v>
      </c>
      <c r="M122" s="501">
        <v>161</v>
      </c>
      <c r="N122" s="501">
        <v>1</v>
      </c>
      <c r="O122" s="504">
        <v>2321</v>
      </c>
      <c r="P122" s="504">
        <v>5</v>
      </c>
      <c r="Q122" s="501">
        <v>0</v>
      </c>
      <c r="R122" s="504">
        <v>5</v>
      </c>
      <c r="S122" s="495">
        <v>12403</v>
      </c>
      <c r="T122"/>
      <c r="U122"/>
      <c r="V122"/>
    </row>
    <row r="123" spans="1:22" x14ac:dyDescent="0.25">
      <c r="A123" s="504" t="s">
        <v>289</v>
      </c>
      <c r="B123" s="500"/>
      <c r="C123" s="504">
        <v>0</v>
      </c>
      <c r="D123" s="501">
        <v>0</v>
      </c>
      <c r="E123" s="501">
        <v>0</v>
      </c>
      <c r="F123" s="501">
        <v>0</v>
      </c>
      <c r="G123" s="501">
        <v>0</v>
      </c>
      <c r="H123" s="501">
        <v>0</v>
      </c>
      <c r="I123" s="504">
        <v>0</v>
      </c>
      <c r="J123" s="504">
        <v>2359</v>
      </c>
      <c r="K123" s="501">
        <v>10845.3</v>
      </c>
      <c r="L123" s="501">
        <v>6506</v>
      </c>
      <c r="M123" s="501">
        <v>3070</v>
      </c>
      <c r="N123" s="501">
        <v>0</v>
      </c>
      <c r="O123" s="504">
        <v>22780.3</v>
      </c>
      <c r="P123" s="504">
        <v>2638</v>
      </c>
      <c r="Q123" s="501">
        <v>1525</v>
      </c>
      <c r="R123" s="504">
        <v>4163</v>
      </c>
      <c r="S123" s="495">
        <v>26943.3</v>
      </c>
      <c r="T123"/>
      <c r="U123"/>
      <c r="V123"/>
    </row>
    <row r="124" spans="1:22" x14ac:dyDescent="0.25">
      <c r="A124" s="509" t="s">
        <v>291</v>
      </c>
      <c r="B124" s="510"/>
      <c r="C124" s="509">
        <v>46940</v>
      </c>
      <c r="D124" s="511">
        <v>10506</v>
      </c>
      <c r="E124" s="511">
        <v>27268</v>
      </c>
      <c r="F124" s="511">
        <v>8659</v>
      </c>
      <c r="G124" s="511">
        <v>5541</v>
      </c>
      <c r="H124" s="511">
        <v>3080</v>
      </c>
      <c r="I124" s="509">
        <v>101994</v>
      </c>
      <c r="J124" s="509">
        <v>3703</v>
      </c>
      <c r="K124" s="511">
        <v>22243.3</v>
      </c>
      <c r="L124" s="511">
        <v>12601</v>
      </c>
      <c r="M124" s="511">
        <v>4908</v>
      </c>
      <c r="N124" s="511">
        <v>2226</v>
      </c>
      <c r="O124" s="509">
        <v>45681.3</v>
      </c>
      <c r="P124" s="509">
        <v>2849</v>
      </c>
      <c r="Q124" s="511">
        <v>1525</v>
      </c>
      <c r="R124" s="509">
        <v>4374</v>
      </c>
      <c r="S124" s="497">
        <v>152049.29999999999</v>
      </c>
      <c r="T124"/>
      <c r="U124"/>
      <c r="V124"/>
    </row>
    <row r="125" spans="1:22" x14ac:dyDescent="0.25">
      <c r="A125"/>
      <c r="B125"/>
      <c r="C125"/>
      <c r="D125"/>
      <c r="E125"/>
      <c r="F125"/>
      <c r="G125"/>
      <c r="H125"/>
      <c r="I125"/>
      <c r="J125"/>
      <c r="K125"/>
      <c r="L125"/>
      <c r="M125"/>
      <c r="N125"/>
      <c r="O125"/>
      <c r="P125"/>
      <c r="Q125"/>
      <c r="R125"/>
      <c r="S125"/>
      <c r="T125"/>
      <c r="U125"/>
      <c r="V125"/>
    </row>
    <row r="126" spans="1:22" x14ac:dyDescent="0.25">
      <c r="A126"/>
      <c r="B126"/>
      <c r="C126"/>
      <c r="D126"/>
      <c r="E126"/>
      <c r="F126"/>
      <c r="G126"/>
      <c r="H126"/>
      <c r="I126"/>
      <c r="J126"/>
      <c r="K126"/>
      <c r="L126"/>
      <c r="M126"/>
      <c r="N126"/>
      <c r="O126"/>
      <c r="P126"/>
      <c r="Q126"/>
      <c r="R126"/>
      <c r="S126"/>
      <c r="T126"/>
      <c r="U126"/>
      <c r="V126"/>
    </row>
    <row r="127" spans="1:22" x14ac:dyDescent="0.25">
      <c r="A127"/>
      <c r="B127"/>
      <c r="C127"/>
      <c r="D127"/>
      <c r="E127"/>
      <c r="F127"/>
      <c r="G127"/>
      <c r="H127"/>
      <c r="I127"/>
      <c r="J127"/>
      <c r="K127"/>
      <c r="L127"/>
      <c r="M127"/>
      <c r="N127"/>
      <c r="O127"/>
      <c r="P127"/>
      <c r="Q127"/>
      <c r="R127"/>
      <c r="S127"/>
      <c r="T127"/>
      <c r="U127"/>
      <c r="V127"/>
    </row>
    <row r="128" spans="1:22" x14ac:dyDescent="0.25">
      <c r="A128"/>
      <c r="B128"/>
      <c r="C128"/>
      <c r="D128"/>
      <c r="E128"/>
      <c r="F128"/>
      <c r="G128"/>
      <c r="H128"/>
      <c r="I128"/>
      <c r="J128"/>
      <c r="K128"/>
      <c r="L128"/>
      <c r="M128"/>
      <c r="N128"/>
      <c r="O128"/>
      <c r="P128"/>
      <c r="Q128"/>
      <c r="R128"/>
      <c r="S128"/>
      <c r="T128"/>
      <c r="U128"/>
      <c r="V128"/>
    </row>
    <row r="129" spans="1:22" x14ac:dyDescent="0.25">
      <c r="A129"/>
      <c r="B129"/>
      <c r="C129"/>
      <c r="D129"/>
      <c r="E129"/>
      <c r="F129"/>
      <c r="G129"/>
      <c r="H129"/>
      <c r="I129"/>
      <c r="J129"/>
      <c r="K129"/>
      <c r="L129"/>
      <c r="M129"/>
      <c r="N129"/>
      <c r="O129"/>
      <c r="P129"/>
      <c r="Q129"/>
      <c r="R129"/>
      <c r="S129"/>
      <c r="T129"/>
      <c r="U129"/>
      <c r="V129"/>
    </row>
    <row r="130" spans="1:22" x14ac:dyDescent="0.25">
      <c r="A130"/>
      <c r="B130"/>
      <c r="C130"/>
      <c r="D130"/>
      <c r="E130"/>
      <c r="F130"/>
      <c r="G130"/>
      <c r="H130"/>
      <c r="I130"/>
      <c r="J130"/>
      <c r="K130"/>
      <c r="L130"/>
      <c r="M130"/>
      <c r="N130"/>
      <c r="O130"/>
      <c r="P130"/>
      <c r="Q130"/>
      <c r="R130"/>
      <c r="S130"/>
      <c r="T130"/>
      <c r="U130"/>
      <c r="V130"/>
    </row>
    <row r="131" spans="1:22" x14ac:dyDescent="0.25">
      <c r="A131"/>
      <c r="B131"/>
      <c r="C131"/>
      <c r="D131"/>
      <c r="E131"/>
      <c r="F131"/>
      <c r="G131"/>
      <c r="H131"/>
      <c r="I131"/>
      <c r="J131"/>
      <c r="K131"/>
      <c r="L131"/>
      <c r="M131"/>
      <c r="N131"/>
      <c r="O131"/>
      <c r="P131"/>
      <c r="Q131"/>
      <c r="R131"/>
      <c r="S131"/>
      <c r="T131"/>
      <c r="U131"/>
      <c r="V131"/>
    </row>
  </sheetData>
  <pageMargins left="0.75" right="0.75" top="1" bottom="1" header="0.5" footer="0.5"/>
  <pageSetup scale="37" orientation="landscape" r:id="rId2"/>
  <headerFooter alignWithMargins="0">
    <oddHeader>&amp;LSREB-State Data Exchange&amp;CPreliminary Tables&amp;RSalaries</oddHeader>
    <oddFooter>&amp;LFor Agency Review Only&amp;RSeptember 2007</oddFooter>
  </headerFooter>
  <rowBreaks count="6" manualBreakCount="6">
    <brk id="80" max="16383" man="1"/>
    <brk id="82" max="16383" man="1"/>
    <brk id="89" max="16383" man="1"/>
    <brk id="96" max="16383" man="1"/>
    <brk id="103" max="16383" man="1"/>
    <brk id="110"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NEW Table 142</vt:lpstr>
      <vt:lpstr>OLD Table</vt:lpstr>
      <vt:lpstr>NEW Tables 143-161</vt:lpstr>
      <vt:lpstr>OLD Tables</vt:lpstr>
      <vt:lpstr>NEW Table 162</vt:lpstr>
      <vt:lpstr>OLD Table 162  </vt:lpstr>
      <vt:lpstr>Averages Pivot Table</vt:lpstr>
      <vt:lpstr>NEW Counts Pivot Table</vt:lpstr>
      <vt:lpstr>OLD Counts Pivot Table</vt:lpstr>
      <vt:lpstr>Faculty Salary Data</vt:lpstr>
      <vt:lpstr>Format for avgs table</vt:lpstr>
      <vt:lpstr>Format for counts table</vt:lpstr>
      <vt:lpstr>'Averages Pivot Table'!Print_Area</vt:lpstr>
      <vt:lpstr>'NEW Counts Pivot Table'!Print_Area</vt:lpstr>
      <vt:lpstr>'NEW Table 142'!Print_Area</vt:lpstr>
      <vt:lpstr>'NEW Table 162'!Print_Area</vt:lpstr>
      <vt:lpstr>'NEW Tables 143-161'!Print_Area</vt:lpstr>
      <vt:lpstr>'OLD Counts Pivot Table'!Print_Area</vt:lpstr>
      <vt:lpstr>'OLD Table'!Print_Area</vt:lpstr>
      <vt:lpstr>'OLD Table 162  '!Print_Area</vt:lpstr>
      <vt:lpstr>'OLD Tables'!Print_Area</vt:lpstr>
      <vt:lpstr>'Averages Pivot Table'!Print_Titles</vt:lpstr>
      <vt:lpstr>'NEW Counts Pivot Table'!Print_Titles</vt:lpstr>
      <vt:lpstr>'NEW Table 162'!Print_Titles</vt:lpstr>
      <vt:lpstr>'OLD Counts Pivot Table'!Print_Titles</vt:lpstr>
      <vt:lpstr>'OLD Table 162  '!Print_Titles</vt:lpstr>
    </vt:vector>
  </TitlesOfParts>
  <Company>SREB</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jmarks</dc:creator>
  <cp:lastModifiedBy>jmarks</cp:lastModifiedBy>
  <cp:lastPrinted>2013-02-12T15:52:19Z</cp:lastPrinted>
  <dcterms:created xsi:type="dcterms:W3CDTF">1999-02-24T13:58:47Z</dcterms:created>
  <dcterms:modified xsi:type="dcterms:W3CDTF">2013-02-12T15:58:54Z</dcterms:modified>
</cp:coreProperties>
</file>